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updateLinks="never" codeName="ThisWorkbook"/>
  <mc:AlternateContent xmlns:mc="http://schemas.openxmlformats.org/markup-compatibility/2006">
    <mc:Choice Requires="x15">
      <x15ac:absPath xmlns:x15ac="http://schemas.microsoft.com/office/spreadsheetml/2010/11/ac" url="C:\Users\Peggy\Documents\Annual Report\"/>
    </mc:Choice>
  </mc:AlternateContent>
  <xr:revisionPtr revIDLastSave="0" documentId="13_ncr:1_{5C014EA9-DB9B-45DA-AD0B-5D59565252F4}" xr6:coauthVersionLast="40" xr6:coauthVersionMax="40" xr10:uidLastSave="{00000000-0000-0000-0000-000000000000}"/>
  <bookViews>
    <workbookView xWindow="810" yWindow="-120" windowWidth="28110" windowHeight="16440" firstSheet="80" activeTab="85" xr2:uid="{00000000-000D-0000-FFFF-FFFF00000000}"/>
  </bookViews>
  <sheets>
    <sheet name="Instructions" sheetId="1" r:id="rId1"/>
    <sheet name="COVER PAGE" sheetId="2" r:id="rId2"/>
    <sheet name="FILING FEE FORM" sheetId="3" r:id="rId3"/>
    <sheet name="TABLE OF CONTENTS" sheetId="4" r:id="rId4"/>
    <sheet name="INTROD. SECT. COVER" sheetId="5" r:id="rId5"/>
    <sheet name="LTR. OF TRANSMITTAL" sheetId="6" r:id="rId6"/>
    <sheet name="ELECTED OFFICIALS-SIGNATURE PG" sheetId="7" r:id="rId7"/>
    <sheet name="FIN. SECTION COVER" sheetId="8" r:id="rId8"/>
    <sheet name="MD&amp;A COVER" sheetId="9" r:id="rId9"/>
    <sheet name="BASIC FS COVER" sheetId="10" r:id="rId10"/>
    <sheet name="GW-STATEMENT NET POSITION(13)" sheetId="11" r:id="rId11"/>
    <sheet name="GW-STATEMENT OF ACTIVITIES(14)" sheetId="12" r:id="rId12"/>
    <sheet name="GOVERNMENTAL FUNDS - BS(15)" sheetId="13" r:id="rId13"/>
    <sheet name="GOVERMENTAL FUNDS-OPERATING(16)" sheetId="14" r:id="rId14"/>
    <sheet name="RECONCILIATION OF OPERATING(17)" sheetId="15" r:id="rId15"/>
    <sheet name="NET POSITION-PROPRIETARY(18)" sheetId="16" r:id="rId16"/>
    <sheet name="CHANGE NET POSITION-PROP.(19)" sheetId="17" r:id="rId17"/>
    <sheet name="ST. OF CASH FLOWS-PROP.(20)" sheetId="18" r:id="rId18"/>
    <sheet name="NET POSITION-FIDUCIARY(21)" sheetId="19" r:id="rId19"/>
    <sheet name="CHANGE NET POSITION-FIDUC(22)" sheetId="20" r:id="rId20"/>
    <sheet name="NOTE TO FIN ST (23)" sheetId="95" r:id="rId21"/>
    <sheet name="NOTES TO FIN ST (24)" sheetId="22" r:id="rId22"/>
    <sheet name="NOTES TO FIN ST (25)" sheetId="23" r:id="rId23"/>
    <sheet name="NOTES TO FIN ST (26)" sheetId="24" r:id="rId24"/>
    <sheet name="NOTES TO FIN ST (27)" sheetId="25" r:id="rId25"/>
    <sheet name="NOTES TO FIN ST (28)" sheetId="26" r:id="rId26"/>
    <sheet name="NOTES TO FIN ST (29)" sheetId="27" r:id="rId27"/>
    <sheet name="NOTES TO FIN ST (30)" sheetId="92" r:id="rId28"/>
    <sheet name="NOTES TO FIN ST (31)" sheetId="93" r:id="rId29"/>
    <sheet name="NOTES TO FIN ST (32)" sheetId="28" r:id="rId30"/>
    <sheet name="NOTES TO FIN ST (33)" sheetId="29" r:id="rId31"/>
    <sheet name="NOTES TO FIN ST (34)" sheetId="30" r:id="rId32"/>
    <sheet name="NOTES TO FIN ST (35A)" sheetId="31" r:id="rId33"/>
    <sheet name="NOTES TO FIN ST (35B)" sheetId="32" r:id="rId34"/>
    <sheet name="NOTES TO FIN ST (35C)" sheetId="33" r:id="rId35"/>
    <sheet name="NOTES TO FIN ST (36)" sheetId="85" r:id="rId36"/>
    <sheet name="NOTES TO FIN ST (37)" sheetId="86" r:id="rId37"/>
    <sheet name="NOTES TO FIN ST (38)" sheetId="87" r:id="rId38"/>
    <sheet name="NOTES TO FIN ST (39)" sheetId="88" r:id="rId39"/>
    <sheet name="NOTES TO FIN ST (40)" sheetId="90" r:id="rId40"/>
    <sheet name="NOTE TO FIN ST (41)" sheetId="98" r:id="rId41"/>
    <sheet name="NOTE TO FIN ST (42)" sheetId="99" r:id="rId42"/>
    <sheet name="NOTES TO FIN ST (43)" sheetId="34" r:id="rId43"/>
    <sheet name="NOTES TO FIN ST (44) " sheetId="35" r:id="rId44"/>
    <sheet name="NOTES TO FIN ST (45A)" sheetId="36" r:id="rId45"/>
    <sheet name="NOTES TO FIN ST (45B)" sheetId="37" r:id="rId46"/>
    <sheet name="NOTE TO FIN ST (46)" sheetId="96" r:id="rId47"/>
    <sheet name="NOTES TO FIN ST (47)" sheetId="38" r:id="rId48"/>
    <sheet name="RSI COVER" sheetId="39" r:id="rId49"/>
    <sheet name="GENERAL FUND-OPERATING(48-53)" sheetId="40" r:id="rId50"/>
    <sheet name="OPER-MAJOR SP. REVENUE(54-56)" sheetId="41" r:id="rId51"/>
    <sheet name="OPER.-MAJOR SP. REV. (B)(57-59)" sheetId="42" r:id="rId52"/>
    <sheet name="RSI 0PEB (60)" sheetId="43" r:id="rId53"/>
    <sheet name="RSI-PERS (61-A)" sheetId="100" r:id="rId54"/>
    <sheet name="RSI-FURS (61-B)" sheetId="101" r:id="rId55"/>
    <sheet name="RSI-MPORS (61-C)" sheetId="102" r:id="rId56"/>
    <sheet name="RSI-SRS (61-D)" sheetId="104" r:id="rId57"/>
    <sheet name="RSI-TRS (61-E)" sheetId="105" r:id="rId58"/>
    <sheet name="RSI-FDRA&amp;GASB78 (62)" sheetId="97" r:id="rId59"/>
    <sheet name="OTHER SUPP. INFO. COVER" sheetId="44" r:id="rId60"/>
    <sheet name="BS-NONMAJOR SP. REVENUE(63-64) " sheetId="45" r:id="rId61"/>
    <sheet name="OPER.-NONMAJOR SP. REVENUE(65)" sheetId="46" r:id="rId62"/>
    <sheet name="OPER.-NONMAJOR SP. REVE (B)(66)" sheetId="47" r:id="rId63"/>
    <sheet name="BS-NONMAJOR DEBT SERVICE(67-68)" sheetId="48" r:id="rId64"/>
    <sheet name="OPER.-NONMAJOR DEBT SER.(69-70)" sheetId="49" r:id="rId65"/>
    <sheet name="BS-NONMAJOR CAP. PROJ.(71-72)" sheetId="50" r:id="rId66"/>
    <sheet name="OPER.-NONMAJOR CAP. PROJ(73-74)" sheetId="51" r:id="rId67"/>
    <sheet name="BS-PERMANENT FUNDS(75-76)" sheetId="52" r:id="rId68"/>
    <sheet name="OPER.-PERMANENT FUNDS(77-78)" sheetId="53" r:id="rId69"/>
    <sheet name="NET POSIT-NONMAJOR ENTERPR(79)" sheetId="54" r:id="rId70"/>
    <sheet name="CHG. IN NP-NONMAJOR ENTERPR(80)" sheetId="55" r:id="rId71"/>
    <sheet name="NONMAJOR ENTERPR. CASH FLOW(81)" sheetId="56" r:id="rId72"/>
    <sheet name="COMB. NET POS-IN. SER.(82)" sheetId="57" r:id="rId73"/>
    <sheet name="COMB. CHGE IN NP IN. SERV.(83)" sheetId="58" r:id="rId74"/>
    <sheet name="ST. OF CASH FLOWS-INT.SER.(84)" sheetId="59" r:id="rId75"/>
    <sheet name="FED.-ST. INTERGOVERNMENTAL(85)" sheetId="60" r:id="rId76"/>
    <sheet name="SCHEDULE OF REC. &amp; DISB." sheetId="65" r:id="rId77"/>
    <sheet name="CASH RECONCILIATION(89)" sheetId="61" r:id="rId78"/>
    <sheet name="GEN. INFO.  SECT. COVER" sheetId="62" r:id="rId79"/>
    <sheet name="GENERAL INFORMATION(90)" sheetId="63" r:id="rId80"/>
    <sheet name="Worksheets" sheetId="64" r:id="rId81"/>
    <sheet name="BS Conversion" sheetId="66" r:id="rId82"/>
    <sheet name="OP Conversion" sheetId="67" r:id="rId83"/>
    <sheet name="Revenue Analysis" sheetId="68" r:id="rId84"/>
    <sheet name="GOV CAP ASSETS-9000(GCAAG)" sheetId="69" r:id="rId85"/>
    <sheet name="GOV DEBT-9500(GLTDAG)" sheetId="70" r:id="rId86"/>
    <sheet name="Depr.-General" sheetId="71" r:id="rId87"/>
    <sheet name="Depr.-Water Enterprise" sheetId="72" r:id="rId88"/>
    <sheet name="Depr.-Sewer Enterprise" sheetId="73" r:id="rId89"/>
    <sheet name="Depr.-Solid Waste Enterprise" sheetId="74" r:id="rId90"/>
    <sheet name="Compensated Absences" sheetId="75" r:id="rId91"/>
    <sheet name="Balance Check Page" sheetId="77" r:id="rId92"/>
    <sheet name="LedgerLoad Assist" sheetId="80" state="hidden" r:id="rId93"/>
    <sheet name="Ledger Load Template LGSvcs TEM" sheetId="81" state="hidden" r:id="rId94"/>
    <sheet name="DLL Balance Check" sheetId="83" state="hidden" r:id="rId95"/>
    <sheet name="Update Log" sheetId="78" state="hidden" r:id="rId96"/>
    <sheet name="Sheet3" sheetId="82" state="hidden" r:id="rId97"/>
  </sheets>
  <externalReferences>
    <externalReference r:id="rId98"/>
    <externalReference r:id="rId99"/>
    <externalReference r:id="rId100"/>
    <externalReference r:id="rId101"/>
    <externalReference r:id="rId102"/>
  </externalReferences>
  <definedNames>
    <definedName name="___Ent2" localSheetId="94">#REF!</definedName>
    <definedName name="___Ent2" localSheetId="20">#REF!</definedName>
    <definedName name="___Ent2" localSheetId="40">#REF!</definedName>
    <definedName name="___Ent2" localSheetId="41">#REF!</definedName>
    <definedName name="___Ent2" localSheetId="46">#REF!</definedName>
    <definedName name="___Ent2" localSheetId="27">#REF!</definedName>
    <definedName name="___Ent2" localSheetId="28">#REF!</definedName>
    <definedName name="___Ent2" localSheetId="35">#REF!</definedName>
    <definedName name="___Ent2" localSheetId="36">#REF!</definedName>
    <definedName name="___Ent2" localSheetId="37">#REF!</definedName>
    <definedName name="___Ent2" localSheetId="38">#REF!</definedName>
    <definedName name="___Ent2" localSheetId="39">#REF!</definedName>
    <definedName name="___Ent2" localSheetId="58">#REF!</definedName>
    <definedName name="___Ent3" localSheetId="94">#REF!</definedName>
    <definedName name="___Ent3" localSheetId="20">#REF!</definedName>
    <definedName name="___Ent3" localSheetId="40">#REF!</definedName>
    <definedName name="___Ent3" localSheetId="41">#REF!</definedName>
    <definedName name="___Ent3" localSheetId="46">#REF!</definedName>
    <definedName name="___Ent3" localSheetId="27">#REF!</definedName>
    <definedName name="___Ent3" localSheetId="28">#REF!</definedName>
    <definedName name="___Ent3" localSheetId="35">#REF!</definedName>
    <definedName name="___Ent3" localSheetId="36">#REF!</definedName>
    <definedName name="___Ent3" localSheetId="37">#REF!</definedName>
    <definedName name="___Ent3" localSheetId="38">#REF!</definedName>
    <definedName name="___Ent3" localSheetId="39">#REF!</definedName>
    <definedName name="___Ent3" localSheetId="58">#REF!</definedName>
    <definedName name="___Ent4" localSheetId="94">#REF!</definedName>
    <definedName name="___Ent4" localSheetId="20">#REF!</definedName>
    <definedName name="___Ent4" localSheetId="40">#REF!</definedName>
    <definedName name="___Ent4" localSheetId="41">#REF!</definedName>
    <definedName name="___Ent4" localSheetId="46">#REF!</definedName>
    <definedName name="___Ent4" localSheetId="27">#REF!</definedName>
    <definedName name="___Ent4" localSheetId="28">#REF!</definedName>
    <definedName name="___Ent4" localSheetId="35">#REF!</definedName>
    <definedName name="___Ent4" localSheetId="36">#REF!</definedName>
    <definedName name="___Ent4" localSheetId="37">#REF!</definedName>
    <definedName name="___Ent4" localSheetId="38">#REF!</definedName>
    <definedName name="___Ent4" localSheetId="39">#REF!</definedName>
    <definedName name="___Ent4" localSheetId="58">#REF!</definedName>
    <definedName name="___Ent5" localSheetId="94">#REF!</definedName>
    <definedName name="___Ent5" localSheetId="20">#REF!</definedName>
    <definedName name="___Ent5" localSheetId="40">#REF!</definedName>
    <definedName name="___Ent5" localSheetId="41">#REF!</definedName>
    <definedName name="___Ent5" localSheetId="46">#REF!</definedName>
    <definedName name="___Ent5" localSheetId="27">#REF!</definedName>
    <definedName name="___Ent5" localSheetId="28">#REF!</definedName>
    <definedName name="___Ent5" localSheetId="35">#REF!</definedName>
    <definedName name="___Ent5" localSheetId="36">#REF!</definedName>
    <definedName name="___Ent5" localSheetId="37">#REF!</definedName>
    <definedName name="___Ent5" localSheetId="38">#REF!</definedName>
    <definedName name="___Ent5" localSheetId="39">#REF!</definedName>
    <definedName name="___Ent5" localSheetId="58">#REF!</definedName>
    <definedName name="__Ent6" localSheetId="94">'[1]Cash Flow Wksht'!#REF!</definedName>
    <definedName name="__Ent6" localSheetId="20">'[1]Cash Flow Wksht'!#REF!</definedName>
    <definedName name="__Ent6" localSheetId="40">'[1]Cash Flow Wksht'!#REF!</definedName>
    <definedName name="__Ent6" localSheetId="41">'[1]Cash Flow Wksht'!#REF!</definedName>
    <definedName name="__Ent6" localSheetId="46">'[1]Cash Flow Wksht'!#REF!</definedName>
    <definedName name="__Ent6" localSheetId="27">'[1]Cash Flow Wksht'!#REF!</definedName>
    <definedName name="__Ent6" localSheetId="28">'[1]Cash Flow Wksht'!#REF!</definedName>
    <definedName name="__Ent6" localSheetId="35">'[1]Cash Flow Wksht'!#REF!</definedName>
    <definedName name="__Ent6" localSheetId="36">'[1]Cash Flow Wksht'!#REF!</definedName>
    <definedName name="__Ent6" localSheetId="37">'[1]Cash Flow Wksht'!#REF!</definedName>
    <definedName name="__Ent6" localSheetId="38">'[1]Cash Flow Wksht'!#REF!</definedName>
    <definedName name="__Ent6" localSheetId="39">'[1]Cash Flow Wksht'!#REF!</definedName>
    <definedName name="__Ent6" localSheetId="58">'[1]Cash Flow Wksht'!#REF!</definedName>
    <definedName name="_C" localSheetId="20">#REF!</definedName>
    <definedName name="_C" localSheetId="40">#REF!</definedName>
    <definedName name="_C" localSheetId="41">#REF!</definedName>
    <definedName name="_C" localSheetId="46">#REF!</definedName>
    <definedName name="_C" localSheetId="27">#REF!</definedName>
    <definedName name="_C" localSheetId="28">#REF!</definedName>
    <definedName name="_C" localSheetId="38">#REF!</definedName>
    <definedName name="_C" localSheetId="39">#REF!</definedName>
    <definedName name="_C" localSheetId="58">#REF!</definedName>
    <definedName name="_Ent2" localSheetId="94">#REF!</definedName>
    <definedName name="_Ent2" localSheetId="20">#REF!</definedName>
    <definedName name="_Ent2" localSheetId="40">#REF!</definedName>
    <definedName name="_Ent2" localSheetId="41">#REF!</definedName>
    <definedName name="_Ent2" localSheetId="46">#REF!</definedName>
    <definedName name="_Ent2" localSheetId="27">#REF!</definedName>
    <definedName name="_Ent2" localSheetId="28">#REF!</definedName>
    <definedName name="_Ent2" localSheetId="35">#REF!</definedName>
    <definedName name="_Ent2" localSheetId="36">#REF!</definedName>
    <definedName name="_Ent2" localSheetId="37">#REF!</definedName>
    <definedName name="_Ent2" localSheetId="38">#REF!</definedName>
    <definedName name="_Ent2" localSheetId="39">#REF!</definedName>
    <definedName name="_Ent2" localSheetId="58">#REF!</definedName>
    <definedName name="_Ent3" localSheetId="94">#REF!</definedName>
    <definedName name="_Ent3" localSheetId="20">#REF!</definedName>
    <definedName name="_Ent3" localSheetId="40">#REF!</definedName>
    <definedName name="_Ent3" localSheetId="41">#REF!</definedName>
    <definedName name="_Ent3" localSheetId="46">#REF!</definedName>
    <definedName name="_Ent3" localSheetId="27">#REF!</definedName>
    <definedName name="_Ent3" localSheetId="28">#REF!</definedName>
    <definedName name="_Ent3" localSheetId="35">#REF!</definedName>
    <definedName name="_Ent3" localSheetId="36">#REF!</definedName>
    <definedName name="_Ent3" localSheetId="37">#REF!</definedName>
    <definedName name="_Ent3" localSheetId="38">#REF!</definedName>
    <definedName name="_Ent3" localSheetId="39">#REF!</definedName>
    <definedName name="_Ent3" localSheetId="58">#REF!</definedName>
    <definedName name="_Ent4" localSheetId="94">#REF!</definedName>
    <definedName name="_Ent4" localSheetId="20">#REF!</definedName>
    <definedName name="_Ent4" localSheetId="40">#REF!</definedName>
    <definedName name="_Ent4" localSheetId="41">#REF!</definedName>
    <definedName name="_Ent4" localSheetId="46">#REF!</definedName>
    <definedName name="_Ent4" localSheetId="27">#REF!</definedName>
    <definedName name="_Ent4" localSheetId="28">#REF!</definedName>
    <definedName name="_Ent4" localSheetId="35">#REF!</definedName>
    <definedName name="_Ent4" localSheetId="36">#REF!</definedName>
    <definedName name="_Ent4" localSheetId="37">#REF!</definedName>
    <definedName name="_Ent4" localSheetId="38">#REF!</definedName>
    <definedName name="_Ent4" localSheetId="39">#REF!</definedName>
    <definedName name="_Ent4" localSheetId="58">#REF!</definedName>
    <definedName name="_Ent5" localSheetId="94">#REF!</definedName>
    <definedName name="_Ent5" localSheetId="20">#REF!</definedName>
    <definedName name="_Ent5" localSheetId="40">#REF!</definedName>
    <definedName name="_Ent5" localSheetId="41">#REF!</definedName>
    <definedName name="_Ent5" localSheetId="46">#REF!</definedName>
    <definedName name="_Ent5" localSheetId="27">#REF!</definedName>
    <definedName name="_Ent5" localSheetId="28">#REF!</definedName>
    <definedName name="_Ent5" localSheetId="35">#REF!</definedName>
    <definedName name="_Ent5" localSheetId="36">#REF!</definedName>
    <definedName name="_Ent5" localSheetId="37">#REF!</definedName>
    <definedName name="_Ent5" localSheetId="38">#REF!</definedName>
    <definedName name="_Ent5" localSheetId="39">#REF!</definedName>
    <definedName name="_Ent5" localSheetId="58">#REF!</definedName>
    <definedName name="_Ent6" localSheetId="94">'[1]Cash Flow Wksht'!#REF!</definedName>
    <definedName name="_Ent6" localSheetId="20">'[1]Cash Flow Wksht'!#REF!</definedName>
    <definedName name="_Ent6" localSheetId="40">'[1]Cash Flow Wksht'!#REF!</definedName>
    <definedName name="_Ent6" localSheetId="41">'[1]Cash Flow Wksht'!#REF!</definedName>
    <definedName name="_Ent6" localSheetId="46">'[1]Cash Flow Wksht'!#REF!</definedName>
    <definedName name="_Ent6" localSheetId="27">'[1]Cash Flow Wksht'!#REF!</definedName>
    <definedName name="_Ent6" localSheetId="28">'[1]Cash Flow Wksht'!#REF!</definedName>
    <definedName name="_Ent6" localSheetId="35">'[1]Cash Flow Wksht'!#REF!</definedName>
    <definedName name="_Ent6" localSheetId="36">'[1]Cash Flow Wksht'!#REF!</definedName>
    <definedName name="_Ent6" localSheetId="37">'[1]Cash Flow Wksht'!#REF!</definedName>
    <definedName name="_Ent6" localSheetId="38">'[1]Cash Flow Wksht'!#REF!</definedName>
    <definedName name="_Ent6" localSheetId="39">'[1]Cash Flow Wksht'!#REF!</definedName>
    <definedName name="_Ent6" localSheetId="58">'[1]Cash Flow Wksht'!#REF!</definedName>
    <definedName name="_Tax" localSheetId="41">#REF!</definedName>
    <definedName name="_Tax" localSheetId="54">#REF!</definedName>
    <definedName name="_Tax" localSheetId="55">#REF!</definedName>
    <definedName name="_Tax" localSheetId="56">#REF!</definedName>
    <definedName name="_Tax" localSheetId="57">#REF!</definedName>
    <definedName name="_Tax">#REF!</definedName>
    <definedName name="AdjCPFunds" localSheetId="94">'[2]Auto Gov''tMajor Funds-Fund Stmt'!#REF!</definedName>
    <definedName name="AdjCPFunds" localSheetId="20">'[2]Auto Gov''tMajor Funds-Fund Stmt'!#REF!</definedName>
    <definedName name="AdjCPFunds" localSheetId="40">'[2]Auto Gov''tMajor Funds-Fund Stmt'!#REF!</definedName>
    <definedName name="AdjCPFunds" localSheetId="41">'[2]Auto Gov''tMajor Funds-Fund Stmt'!#REF!</definedName>
    <definedName name="AdjCPFunds" localSheetId="46">'[2]Auto Gov''tMajor Funds-Fund Stmt'!#REF!</definedName>
    <definedName name="AdjCPFunds" localSheetId="27">'[2]Auto Gov''tMajor Funds-Fund Stmt'!#REF!</definedName>
    <definedName name="AdjCPFunds" localSheetId="28">'[2]Auto Gov''tMajor Funds-Fund Stmt'!#REF!</definedName>
    <definedName name="AdjCPFunds" localSheetId="35">'[2]Auto Gov''tMajor Funds-Fund Stmt'!#REF!</definedName>
    <definedName name="AdjCPFunds" localSheetId="36">'[2]Auto Gov''tMajor Funds-Fund Stmt'!#REF!</definedName>
    <definedName name="AdjCPFunds" localSheetId="37">'[2]Auto Gov''tMajor Funds-Fund Stmt'!#REF!</definedName>
    <definedName name="AdjCPFunds" localSheetId="38">'[2]Auto Gov''tMajor Funds-Fund Stmt'!#REF!</definedName>
    <definedName name="AdjCPFunds" localSheetId="39">'[2]Auto Gov''tMajor Funds-Fund Stmt'!#REF!</definedName>
    <definedName name="AdjCPFunds" localSheetId="58">'[2]Auto Gov''tMajor Funds-Fund Stmt'!#REF!</definedName>
    <definedName name="AdjDSFunds" localSheetId="94">'[2]Auto Gov''tMajor Funds-Fund Stmt'!#REF!</definedName>
    <definedName name="AdjDSFunds" localSheetId="20">'[2]Auto Gov''tMajor Funds-Fund Stmt'!#REF!</definedName>
    <definedName name="AdjDSFunds" localSheetId="40">'[2]Auto Gov''tMajor Funds-Fund Stmt'!#REF!</definedName>
    <definedName name="AdjDSFunds" localSheetId="41">'[2]Auto Gov''tMajor Funds-Fund Stmt'!#REF!</definedName>
    <definedName name="AdjDSFunds" localSheetId="46">'[2]Auto Gov''tMajor Funds-Fund Stmt'!#REF!</definedName>
    <definedName name="AdjDSFunds" localSheetId="27">'[2]Auto Gov''tMajor Funds-Fund Stmt'!#REF!</definedName>
    <definedName name="AdjDSFunds" localSheetId="28">'[2]Auto Gov''tMajor Funds-Fund Stmt'!#REF!</definedName>
    <definedName name="AdjDSFunds" localSheetId="35">'[2]Auto Gov''tMajor Funds-Fund Stmt'!#REF!</definedName>
    <definedName name="AdjDSFunds" localSheetId="36">'[2]Auto Gov''tMajor Funds-Fund Stmt'!#REF!</definedName>
    <definedName name="AdjDSFunds" localSheetId="37">'[2]Auto Gov''tMajor Funds-Fund Stmt'!#REF!</definedName>
    <definedName name="AdjDSFunds" localSheetId="38">'[2]Auto Gov''tMajor Funds-Fund Stmt'!#REF!</definedName>
    <definedName name="AdjDSFunds" localSheetId="39">'[2]Auto Gov''tMajor Funds-Fund Stmt'!#REF!</definedName>
    <definedName name="AdjDSFunds" localSheetId="58">'[2]Auto Gov''tMajor Funds-Fund Stmt'!#REF!</definedName>
    <definedName name="AdjPermFunds" localSheetId="94">'[2]Auto Gov''tMajor Funds-Fund Stmt'!#REF!</definedName>
    <definedName name="AdjPermFunds" localSheetId="20">'[2]Auto Gov''tMajor Funds-Fund Stmt'!#REF!</definedName>
    <definedName name="AdjPermFunds" localSheetId="40">'[2]Auto Gov''tMajor Funds-Fund Stmt'!#REF!</definedName>
    <definedName name="AdjPermFunds" localSheetId="41">'[2]Auto Gov''tMajor Funds-Fund Stmt'!#REF!</definedName>
    <definedName name="AdjPermFunds" localSheetId="46">'[2]Auto Gov''tMajor Funds-Fund Stmt'!#REF!</definedName>
    <definedName name="AdjPermFunds" localSheetId="27">'[2]Auto Gov''tMajor Funds-Fund Stmt'!#REF!</definedName>
    <definedName name="AdjPermFunds" localSheetId="28">'[2]Auto Gov''tMajor Funds-Fund Stmt'!#REF!</definedName>
    <definedName name="AdjPermFunds" localSheetId="35">'[2]Auto Gov''tMajor Funds-Fund Stmt'!#REF!</definedName>
    <definedName name="AdjPermFunds" localSheetId="36">'[2]Auto Gov''tMajor Funds-Fund Stmt'!#REF!</definedName>
    <definedName name="AdjPermFunds" localSheetId="37">'[2]Auto Gov''tMajor Funds-Fund Stmt'!#REF!</definedName>
    <definedName name="AdjPermFunds" localSheetId="38">'[2]Auto Gov''tMajor Funds-Fund Stmt'!#REF!</definedName>
    <definedName name="AdjPermFunds" localSheetId="39">'[2]Auto Gov''tMajor Funds-Fund Stmt'!#REF!</definedName>
    <definedName name="AdjPermFunds" localSheetId="58">'[2]Auto Gov''tMajor Funds-Fund Stmt'!#REF!</definedName>
    <definedName name="AllIntSvc" localSheetId="94">#REF!</definedName>
    <definedName name="AllIntSvc" localSheetId="20">#REF!</definedName>
    <definedName name="AllIntSvc" localSheetId="40">#REF!</definedName>
    <definedName name="AllIntSvc" localSheetId="41">#REF!</definedName>
    <definedName name="AllIntSvc" localSheetId="46">#REF!</definedName>
    <definedName name="AllIntSvc" localSheetId="27">#REF!</definedName>
    <definedName name="AllIntSvc" localSheetId="28">#REF!</definedName>
    <definedName name="AllIntSvc" localSheetId="35">#REF!</definedName>
    <definedName name="AllIntSvc" localSheetId="36">#REF!</definedName>
    <definedName name="AllIntSvc" localSheetId="37">#REF!</definedName>
    <definedName name="AllIntSvc" localSheetId="38">#REF!</definedName>
    <definedName name="AllIntSvc" localSheetId="39">#REF!</definedName>
    <definedName name="AllIntSvc" localSheetId="58">#REF!</definedName>
    <definedName name="countycodetable" localSheetId="94">'[3]LedgerLoad Assist'!$A$185:$C$367</definedName>
    <definedName name="countycodetable" localSheetId="20">'[4]LedgerLoad Assist'!$A$185:$C$367</definedName>
    <definedName name="countycodetable" localSheetId="40">'[4]LedgerLoad Assist'!$A$185:$C$367</definedName>
    <definedName name="countycodetable" localSheetId="41">'[4]LedgerLoad Assist'!$A$185:$C$367</definedName>
    <definedName name="countycodetable" localSheetId="46">'[4]LedgerLoad Assist'!$A$185:$C$367</definedName>
    <definedName name="countycodetable" localSheetId="58">'[4]LedgerLoad Assist'!$A$185:$C$367</definedName>
    <definedName name="countycodetable">'LedgerLoad Assist'!$A$185:$C$367</definedName>
    <definedName name="CPFunds" localSheetId="94">#REF!</definedName>
    <definedName name="CPFunds" localSheetId="20">#REF!</definedName>
    <definedName name="CPFunds" localSheetId="40">#REF!</definedName>
    <definedName name="CPFunds" localSheetId="41">#REF!</definedName>
    <definedName name="CPFunds" localSheetId="46">#REF!</definedName>
    <definedName name="CPFunds" localSheetId="27">#REF!</definedName>
    <definedName name="CPFunds" localSheetId="28">#REF!</definedName>
    <definedName name="CPFunds" localSheetId="35">#REF!</definedName>
    <definedName name="CPFunds" localSheetId="36">#REF!</definedName>
    <definedName name="CPFunds" localSheetId="37">#REF!</definedName>
    <definedName name="CPFunds" localSheetId="38">#REF!</definedName>
    <definedName name="CPFunds" localSheetId="39">#REF!</definedName>
    <definedName name="CPFunds" localSheetId="58">#REF!</definedName>
    <definedName name="DSFunds" localSheetId="94">#REF!</definedName>
    <definedName name="DSFunds" localSheetId="20">#REF!</definedName>
    <definedName name="DSFunds" localSheetId="40">#REF!</definedName>
    <definedName name="DSFunds" localSheetId="41">#REF!</definedName>
    <definedName name="DSFunds" localSheetId="46">#REF!</definedName>
    <definedName name="DSFunds" localSheetId="27">#REF!</definedName>
    <definedName name="DSFunds" localSheetId="28">#REF!</definedName>
    <definedName name="DSFunds" localSheetId="35">#REF!</definedName>
    <definedName name="DSFunds" localSheetId="36">#REF!</definedName>
    <definedName name="DSFunds" localSheetId="37">#REF!</definedName>
    <definedName name="DSFunds" localSheetId="38">#REF!</definedName>
    <definedName name="DSFunds" localSheetId="39">#REF!</definedName>
    <definedName name="DSFunds" localSheetId="58">#REF!</definedName>
    <definedName name="Eligibility_for_benefit" localSheetId="35">'NOTES TO FIN ST (36)'!$C$89</definedName>
    <definedName name="entityname" localSheetId="94">'[5]List-County &amp; Entity Codes  '!$A$5:$D$189</definedName>
    <definedName name="entityname">'LedgerLoad Assist'!$A$185:$D$367</definedName>
    <definedName name="entitynumber" localSheetId="94">'[3]LedgerLoad Assist'!$A$185:$B$367</definedName>
    <definedName name="entitynumber" localSheetId="20">'[4]LedgerLoad Assist'!$A$185:$B$367</definedName>
    <definedName name="entitynumber" localSheetId="40">'[4]LedgerLoad Assist'!$A$185:$B$367</definedName>
    <definedName name="entitynumber" localSheetId="41">'[4]LedgerLoad Assist'!$A$185:$B$367</definedName>
    <definedName name="entitynumber" localSheetId="46">'[4]LedgerLoad Assist'!$A$185:$B$367</definedName>
    <definedName name="entitynumber" localSheetId="58">'[4]LedgerLoad Assist'!$A$185:$B$367</definedName>
    <definedName name="entitynumber">'LedgerLoad Assist'!$A$185:$B$367</definedName>
    <definedName name="FAQ" localSheetId="94">'[1]Cash Flow Wksht'!#REF!</definedName>
    <definedName name="FAQ" localSheetId="20">'[1]Cash Flow Wksht'!#REF!</definedName>
    <definedName name="FAQ" localSheetId="40">'[1]Cash Flow Wksht'!#REF!</definedName>
    <definedName name="FAQ" localSheetId="41">'[1]Cash Flow Wksht'!#REF!</definedName>
    <definedName name="FAQ" localSheetId="46">'[1]Cash Flow Wksht'!#REF!</definedName>
    <definedName name="FAQ" localSheetId="27">'[1]Cash Flow Wksht'!#REF!</definedName>
    <definedName name="FAQ" localSheetId="28">'[1]Cash Flow Wksht'!#REF!</definedName>
    <definedName name="FAQ" localSheetId="35">'[1]Cash Flow Wksht'!#REF!</definedName>
    <definedName name="FAQ" localSheetId="36">'[1]Cash Flow Wksht'!#REF!</definedName>
    <definedName name="FAQ" localSheetId="37">'[1]Cash Flow Wksht'!#REF!</definedName>
    <definedName name="FAQ" localSheetId="38">'[1]Cash Flow Wksht'!#REF!</definedName>
    <definedName name="FAQ" localSheetId="39">'[1]Cash Flow Wksht'!#REF!</definedName>
    <definedName name="FAQ" localSheetId="58">'[1]Cash Flow Wksht'!#REF!</definedName>
    <definedName name="majorfunds" localSheetId="94">'[3]LedgerLoad Assist'!$A$38:$B$41</definedName>
    <definedName name="majorfunds" localSheetId="20">'[4]LedgerLoad Assist'!$A$38:$B$41</definedName>
    <definedName name="majorfunds" localSheetId="40">'[4]LedgerLoad Assist'!$A$38:$B$41</definedName>
    <definedName name="majorfunds" localSheetId="41">'[4]LedgerLoad Assist'!$A$38:$B$41</definedName>
    <definedName name="majorfunds" localSheetId="46">'[4]LedgerLoad Assist'!$A$38:$B$41</definedName>
    <definedName name="majorfunds" localSheetId="58">'[4]LedgerLoad Assist'!$A$38:$B$41</definedName>
    <definedName name="majorfunds">'LedgerLoad Assist'!$A$38:$B$41</definedName>
    <definedName name="majorfundstable" localSheetId="94">'[5]List-County &amp; Entity Codes  '!#REF!</definedName>
    <definedName name="majorfundstable">'LedgerLoad Assist'!$A$38:$B$41</definedName>
    <definedName name="majorfundtable2" localSheetId="20">'[5]List-County &amp; Entity Codes  '!#REF!</definedName>
    <definedName name="majorfundtable2" localSheetId="40">'[5]List-County &amp; Entity Codes  '!#REF!</definedName>
    <definedName name="majorfundtable2" localSheetId="41">'[5]List-County &amp; Entity Codes  '!#REF!</definedName>
    <definedName name="majorfundtable2" localSheetId="46">'[5]List-County &amp; Entity Codes  '!#REF!</definedName>
    <definedName name="majorfundtable2" localSheetId="27">'[5]List-County &amp; Entity Codes  '!#REF!</definedName>
    <definedName name="majorfundtable2" localSheetId="28">'[5]List-County &amp; Entity Codes  '!#REF!</definedName>
    <definedName name="majorfundtable2" localSheetId="35">'[5]List-County &amp; Entity Codes  '!#REF!</definedName>
    <definedName name="majorfundtable2" localSheetId="36">'[5]List-County &amp; Entity Codes  '!#REF!</definedName>
    <definedName name="majorfundtable2" localSheetId="37">'[5]List-County &amp; Entity Codes  '!#REF!</definedName>
    <definedName name="majorfundtable2" localSheetId="38">'[5]List-County &amp; Entity Codes  '!#REF!</definedName>
    <definedName name="majorfundtable2" localSheetId="39">'[5]List-County &amp; Entity Codes  '!#REF!</definedName>
    <definedName name="majorfundtable2" localSheetId="58">'[5]List-County &amp; Entity Codes  '!#REF!</definedName>
    <definedName name="Note" localSheetId="20">#REF!</definedName>
    <definedName name="Note" localSheetId="40">#REF!</definedName>
    <definedName name="Note" localSheetId="41">#REF!</definedName>
    <definedName name="Note" localSheetId="46">#REF!</definedName>
    <definedName name="Note" localSheetId="27">#REF!</definedName>
    <definedName name="Note" localSheetId="28">#REF!</definedName>
    <definedName name="Note" localSheetId="37">#REF!</definedName>
    <definedName name="Note" localSheetId="38">#REF!</definedName>
    <definedName name="Note" localSheetId="39">#REF!</definedName>
    <definedName name="Note" localSheetId="58">#REF!</definedName>
    <definedName name="NotEnt3" localSheetId="94">'[1]Cash Flow Wksht'!#REF!</definedName>
    <definedName name="NotEnt3" localSheetId="20">'[1]Cash Flow Wksht'!#REF!</definedName>
    <definedName name="NotEnt3" localSheetId="40">'[1]Cash Flow Wksht'!#REF!</definedName>
    <definedName name="NotEnt3" localSheetId="41">'[1]Cash Flow Wksht'!#REF!</definedName>
    <definedName name="NotEnt3" localSheetId="46">'[1]Cash Flow Wksht'!#REF!</definedName>
    <definedName name="NotEnt3" localSheetId="27">'[1]Cash Flow Wksht'!#REF!</definedName>
    <definedName name="NotEnt3" localSheetId="28">'[1]Cash Flow Wksht'!#REF!</definedName>
    <definedName name="NotEnt3" localSheetId="35">'[1]Cash Flow Wksht'!#REF!</definedName>
    <definedName name="NotEnt3" localSheetId="36">'[1]Cash Flow Wksht'!#REF!</definedName>
    <definedName name="NotEnt3" localSheetId="37">'[1]Cash Flow Wksht'!#REF!</definedName>
    <definedName name="NotEnt3" localSheetId="38">'[1]Cash Flow Wksht'!#REF!</definedName>
    <definedName name="NotEnt3" localSheetId="39">'[1]Cash Flow Wksht'!#REF!</definedName>
    <definedName name="NotEnt3" localSheetId="58">'[1]Cash Flow Wksht'!#REF!</definedName>
    <definedName name="OtherEnt" localSheetId="94">#REF!</definedName>
    <definedName name="OtherEnt" localSheetId="20">#REF!</definedName>
    <definedName name="OtherEnt" localSheetId="40">#REF!</definedName>
    <definedName name="OtherEnt" localSheetId="41">#REF!</definedName>
    <definedName name="OtherEnt" localSheetId="46">#REF!</definedName>
    <definedName name="OtherEnt" localSheetId="27">#REF!</definedName>
    <definedName name="OtherEnt" localSheetId="28">#REF!</definedName>
    <definedName name="OtherEnt" localSheetId="35">#REF!</definedName>
    <definedName name="OtherEnt" localSheetId="36">#REF!</definedName>
    <definedName name="OtherEnt" localSheetId="37">#REF!</definedName>
    <definedName name="OtherEnt" localSheetId="38">#REF!</definedName>
    <definedName name="OtherEnt" localSheetId="39">#REF!</definedName>
    <definedName name="OtherEnt" localSheetId="58">#REF!</definedName>
    <definedName name="PermFunds" localSheetId="94">#REF!</definedName>
    <definedName name="PermFunds" localSheetId="20">#REF!</definedName>
    <definedName name="PermFunds" localSheetId="40">#REF!</definedName>
    <definedName name="PermFunds" localSheetId="41">#REF!</definedName>
    <definedName name="PermFunds" localSheetId="46">#REF!</definedName>
    <definedName name="PermFunds" localSheetId="27">#REF!</definedName>
    <definedName name="PermFunds" localSheetId="28">#REF!</definedName>
    <definedName name="PermFunds" localSheetId="35">#REF!</definedName>
    <definedName name="PermFunds" localSheetId="36">#REF!</definedName>
    <definedName name="PermFunds" localSheetId="37">#REF!</definedName>
    <definedName name="PermFunds" localSheetId="38">#REF!</definedName>
    <definedName name="PermFunds" localSheetId="39">#REF!</definedName>
    <definedName name="PermFunds" localSheetId="58">#REF!</definedName>
    <definedName name="_xlnm.Print_Area" localSheetId="65">'BS-NONMAJOR CAP. PROJ.(71-72)'!$A$1:$N$60</definedName>
    <definedName name="_xlnm.Print_Area" localSheetId="63">'BS-NONMAJOR DEBT SERVICE(67-68)'!$A$1:$M$60</definedName>
    <definedName name="_xlnm.Print_Area" localSheetId="70">'CHG. IN NP-NONMAJOR ENTERPR(80)'!$A$1:$H$50</definedName>
    <definedName name="_xlnm.Print_Area" localSheetId="90">'Compensated Absences'!$A$1:$AA$27</definedName>
    <definedName name="_xlnm.Print_Area" localSheetId="1">'COVER PAGE'!$A$1:$J$51</definedName>
    <definedName name="_xlnm.Print_Area" localSheetId="86">'Depr.-General'!$B$1:$S$34</definedName>
    <definedName name="_xlnm.Print_Area" localSheetId="6">'ELECTED OFFICIALS-SIGNATURE PG'!$A$1:$C$66</definedName>
    <definedName name="_xlnm.Print_Area" localSheetId="75">'FED.-ST. INTERGOVERNMENTAL(85)'!$A$1:$D$68</definedName>
    <definedName name="_xlnm.Print_Area" localSheetId="2">'FILING FEE FORM'!$A$1:$G$98</definedName>
    <definedName name="_xlnm.Print_Area" localSheetId="78">'GEN. INFO.  SECT. COVER'!$A$1:$J$8</definedName>
    <definedName name="_xlnm.Print_Area" localSheetId="49">'GENERAL FUND-OPERATING(48-53)'!$A$11:$F$316</definedName>
    <definedName name="_xlnm.Print_Area" localSheetId="12">'GOVERNMENTAL FUNDS - BS(15)'!$A$1:$M$94</definedName>
    <definedName name="_xlnm.Print_Area" localSheetId="10">'GW-STATEMENT NET POSITION(13)'!$A$1:$G$70</definedName>
    <definedName name="_xlnm.Print_Area" localSheetId="0">Instructions!$A$1:$N$305</definedName>
    <definedName name="_xlnm.Print_Area" localSheetId="4">'INTROD. SECT. COVER'!$A$1:$J$8</definedName>
    <definedName name="_xlnm.Print_Area" localSheetId="8">'MD&amp;A COVER'!$A$1:$J$16</definedName>
    <definedName name="_xlnm.Print_Area" localSheetId="15">'NET POSITION-PROPRIETARY(18)'!$A$1:$I$91</definedName>
    <definedName name="_xlnm.Print_Area" localSheetId="69">'NET POSIT-NONMAJOR ENTERPR(79)'!$A$1:$H$86</definedName>
    <definedName name="_xlnm.Print_Area" localSheetId="41">'NOTE TO FIN ST (42)'!$A$1:$I$51</definedName>
    <definedName name="_xlnm.Print_Area" localSheetId="26">'NOTES TO FIN ST (29)'!$A$1:$L$58</definedName>
    <definedName name="_xlnm.Print_Area" localSheetId="27">'NOTES TO FIN ST (30)'!$A$1:$M$57</definedName>
    <definedName name="_xlnm.Print_Area" localSheetId="28">'NOTES TO FIN ST (31)'!$A$1:$M$71</definedName>
    <definedName name="_xlnm.Print_Area" localSheetId="29">'NOTES TO FIN ST (32)'!$A$1:$N$72</definedName>
    <definedName name="_xlnm.Print_Area" localSheetId="30">'NOTES TO FIN ST (33)'!$A$1:$M$62</definedName>
    <definedName name="_xlnm.Print_Area" localSheetId="31">'NOTES TO FIN ST (34)'!$A$1:$M$62</definedName>
    <definedName name="_xlnm.Print_Area" localSheetId="47">'NOTES TO FIN ST (47)'!$A$1:$O$78</definedName>
    <definedName name="_xlnm.Print_Area" localSheetId="51">'OPER.-MAJOR SP. REV. (B)(57-59)'!$A$1:$AD$61</definedName>
    <definedName name="_xlnm.Print_Area" localSheetId="66">'OPER.-NONMAJOR CAP. PROJ(73-74)'!$A$1:$AX$54</definedName>
    <definedName name="_xlnm.Print_Area" localSheetId="64">'OPER.-NONMAJOR DEBT SER.(69-70)'!$A$1:$AT$51</definedName>
    <definedName name="_xlnm.Print_Area" localSheetId="62">'OPER.-NONMAJOR SP. REVE (B)(66)'!$A$1:$IT$61</definedName>
    <definedName name="_xlnm.Print_Area" localSheetId="61">'OPER.-NONMAJOR SP. REVENUE(65)'!$A$2:$IT$41</definedName>
    <definedName name="_xlnm.Print_Area" localSheetId="68">'OPER.-PERMANENT FUNDS(77-78)'!$A$1:$H$54</definedName>
    <definedName name="_xlnm.Print_Area" localSheetId="50">'OPER-MAJOR SP. REVENUE(54-56)'!$A$1:$AD$41</definedName>
    <definedName name="_xlnm.Print_Area" localSheetId="14">'RECONCILIATION OF OPERATING(17)'!$A$1:$C$60</definedName>
    <definedName name="_xlnm.Print_Area" localSheetId="54">'RSI-FURS (61-B)'!$A$1:$H$80</definedName>
    <definedName name="_xlnm.Print_Area" localSheetId="55">'RSI-MPORS (61-C)'!$A$1:$H$82</definedName>
    <definedName name="_xlnm.Print_Area" localSheetId="53">'RSI-PERS (61-A)'!$A$1:$H$120</definedName>
    <definedName name="_xlnm.Print_Area" localSheetId="56">'RSI-SRS (61-D)'!$A$1:$H$69</definedName>
    <definedName name="_xlnm.Print_Area" localSheetId="57">'RSI-TRS (61-E)'!$A$1:$H$120</definedName>
    <definedName name="_xlnm.Print_Area" localSheetId="3">'TABLE OF CONTENTS'!$A$1:$C$64</definedName>
    <definedName name="_xlnm.Print_Titles" localSheetId="65">'BS-NONMAJOR CAP. PROJ.(71-72)'!$A:$B</definedName>
    <definedName name="_xlnm.Print_Titles" localSheetId="63">'BS-NONMAJOR DEBT SERVICE(67-68)'!$A:$B</definedName>
    <definedName name="_xlnm.Print_Titles" localSheetId="60">'BS-NONMAJOR SP. REVENUE(63-64) '!$A:$B</definedName>
    <definedName name="_xlnm.Print_Titles" localSheetId="67">'BS-PERMANENT FUNDS(75-76)'!$A:$B</definedName>
    <definedName name="_xlnm.Print_Titles" localSheetId="86">'Depr.-General'!$1:$4</definedName>
    <definedName name="_xlnm.Print_Titles" localSheetId="49">'GENERAL FUND-OPERATING(48-53)'!$1:$10</definedName>
    <definedName name="_xlnm.Print_Titles" localSheetId="0">Instructions!$1:$1</definedName>
    <definedName name="_xlnm.Print_Titles" localSheetId="51">'OPER.-MAJOR SP. REV. (B)(57-59)'!$A:$B</definedName>
    <definedName name="_xlnm.Print_Titles" localSheetId="66">'OPER.-NONMAJOR CAP. PROJ(73-74)'!$A:$B</definedName>
    <definedName name="_xlnm.Print_Titles" localSheetId="64">'OPER.-NONMAJOR DEBT SER.(69-70)'!$A:$B</definedName>
    <definedName name="_xlnm.Print_Titles" localSheetId="62">'OPER.-NONMAJOR SP. REVE (B)(66)'!$A:$B</definedName>
    <definedName name="_xlnm.Print_Titles" localSheetId="61">'OPER.-NONMAJOR SP. REVENUE(65)'!$A:$B</definedName>
    <definedName name="_xlnm.Print_Titles" localSheetId="68">'OPER.-PERMANENT FUNDS(77-78)'!$A:$B</definedName>
    <definedName name="_xlnm.Print_Titles" localSheetId="50">'OPER-MAJOR SP. REVENUE(54-56)'!$A:$B</definedName>
    <definedName name="_xlnm.Print_Titles" localSheetId="76">'SCHEDULE OF REC. &amp; DISB.'!$1:$5</definedName>
    <definedName name="Print_Titles_MI">'Depr.-General'!$1:$4</definedName>
    <definedName name="sample" localSheetId="94">'[1]Cash Flow Wksht'!#REF!</definedName>
    <definedName name="sample" localSheetId="20">'[1]Cash Flow Wksht'!#REF!</definedName>
    <definedName name="sample" localSheetId="40">'[1]Cash Flow Wksht'!#REF!</definedName>
    <definedName name="sample" localSheetId="41">'[1]Cash Flow Wksht'!#REF!</definedName>
    <definedName name="sample" localSheetId="46">'[1]Cash Flow Wksht'!#REF!</definedName>
    <definedName name="sample" localSheetId="27">'[1]Cash Flow Wksht'!#REF!</definedName>
    <definedName name="sample" localSheetId="28">'[1]Cash Flow Wksht'!#REF!</definedName>
    <definedName name="sample" localSheetId="35">'[1]Cash Flow Wksht'!#REF!</definedName>
    <definedName name="sample" localSheetId="36">'[1]Cash Flow Wksht'!#REF!</definedName>
    <definedName name="sample" localSheetId="37">'[1]Cash Flow Wksht'!#REF!</definedName>
    <definedName name="sample" localSheetId="38">'[1]Cash Flow Wksht'!#REF!</definedName>
    <definedName name="sample" localSheetId="39">'[1]Cash Flow Wksht'!#REF!</definedName>
    <definedName name="sample" localSheetId="58">'[1]Cash Flow Wksht'!#REF!</definedName>
    <definedName name="Year" localSheetId="94">'[3]LedgerLoad Assist'!$A$7:$B$33</definedName>
    <definedName name="Year" localSheetId="20">'[4]LedgerLoad Assist'!$A$7:$B$33</definedName>
    <definedName name="Year" localSheetId="40">'[4]LedgerLoad Assist'!$A$7:$B$33</definedName>
    <definedName name="Year" localSheetId="41">'[4]LedgerLoad Assist'!$A$7:$B$33</definedName>
    <definedName name="Year" localSheetId="46">'[4]LedgerLoad Assist'!$A$7:$B$33</definedName>
    <definedName name="Year" localSheetId="58">'[4]LedgerLoad Assist'!$A$7:$B$33</definedName>
    <definedName name="Year">'LedgerLoad Assist'!$A$7:$B$33</definedName>
    <definedName name="Z_FC3B3501_CA52_40D7_B049_0E027A15B235_.wvu.Cols" localSheetId="60" hidden="1">'BS-NONMAJOR SP. REVENUE(63-64) '!$BM:$BM</definedName>
    <definedName name="Z_FC3B3501_CA52_40D7_B049_0E027A15B235_.wvu.Cols" localSheetId="93" hidden="1">'Ledger Load Template LGSvcs TEM'!$H:$I,'Ledger Load Template LGSvcs TEM'!$K:$P,'Ledger Load Template LGSvcs TEM'!$R:$S,'Ledger Load Template LGSvcs TEM'!$U:$V,'Ledger Load Template LGSvcs TEM'!$X:$X</definedName>
    <definedName name="Z_FC3B3501_CA52_40D7_B049_0E027A15B235_.wvu.PrintArea" localSheetId="65" hidden="1">'BS-NONMAJOR CAP. PROJ.(71-72)'!$A$1:$N$60</definedName>
    <definedName name="Z_FC3B3501_CA52_40D7_B049_0E027A15B235_.wvu.PrintArea" localSheetId="63" hidden="1">'BS-NONMAJOR DEBT SERVICE(67-68)'!$A$1:$M$60</definedName>
    <definedName name="Z_FC3B3501_CA52_40D7_B049_0E027A15B235_.wvu.PrintArea" localSheetId="70" hidden="1">'CHG. IN NP-NONMAJOR ENTERPR(80)'!$A$1:$H$50</definedName>
    <definedName name="Z_FC3B3501_CA52_40D7_B049_0E027A15B235_.wvu.PrintArea" localSheetId="90" hidden="1">'Compensated Absences'!$A$1:$AA$20</definedName>
    <definedName name="Z_FC3B3501_CA52_40D7_B049_0E027A15B235_.wvu.PrintArea" localSheetId="1" hidden="1">'COVER PAGE'!$A$1:$J$51</definedName>
    <definedName name="Z_FC3B3501_CA52_40D7_B049_0E027A15B235_.wvu.PrintArea" localSheetId="86" hidden="1">'Depr.-General'!$B$1:$S$34</definedName>
    <definedName name="Z_FC3B3501_CA52_40D7_B049_0E027A15B235_.wvu.PrintArea" localSheetId="6" hidden="1">'ELECTED OFFICIALS-SIGNATURE PG'!$A$1:$C$66</definedName>
    <definedName name="Z_FC3B3501_CA52_40D7_B049_0E027A15B235_.wvu.PrintArea" localSheetId="75" hidden="1">'FED.-ST. INTERGOVERNMENTAL(85)'!$A$1:$D$68</definedName>
    <definedName name="Z_FC3B3501_CA52_40D7_B049_0E027A15B235_.wvu.PrintArea" localSheetId="78" hidden="1">'GEN. INFO.  SECT. COVER'!$A$1:$J$8</definedName>
    <definedName name="Z_FC3B3501_CA52_40D7_B049_0E027A15B235_.wvu.PrintArea" localSheetId="49" hidden="1">'GENERAL FUND-OPERATING(48-53)'!$A$11:$F$316</definedName>
    <definedName name="Z_FC3B3501_CA52_40D7_B049_0E027A15B235_.wvu.PrintArea" localSheetId="12" hidden="1">'GOVERNMENTAL FUNDS - BS(15)'!$A$1:$M$94</definedName>
    <definedName name="Z_FC3B3501_CA52_40D7_B049_0E027A15B235_.wvu.PrintArea" localSheetId="10" hidden="1">'GW-STATEMENT NET POSITION(13)'!$A$1:$G$70</definedName>
    <definedName name="Z_FC3B3501_CA52_40D7_B049_0E027A15B235_.wvu.PrintArea" localSheetId="0" hidden="1">Instructions!$A$1:$N$299</definedName>
    <definedName name="Z_FC3B3501_CA52_40D7_B049_0E027A15B235_.wvu.PrintArea" localSheetId="4" hidden="1">'INTROD. SECT. COVER'!$A$1:$J$8</definedName>
    <definedName name="Z_FC3B3501_CA52_40D7_B049_0E027A15B235_.wvu.PrintArea" localSheetId="8" hidden="1">'MD&amp;A COVER'!$A$1:$J$16</definedName>
    <definedName name="Z_FC3B3501_CA52_40D7_B049_0E027A15B235_.wvu.PrintArea" localSheetId="15" hidden="1">'NET POSITION-PROPRIETARY(18)'!$A$1:$I$91</definedName>
    <definedName name="Z_FC3B3501_CA52_40D7_B049_0E027A15B235_.wvu.PrintArea" localSheetId="69" hidden="1">'NET POSIT-NONMAJOR ENTERPR(79)'!$A$1:$H$86</definedName>
    <definedName name="Z_FC3B3501_CA52_40D7_B049_0E027A15B235_.wvu.PrintArea" localSheetId="26" hidden="1">'NOTES TO FIN ST (29)'!$A$1:$L$58</definedName>
    <definedName name="Z_FC3B3501_CA52_40D7_B049_0E027A15B235_.wvu.PrintArea" localSheetId="27" hidden="1">'NOTES TO FIN ST (30)'!$A$1:$L$57</definedName>
    <definedName name="Z_FC3B3501_CA52_40D7_B049_0E027A15B235_.wvu.PrintArea" localSheetId="28" hidden="1">'NOTES TO FIN ST (31)'!$A$1:$L$71</definedName>
    <definedName name="Z_FC3B3501_CA52_40D7_B049_0E027A15B235_.wvu.PrintArea" localSheetId="29" hidden="1">'NOTES TO FIN ST (32)'!$A$1:$N$72</definedName>
    <definedName name="Z_FC3B3501_CA52_40D7_B049_0E027A15B235_.wvu.PrintArea" localSheetId="30" hidden="1">'NOTES TO FIN ST (33)'!$A$1:$M$62</definedName>
    <definedName name="Z_FC3B3501_CA52_40D7_B049_0E027A15B235_.wvu.PrintArea" localSheetId="31" hidden="1">'NOTES TO FIN ST (34)'!$A$1:$M$62</definedName>
    <definedName name="Z_FC3B3501_CA52_40D7_B049_0E027A15B235_.wvu.PrintArea" localSheetId="47" hidden="1">'NOTES TO FIN ST (47)'!$A$1:$O$78</definedName>
    <definedName name="Z_FC3B3501_CA52_40D7_B049_0E027A15B235_.wvu.PrintArea" localSheetId="51" hidden="1">'OPER.-MAJOR SP. REV. (B)(57-59)'!$A$1:$AD$61</definedName>
    <definedName name="Z_FC3B3501_CA52_40D7_B049_0E027A15B235_.wvu.PrintArea" localSheetId="66" hidden="1">'OPER.-NONMAJOR CAP. PROJ(73-74)'!$A$1:$AX$54</definedName>
    <definedName name="Z_FC3B3501_CA52_40D7_B049_0E027A15B235_.wvu.PrintArea" localSheetId="64" hidden="1">'OPER.-NONMAJOR DEBT SER.(69-70)'!$A$1:$AT$51</definedName>
    <definedName name="Z_FC3B3501_CA52_40D7_B049_0E027A15B235_.wvu.PrintArea" localSheetId="62" hidden="1">'OPER.-NONMAJOR SP. REVE (B)(66)'!$A$1:$IT$61</definedName>
    <definedName name="Z_FC3B3501_CA52_40D7_B049_0E027A15B235_.wvu.PrintArea" localSheetId="61" hidden="1">'OPER.-NONMAJOR SP. REVENUE(65)'!$A$2:$IT$41</definedName>
    <definedName name="Z_FC3B3501_CA52_40D7_B049_0E027A15B235_.wvu.PrintArea" localSheetId="68" hidden="1">'OPER.-PERMANENT FUNDS(77-78)'!$A$1:$H$54</definedName>
    <definedName name="Z_FC3B3501_CA52_40D7_B049_0E027A15B235_.wvu.PrintArea" localSheetId="50" hidden="1">'OPER-MAJOR SP. REVENUE(54-56)'!$A$1:$AD$41</definedName>
    <definedName name="Z_FC3B3501_CA52_40D7_B049_0E027A15B235_.wvu.PrintArea" localSheetId="14" hidden="1">'RECONCILIATION OF OPERATING(17)'!$A$1:$C$60</definedName>
    <definedName name="Z_FC3B3501_CA52_40D7_B049_0E027A15B235_.wvu.PrintArea" localSheetId="3" hidden="1">'TABLE OF CONTENTS'!$A$1:$C$64</definedName>
    <definedName name="Z_FC3B3501_CA52_40D7_B049_0E027A15B235_.wvu.PrintTitles" localSheetId="65" hidden="1">'BS-NONMAJOR CAP. PROJ.(71-72)'!$A:$B</definedName>
    <definedName name="Z_FC3B3501_CA52_40D7_B049_0E027A15B235_.wvu.PrintTitles" localSheetId="63" hidden="1">'BS-NONMAJOR DEBT SERVICE(67-68)'!$A:$B</definedName>
    <definedName name="Z_FC3B3501_CA52_40D7_B049_0E027A15B235_.wvu.PrintTitles" localSheetId="60" hidden="1">'BS-NONMAJOR SP. REVENUE(63-64) '!$A:$B</definedName>
    <definedName name="Z_FC3B3501_CA52_40D7_B049_0E027A15B235_.wvu.PrintTitles" localSheetId="67" hidden="1">'BS-PERMANENT FUNDS(75-76)'!$A:$B</definedName>
    <definedName name="Z_FC3B3501_CA52_40D7_B049_0E027A15B235_.wvu.PrintTitles" localSheetId="86" hidden="1">'Depr.-General'!$1:$4</definedName>
    <definedName name="Z_FC3B3501_CA52_40D7_B049_0E027A15B235_.wvu.PrintTitles" localSheetId="49" hidden="1">'GENERAL FUND-OPERATING(48-53)'!$1:$10</definedName>
    <definedName name="Z_FC3B3501_CA52_40D7_B049_0E027A15B235_.wvu.PrintTitles" localSheetId="0" hidden="1">Instructions!$1:$1</definedName>
    <definedName name="Z_FC3B3501_CA52_40D7_B049_0E027A15B235_.wvu.PrintTitles" localSheetId="51" hidden="1">'OPER.-MAJOR SP. REV. (B)(57-59)'!$A:$B</definedName>
    <definedName name="Z_FC3B3501_CA52_40D7_B049_0E027A15B235_.wvu.PrintTitles" localSheetId="66" hidden="1">'OPER.-NONMAJOR CAP. PROJ(73-74)'!$A:$B</definedName>
    <definedName name="Z_FC3B3501_CA52_40D7_B049_0E027A15B235_.wvu.PrintTitles" localSheetId="64" hidden="1">'OPER.-NONMAJOR DEBT SER.(69-70)'!$A:$B</definedName>
    <definedName name="Z_FC3B3501_CA52_40D7_B049_0E027A15B235_.wvu.PrintTitles" localSheetId="62" hidden="1">'OPER.-NONMAJOR SP. REVE (B)(66)'!$A:$B</definedName>
    <definedName name="Z_FC3B3501_CA52_40D7_B049_0E027A15B235_.wvu.PrintTitles" localSheetId="61" hidden="1">'OPER.-NONMAJOR SP. REVENUE(65)'!$A:$B</definedName>
    <definedName name="Z_FC3B3501_CA52_40D7_B049_0E027A15B235_.wvu.PrintTitles" localSheetId="68" hidden="1">'OPER.-PERMANENT FUNDS(77-78)'!$A:$B</definedName>
    <definedName name="Z_FC3B3501_CA52_40D7_B049_0E027A15B235_.wvu.PrintTitles" localSheetId="50" hidden="1">'OPER-MAJOR SP. REVENUE(54-56)'!$A:$B</definedName>
    <definedName name="Z_FC3B3501_CA52_40D7_B049_0E027A15B235_.wvu.PrintTitles" localSheetId="76" hidden="1">'SCHEDULE OF REC. &amp; DISB.'!$1:$5</definedName>
    <definedName name="Z_FC3B3501_CA52_40D7_B049_0E027A15B235_.wvu.Rows" localSheetId="91" hidden="1">'Balance Check Page'!$2:$18</definedName>
    <definedName name="Z_FC3B3501_CA52_40D7_B049_0E027A15B235_.wvu.Rows" localSheetId="60" hidden="1">'BS-NONMAJOR SP. REVENUE(63-64) '!$1:$2</definedName>
    <definedName name="Z_FC3B3501_CA52_40D7_B049_0E027A15B235_.wvu.Rows" localSheetId="75" hidden="1">'FED.-ST. INTERGOVERNMENTAL(85)'!$65:$66</definedName>
    <definedName name="Z_FC3B3501_CA52_40D7_B049_0E027A15B235_.wvu.Rows" localSheetId="0" hidden="1">Instructions!$154:$154</definedName>
    <definedName name="Z_FC3B3501_CA52_40D7_B049_0E027A15B235_.wvu.Rows" localSheetId="93" hidden="1">'Ledger Load Template LGSvcs TEM'!$1:$1</definedName>
    <definedName name="Z_FC3B3501_CA52_40D7_B049_0E027A15B235_.wvu.Rows" localSheetId="18" hidden="1">'NET POSITION-FIDUCIARY(21)'!$6:$6</definedName>
  </definedNames>
  <calcPr calcId="181029"/>
  <customWorkbookViews>
    <customWorkbookView name="Erickson, Darla - Personal View" guid="{FC3B3501-CA52-40D7-B049-0E027A15B235}" mergeInterval="0" personalView="1" maximized="1" windowWidth="1280" windowHeight="759" tabRatio="631" activeSheetId="13"/>
  </customWorkbookViews>
</workbook>
</file>

<file path=xl/calcChain.xml><?xml version="1.0" encoding="utf-8"?>
<calcChain xmlns="http://schemas.openxmlformats.org/spreadsheetml/2006/main">
  <c r="F26" i="27" l="1"/>
  <c r="F42" i="27" s="1"/>
  <c r="F30" i="73" l="1"/>
  <c r="Q30" i="73"/>
  <c r="R30" i="73" s="1"/>
  <c r="F28" i="72"/>
  <c r="Q28" i="72"/>
  <c r="R28" i="72" s="1"/>
  <c r="Q36" i="72"/>
  <c r="R36" i="72" s="1"/>
  <c r="AA22" i="75" l="1"/>
  <c r="H13" i="105" l="1"/>
  <c r="G13" i="105"/>
  <c r="F13" i="105"/>
  <c r="H14" i="104"/>
  <c r="G14" i="104"/>
  <c r="F14" i="104"/>
  <c r="A47" i="104"/>
  <c r="H15" i="102"/>
  <c r="G15" i="102"/>
  <c r="F15" i="102"/>
  <c r="H15" i="101"/>
  <c r="G15" i="101"/>
  <c r="F15" i="101"/>
  <c r="H14" i="100"/>
  <c r="G14" i="100"/>
  <c r="F14" i="100"/>
  <c r="B14" i="97" l="1"/>
  <c r="K14" i="97"/>
  <c r="J14" i="97"/>
  <c r="I14" i="97"/>
  <c r="H14" i="97"/>
  <c r="G14" i="97"/>
  <c r="F14" i="97"/>
  <c r="E14" i="97"/>
  <c r="D14" i="97"/>
  <c r="C14" i="97"/>
  <c r="K22" i="97"/>
  <c r="J22" i="97"/>
  <c r="I22" i="97"/>
  <c r="H22" i="97"/>
  <c r="G22" i="97"/>
  <c r="F22" i="97"/>
  <c r="E22" i="97"/>
  <c r="D22" i="97"/>
  <c r="C22" i="97"/>
  <c r="B22" i="97"/>
  <c r="A2" i="98" l="1"/>
  <c r="A2" i="99" s="1"/>
  <c r="AP41" i="49" l="1"/>
  <c r="AP40" i="49"/>
  <c r="AL41" i="49"/>
  <c r="AL40" i="49"/>
  <c r="AH41" i="49"/>
  <c r="AH40" i="49"/>
  <c r="AD41" i="49"/>
  <c r="AD40" i="49"/>
  <c r="Z41" i="49"/>
  <c r="Z40" i="49"/>
  <c r="V41" i="49"/>
  <c r="V40" i="49"/>
  <c r="R41" i="49"/>
  <c r="R40" i="49"/>
  <c r="N41" i="49"/>
  <c r="N40" i="49"/>
  <c r="J41" i="49"/>
  <c r="J40" i="49"/>
  <c r="F41" i="49"/>
  <c r="F40" i="49"/>
  <c r="A3" i="98" l="1"/>
  <c r="A3" i="99"/>
  <c r="A3" i="34"/>
  <c r="A1" i="34"/>
  <c r="C3" i="35"/>
  <c r="C1" i="35"/>
  <c r="C3" i="36"/>
  <c r="C1" i="36"/>
  <c r="B3" i="37"/>
  <c r="B1" i="37"/>
  <c r="A3" i="38"/>
  <c r="A1" i="38"/>
  <c r="A3" i="22"/>
  <c r="A3" i="23" s="1"/>
  <c r="A3" i="24" s="1"/>
  <c r="A3" i="25" s="1"/>
  <c r="A3" i="26" s="1"/>
  <c r="A3" i="27" s="1"/>
  <c r="A3" i="92" s="1"/>
  <c r="A3" i="93" s="1"/>
  <c r="A3" i="96" l="1"/>
  <c r="A3" i="28"/>
  <c r="A3" i="29" s="1"/>
  <c r="A3" i="30" s="1"/>
  <c r="A3" i="31" s="1"/>
  <c r="A3" i="32" s="1"/>
  <c r="A3" i="33" s="1"/>
  <c r="A3" i="85" s="1"/>
  <c r="A3" i="86" s="1"/>
  <c r="A3" i="87" s="1"/>
  <c r="A3" i="88" s="1"/>
  <c r="A3" i="90" s="1"/>
  <c r="A1" i="99"/>
  <c r="A1" i="98" l="1"/>
  <c r="B37" i="98"/>
  <c r="B38" i="98" s="1"/>
  <c r="B39" i="98" s="1"/>
  <c r="B40" i="98" s="1"/>
  <c r="D27" i="29"/>
  <c r="D26" i="29"/>
  <c r="D25" i="29"/>
  <c r="D24" i="29"/>
  <c r="A1" i="95" l="1"/>
  <c r="A1" i="96" l="1"/>
  <c r="A1" i="22"/>
  <c r="A1" i="23" s="1"/>
  <c r="A1" i="24" s="1"/>
  <c r="A1" i="25" s="1"/>
  <c r="A1" i="26" s="1"/>
  <c r="A1" i="27" s="1"/>
  <c r="A1" i="92" s="1"/>
  <c r="A1" i="93" s="1"/>
  <c r="A1" i="28" s="1"/>
  <c r="A1" i="29" s="1"/>
  <c r="A1" i="30" s="1"/>
  <c r="A1" i="31" s="1"/>
  <c r="A1" i="32" s="1"/>
  <c r="A1" i="33" s="1"/>
  <c r="A1" i="85" s="1"/>
  <c r="A1" i="86" s="1"/>
  <c r="A1" i="87" s="1"/>
  <c r="A1" i="88" s="1"/>
  <c r="A1" i="90" s="1"/>
  <c r="E37" i="57" l="1"/>
  <c r="D37" i="57"/>
  <c r="C37"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64" i="66" l="1"/>
  <c r="D68" i="66" s="1"/>
  <c r="D54" i="67" l="1"/>
  <c r="D69" i="66"/>
  <c r="K69" i="93" l="1"/>
  <c r="F69" i="93"/>
  <c r="AS47" i="49" l="1"/>
  <c r="AS46" i="49"/>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G43" i="11" l="1"/>
  <c r="F43" i="11"/>
  <c r="AA829" i="81" l="1"/>
  <c r="AA828" i="81"/>
  <c r="AA827" i="81"/>
  <c r="AA826" i="81"/>
  <c r="AA825" i="81"/>
  <c r="AA824" i="81"/>
  <c r="AA823" i="81"/>
  <c r="AA822" i="81"/>
  <c r="AA816" i="81"/>
  <c r="AA815" i="81"/>
  <c r="AA814" i="81"/>
  <c r="AA813" i="81"/>
  <c r="AA811" i="81"/>
  <c r="AA810" i="81"/>
  <c r="AA809" i="81"/>
  <c r="AA807" i="81"/>
  <c r="AA802" i="81"/>
  <c r="AA795" i="81"/>
  <c r="AA794" i="81"/>
  <c r="AA791" i="81"/>
  <c r="AA788" i="81"/>
  <c r="AA785" i="81"/>
  <c r="AA782" i="81"/>
  <c r="AA781" i="81"/>
  <c r="AA780" i="81"/>
  <c r="AA777" i="81"/>
  <c r="AA754" i="81"/>
  <c r="AA752" i="81"/>
  <c r="AA751" i="81"/>
  <c r="AA664" i="81"/>
  <c r="AA660" i="81"/>
  <c r="AA655" i="81"/>
  <c r="AA636" i="81"/>
  <c r="AA627" i="81"/>
  <c r="AA619" i="81"/>
  <c r="AA617" i="81"/>
  <c r="AA616" i="81"/>
  <c r="AA375" i="81"/>
  <c r="AA374" i="81"/>
  <c r="AA373" i="81"/>
  <c r="AA372" i="81"/>
  <c r="AA371" i="81"/>
  <c r="AA370" i="81"/>
  <c r="AA369" i="81"/>
  <c r="AA368" i="81"/>
  <c r="AA362" i="81"/>
  <c r="AA361" i="81"/>
  <c r="AA360" i="81"/>
  <c r="AA359" i="81"/>
  <c r="AA357" i="81"/>
  <c r="AA356" i="81"/>
  <c r="AA355" i="81"/>
  <c r="AA353" i="81"/>
  <c r="AA341" i="81"/>
  <c r="AA340" i="81"/>
  <c r="AA337" i="81"/>
  <c r="AA334" i="81"/>
  <c r="AA331" i="81"/>
  <c r="AA328" i="81"/>
  <c r="AA327" i="81"/>
  <c r="AA326" i="81"/>
  <c r="AA242" i="81"/>
  <c r="AA241" i="81"/>
  <c r="AA240" i="81"/>
  <c r="AA239" i="81"/>
  <c r="AA238" i="81"/>
  <c r="AA237" i="81"/>
  <c r="AA236" i="81"/>
  <c r="AA235" i="81"/>
  <c r="AA229" i="81"/>
  <c r="AA228" i="81"/>
  <c r="AA227" i="81"/>
  <c r="AA226" i="81"/>
  <c r="AA224" i="81"/>
  <c r="AA223" i="81"/>
  <c r="AA222" i="81"/>
  <c r="AA221" i="81"/>
  <c r="AA220" i="81"/>
  <c r="AA219" i="81"/>
  <c r="AA218" i="81"/>
  <c r="AA215" i="81"/>
  <c r="AA208" i="81"/>
  <c r="AA207" i="81"/>
  <c r="AA204" i="81"/>
  <c r="AA201" i="81"/>
  <c r="AA198" i="81"/>
  <c r="AA195" i="81"/>
  <c r="AA194" i="81"/>
  <c r="AA193" i="81"/>
  <c r="AA44" i="81"/>
  <c r="AA43" i="81"/>
  <c r="AA42" i="81"/>
  <c r="AA41" i="81"/>
  <c r="AA40" i="81"/>
  <c r="AA39" i="81"/>
  <c r="AA38" i="81"/>
  <c r="AA37" i="81"/>
  <c r="AA36" i="81"/>
  <c r="AA35" i="81"/>
  <c r="AA34" i="81"/>
  <c r="AA33" i="81"/>
  <c r="AA32" i="81"/>
  <c r="AA31" i="81"/>
  <c r="AA30" i="81"/>
  <c r="AA29" i="81"/>
  <c r="AA28" i="81"/>
  <c r="AA27" i="81"/>
  <c r="AA26" i="81"/>
  <c r="AA25" i="81"/>
  <c r="AA24" i="81"/>
  <c r="AA23" i="81"/>
  <c r="AA22" i="81"/>
  <c r="AA21" i="81"/>
  <c r="AA19" i="81"/>
  <c r="AA16" i="81"/>
  <c r="AA15" i="81"/>
  <c r="F38" i="70" l="1"/>
  <c r="G46" i="66" s="1"/>
  <c r="M46" i="66" l="1"/>
  <c r="B42" i="11" s="1"/>
  <c r="I65" i="16" l="1"/>
  <c r="F65" i="57"/>
  <c r="AA537" i="81" s="1"/>
  <c r="F64" i="57"/>
  <c r="AA536" i="81" s="1"/>
  <c r="H64" i="54"/>
  <c r="G65" i="16" s="1"/>
  <c r="H65" i="16" s="1"/>
  <c r="C42" i="11" l="1"/>
  <c r="D42" i="11" s="1"/>
  <c r="AA451" i="81"/>
  <c r="E633" i="83"/>
  <c r="AB537" i="81"/>
  <c r="AC537" i="81" s="1"/>
  <c r="I66" i="16"/>
  <c r="E632" i="83"/>
  <c r="AB536" i="81"/>
  <c r="AC536" i="81" s="1"/>
  <c r="E921" i="83"/>
  <c r="E920" i="83"/>
  <c r="E822" i="83"/>
  <c r="E707" i="83"/>
  <c r="E706" i="83"/>
  <c r="E705" i="83"/>
  <c r="E704" i="83"/>
  <c r="E695" i="83"/>
  <c r="E612" i="83"/>
  <c r="E597" i="83"/>
  <c r="E531" i="83"/>
  <c r="E530" i="83"/>
  <c r="E529" i="83"/>
  <c r="E527" i="83"/>
  <c r="E525" i="83"/>
  <c r="E524" i="83"/>
  <c r="E522" i="83"/>
  <c r="E426" i="83"/>
  <c r="E425" i="83"/>
  <c r="E410" i="83"/>
  <c r="E279" i="83"/>
  <c r="E214" i="83"/>
  <c r="E17" i="83"/>
  <c r="H791" i="83"/>
  <c r="E6" i="83"/>
  <c r="E5" i="83"/>
  <c r="E549" i="83" l="1"/>
  <c r="AB451" i="81"/>
  <c r="AC451" i="81" s="1"/>
  <c r="E33" i="56"/>
  <c r="D33" i="56"/>
  <c r="C33" i="56"/>
  <c r="B33" i="56"/>
  <c r="E42" i="56"/>
  <c r="D42" i="56"/>
  <c r="C42" i="56"/>
  <c r="B42" i="56"/>
  <c r="E26" i="56"/>
  <c r="D26" i="56"/>
  <c r="C26" i="56"/>
  <c r="B26" i="56"/>
  <c r="E23" i="56"/>
  <c r="D23" i="56"/>
  <c r="C23" i="56"/>
  <c r="B23" i="56"/>
  <c r="E19" i="56"/>
  <c r="D19" i="56"/>
  <c r="C19" i="56"/>
  <c r="B19" i="56"/>
  <c r="E17" i="56"/>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E34" i="56"/>
  <c r="F32" i="56"/>
  <c r="F31" i="56"/>
  <c r="E29" i="56"/>
  <c r="E20" i="56"/>
  <c r="F28" i="56"/>
  <c r="F27" i="56"/>
  <c r="F25" i="56"/>
  <c r="F24" i="56"/>
  <c r="F22" i="56"/>
  <c r="F18" i="56"/>
  <c r="F13" i="56"/>
  <c r="AA6" i="81"/>
  <c r="E11" i="83" s="1"/>
  <c r="E327" i="83"/>
  <c r="E326" i="83"/>
  <c r="E324" i="83"/>
  <c r="E323" i="83"/>
  <c r="E322" i="83"/>
  <c r="E321" i="83"/>
  <c r="E320" i="83"/>
  <c r="E318" i="83"/>
  <c r="AM2" i="49"/>
  <c r="AM1" i="49"/>
  <c r="AO48" i="49"/>
  <c r="AO44" i="49"/>
  <c r="AN44" i="49"/>
  <c r="AM44" i="49"/>
  <c r="AP38" i="49"/>
  <c r="AP37" i="49"/>
  <c r="AO34" i="49"/>
  <c r="AN34" i="49"/>
  <c r="AM34" i="49"/>
  <c r="AP33" i="49"/>
  <c r="AP32" i="49"/>
  <c r="AP31" i="49"/>
  <c r="AO27" i="49"/>
  <c r="AO35" i="49" s="1"/>
  <c r="AN27" i="49"/>
  <c r="AM27" i="49"/>
  <c r="AP25" i="49"/>
  <c r="AP24" i="49"/>
  <c r="AP23" i="49"/>
  <c r="AP21" i="49"/>
  <c r="AP19" i="49"/>
  <c r="AP17" i="49"/>
  <c r="AP16" i="49"/>
  <c r="AP14" i="49"/>
  <c r="AP13" i="49"/>
  <c r="AP11" i="49"/>
  <c r="AP10" i="49"/>
  <c r="AI2" i="49"/>
  <c r="AI1" i="49"/>
  <c r="AK48"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8" i="49"/>
  <c r="AG44" i="49"/>
  <c r="AF44" i="49"/>
  <c r="AE44" i="49"/>
  <c r="AH38" i="49"/>
  <c r="AH37" i="49"/>
  <c r="AG34" i="49"/>
  <c r="AF34" i="49"/>
  <c r="AF35" i="49" s="1"/>
  <c r="AE34" i="49"/>
  <c r="AE35" i="49" s="1"/>
  <c r="AH33" i="49"/>
  <c r="AH32" i="49"/>
  <c r="AH31" i="49"/>
  <c r="AH34" i="49" s="1"/>
  <c r="AG27" i="49"/>
  <c r="AF27" i="49"/>
  <c r="AE27" i="49"/>
  <c r="AH25" i="49"/>
  <c r="AH24" i="49"/>
  <c r="AH23" i="49"/>
  <c r="AH21" i="49"/>
  <c r="AH19" i="49"/>
  <c r="AH17" i="49"/>
  <c r="AH16" i="49"/>
  <c r="AH14" i="49"/>
  <c r="AH13" i="49"/>
  <c r="AH11" i="49"/>
  <c r="AH10" i="49"/>
  <c r="AC48" i="49"/>
  <c r="AC44" i="49"/>
  <c r="AB44" i="49"/>
  <c r="AA44" i="49"/>
  <c r="AD38" i="49"/>
  <c r="AD37" i="49"/>
  <c r="AC34" i="49"/>
  <c r="AB34" i="49"/>
  <c r="AA34" i="49"/>
  <c r="AD33" i="49"/>
  <c r="AD32" i="49"/>
  <c r="AD31" i="49"/>
  <c r="AC27" i="49"/>
  <c r="AB27" i="49"/>
  <c r="AA27" i="49"/>
  <c r="AD25" i="49"/>
  <c r="AD24" i="49"/>
  <c r="AD23" i="49"/>
  <c r="AD21" i="49"/>
  <c r="AD19" i="49"/>
  <c r="AD17" i="49"/>
  <c r="AD16" i="49"/>
  <c r="AD14" i="49"/>
  <c r="AD13" i="49"/>
  <c r="AD11" i="49"/>
  <c r="AD10" i="49"/>
  <c r="AA2" i="49"/>
  <c r="M56" i="48"/>
  <c r="M55" i="48"/>
  <c r="M54" i="48"/>
  <c r="M53" i="48"/>
  <c r="M49" i="48"/>
  <c r="M48" i="48"/>
  <c r="M43" i="48"/>
  <c r="M42" i="48"/>
  <c r="M41" i="48"/>
  <c r="M40" i="48"/>
  <c r="M39" i="48"/>
  <c r="M38" i="48"/>
  <c r="M37" i="48"/>
  <c r="M36" i="48"/>
  <c r="M35" i="48"/>
  <c r="M44" i="48"/>
  <c r="M34" i="48"/>
  <c r="M30" i="48"/>
  <c r="M29" i="48"/>
  <c r="M25" i="48"/>
  <c r="M24" i="48"/>
  <c r="M23" i="48"/>
  <c r="M22" i="48"/>
  <c r="M21" i="48"/>
  <c r="M20" i="48"/>
  <c r="M19" i="48"/>
  <c r="M18" i="48"/>
  <c r="M17" i="48"/>
  <c r="M16" i="48"/>
  <c r="M15" i="48"/>
  <c r="M14" i="48"/>
  <c r="M13" i="48"/>
  <c r="M11" i="48"/>
  <c r="M10" i="48"/>
  <c r="M9" i="48"/>
  <c r="M8" i="48"/>
  <c r="M7" i="48"/>
  <c r="M6" i="48"/>
  <c r="L50" i="48"/>
  <c r="K50" i="48"/>
  <c r="J50" i="48"/>
  <c r="I50" i="48"/>
  <c r="L45" i="48"/>
  <c r="K45" i="48"/>
  <c r="J45" i="48"/>
  <c r="I45" i="48"/>
  <c r="L31" i="48"/>
  <c r="K31" i="48"/>
  <c r="J31" i="48"/>
  <c r="I31" i="48"/>
  <c r="L26" i="48"/>
  <c r="L57" i="48" s="1"/>
  <c r="L58" i="48" s="1"/>
  <c r="L59" i="48" s="1"/>
  <c r="K26" i="48"/>
  <c r="K57" i="48" s="1"/>
  <c r="K58" i="48" s="1"/>
  <c r="K59" i="48" s="1"/>
  <c r="J26" i="48"/>
  <c r="J57" i="48" s="1"/>
  <c r="J58" i="48" s="1"/>
  <c r="J59" i="48" s="1"/>
  <c r="I26" i="48"/>
  <c r="I57" i="48" s="1"/>
  <c r="I58" i="48" s="1"/>
  <c r="I59" i="48" s="1"/>
  <c r="F33" i="49"/>
  <c r="AA47" i="81"/>
  <c r="E83" i="83" s="1"/>
  <c r="AA46" i="81"/>
  <c r="E80" i="83" s="1"/>
  <c r="AA45" i="81"/>
  <c r="E79" i="83" s="1"/>
  <c r="D23" i="14"/>
  <c r="F96" i="40"/>
  <c r="F95" i="40"/>
  <c r="F94" i="40"/>
  <c r="F80" i="40"/>
  <c r="F79" i="40"/>
  <c r="F78" i="40"/>
  <c r="AD27" i="49" l="1"/>
  <c r="AC35" i="49"/>
  <c r="AC45" i="49" s="1"/>
  <c r="AC49" i="49" s="1"/>
  <c r="AA35" i="49"/>
  <c r="AA45" i="49" s="1"/>
  <c r="AL34" i="49"/>
  <c r="AJ35" i="49"/>
  <c r="AB35" i="49"/>
  <c r="AI35" i="49"/>
  <c r="AI45" i="49" s="1"/>
  <c r="AK35" i="49"/>
  <c r="AK45" i="49" s="1"/>
  <c r="AK49" i="49" s="1"/>
  <c r="F17" i="56"/>
  <c r="F23" i="56"/>
  <c r="F26" i="56"/>
  <c r="F42" i="56"/>
  <c r="AE45" i="49"/>
  <c r="AP27" i="49"/>
  <c r="AO45" i="49"/>
  <c r="AO49" i="49" s="1"/>
  <c r="AP44" i="49"/>
  <c r="AJ45" i="49"/>
  <c r="AB45" i="49"/>
  <c r="AH27" i="49"/>
  <c r="AH35" i="49" s="1"/>
  <c r="AF45" i="49"/>
  <c r="AG35" i="49"/>
  <c r="AG45" i="49" s="1"/>
  <c r="AG49" i="49" s="1"/>
  <c r="AL27" i="49"/>
  <c r="AP34" i="49"/>
  <c r="AN35" i="49"/>
  <c r="AN45" i="49" s="1"/>
  <c r="F11" i="56"/>
  <c r="F33" i="56"/>
  <c r="AD34" i="49"/>
  <c r="AD35" i="49" s="1"/>
  <c r="AD44" i="49"/>
  <c r="AH44" i="49"/>
  <c r="AH45" i="49" s="1"/>
  <c r="AL44" i="49"/>
  <c r="AM35" i="49"/>
  <c r="AM45" i="49" s="1"/>
  <c r="F19" i="56"/>
  <c r="E35" i="56"/>
  <c r="E37" i="56" s="1"/>
  <c r="F125" i="77" s="1"/>
  <c r="F12" i="56"/>
  <c r="AP35" i="49"/>
  <c r="AQ34" i="49"/>
  <c r="AQ44" i="49"/>
  <c r="AQ27" i="49"/>
  <c r="AL35" i="49" l="1"/>
  <c r="AL45" i="49" s="1"/>
  <c r="AP45" i="49"/>
  <c r="AD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C77" i="57"/>
  <c r="E36" i="57"/>
  <c r="E77" i="57" s="1"/>
  <c r="D36" i="57"/>
  <c r="D77" i="57" s="1"/>
  <c r="C36" i="57"/>
  <c r="AA13" i="81" l="1"/>
  <c r="AC13" i="81" s="1"/>
  <c r="AB13" i="81" l="1"/>
  <c r="Z33" i="49" l="1"/>
  <c r="Z32" i="49"/>
  <c r="Z31" i="49"/>
  <c r="V33" i="49"/>
  <c r="V32" i="49"/>
  <c r="V31" i="49"/>
  <c r="R33" i="49"/>
  <c r="R32" i="49"/>
  <c r="R31" i="49"/>
  <c r="N33" i="49"/>
  <c r="N32" i="49"/>
  <c r="N31" i="49"/>
  <c r="J33" i="49"/>
  <c r="J32" i="49"/>
  <c r="J31" i="49"/>
  <c r="F32" i="49"/>
  <c r="AT33" i="49" l="1"/>
  <c r="AT32" i="49"/>
  <c r="L16" i="37"/>
  <c r="L51" i="37"/>
  <c r="L50" i="37"/>
  <c r="L49" i="37"/>
  <c r="L48" i="37"/>
  <c r="L39" i="37"/>
  <c r="L38" i="37"/>
  <c r="L27" i="37"/>
  <c r="L26" i="37"/>
  <c r="L40" i="37"/>
  <c r="L37" i="37"/>
  <c r="L25" i="37"/>
  <c r="L24" i="37"/>
  <c r="I59" i="29"/>
  <c r="I18" i="30"/>
  <c r="I33" i="30"/>
  <c r="E789" i="83" l="1"/>
  <c r="E788" i="83"/>
  <c r="E753" i="83"/>
  <c r="E721" i="83"/>
  <c r="E712" i="83"/>
  <c r="H788" i="83" l="1"/>
  <c r="AB627" i="81"/>
  <c r="AC627" i="81"/>
  <c r="E22" i="83"/>
  <c r="E7" i="14" l="1"/>
  <c r="B1" i="71" l="1"/>
  <c r="B1" i="72" s="1"/>
  <c r="B1" i="73" s="1"/>
  <c r="B1" i="74" s="1"/>
  <c r="AB117" i="81" l="1"/>
  <c r="AC117" i="81" s="1"/>
  <c r="AB118" i="81"/>
  <c r="AC118" i="81" s="1"/>
  <c r="AB119" i="81"/>
  <c r="AC119" i="81" s="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B50" i="80" l="1"/>
  <c r="B49" i="80"/>
  <c r="B48" i="80"/>
  <c r="B47" i="80"/>
  <c r="B46" i="80"/>
  <c r="B45" i="80"/>
  <c r="B44" i="80"/>
  <c r="F49" i="80" s="1"/>
  <c r="D62" i="60"/>
  <c r="AB38" i="80" l="1"/>
  <c r="AD38" i="80"/>
  <c r="AA38" i="80"/>
  <c r="AC38" i="80"/>
  <c r="AI38" i="80"/>
  <c r="AK38" i="80"/>
  <c r="AJ38" i="80"/>
  <c r="AH38" i="80"/>
  <c r="N38" i="80"/>
  <c r="O38" i="80"/>
  <c r="M38" i="80"/>
  <c r="P38" i="80"/>
  <c r="AP38" i="80"/>
  <c r="AR38" i="80"/>
  <c r="AQ38" i="80"/>
  <c r="AO38" i="80"/>
  <c r="G38" i="80"/>
  <c r="I38" i="80"/>
  <c r="F38" i="80"/>
  <c r="H38" i="80"/>
  <c r="U38" i="80"/>
  <c r="W38" i="80"/>
  <c r="V38" i="80"/>
  <c r="T38" i="80"/>
  <c r="AW38" i="80"/>
  <c r="AV38" i="80"/>
  <c r="AY38" i="80"/>
  <c r="AX38" i="80"/>
  <c r="E6" i="53"/>
  <c r="G5" i="53"/>
  <c r="G6" i="53"/>
  <c r="F6" i="53"/>
  <c r="G4" i="53"/>
  <c r="F5" i="53"/>
  <c r="F4" i="53"/>
  <c r="E5" i="53"/>
  <c r="D6" i="53"/>
  <c r="C6" i="53"/>
  <c r="D5" i="53"/>
  <c r="E4" i="53"/>
  <c r="D4" i="53"/>
  <c r="C5" i="53"/>
  <c r="C4" i="53"/>
  <c r="AC749" i="81" l="1"/>
  <c r="AB749" i="81"/>
  <c r="AC747" i="81"/>
  <c r="AB747" i="81"/>
  <c r="AC746" i="81"/>
  <c r="AB746" i="81"/>
  <c r="AC745" i="81"/>
  <c r="AB745" i="81"/>
  <c r="AC744" i="81"/>
  <c r="AB744" i="81"/>
  <c r="AC740" i="81"/>
  <c r="AB740" i="81"/>
  <c r="AC739" i="81"/>
  <c r="AB739" i="81"/>
  <c r="AC738" i="81"/>
  <c r="AB738" i="81"/>
  <c r="AC737" i="81"/>
  <c r="AB737" i="81"/>
  <c r="AC736" i="81"/>
  <c r="AB736" i="81"/>
  <c r="AC735" i="81"/>
  <c r="AB735" i="81"/>
  <c r="AC734" i="81"/>
  <c r="AB734" i="81"/>
  <c r="AC733" i="81"/>
  <c r="AB733" i="81"/>
  <c r="AC731" i="81"/>
  <c r="AB731" i="81"/>
  <c r="AC730" i="81"/>
  <c r="AB730" i="81"/>
  <c r="AC729" i="81"/>
  <c r="AB729" i="81"/>
  <c r="AC728" i="81"/>
  <c r="AB728" i="81"/>
  <c r="AC727" i="81"/>
  <c r="AB727" i="81"/>
  <c r="AC726" i="81"/>
  <c r="AB726" i="81"/>
  <c r="AC725" i="81"/>
  <c r="AB725" i="81"/>
  <c r="AC724" i="81"/>
  <c r="AB724" i="81"/>
  <c r="AC723" i="81"/>
  <c r="AB723" i="81"/>
  <c r="AC722" i="81"/>
  <c r="AB722" i="81"/>
  <c r="AC721" i="81"/>
  <c r="AB721" i="81"/>
  <c r="AC720" i="81"/>
  <c r="AB720" i="81"/>
  <c r="AC719" i="81"/>
  <c r="AB719" i="81"/>
  <c r="AC718" i="81"/>
  <c r="AB718" i="81"/>
  <c r="AC717" i="81"/>
  <c r="AB717" i="81"/>
  <c r="AC716" i="81"/>
  <c r="AB716" i="81"/>
  <c r="AC715" i="81"/>
  <c r="AB715" i="81"/>
  <c r="AC714" i="81"/>
  <c r="AB714" i="81"/>
  <c r="AC713" i="81"/>
  <c r="AB713" i="81"/>
  <c r="AC712" i="81"/>
  <c r="AB712" i="81"/>
  <c r="AC711" i="81"/>
  <c r="AB711" i="81"/>
  <c r="AC710" i="81"/>
  <c r="AB710" i="81"/>
  <c r="AC709" i="81"/>
  <c r="AB709" i="81"/>
  <c r="AC708" i="81"/>
  <c r="AB708" i="81"/>
  <c r="AC707" i="81"/>
  <c r="AB707" i="81"/>
  <c r="AC706" i="81"/>
  <c r="AB706" i="81"/>
  <c r="AC705" i="81"/>
  <c r="AB705" i="81"/>
  <c r="AC704" i="81"/>
  <c r="AB704" i="81"/>
  <c r="AC703" i="81"/>
  <c r="AB703" i="81"/>
  <c r="AC702" i="81"/>
  <c r="AB702" i="81"/>
  <c r="AC701" i="81"/>
  <c r="AB701" i="81"/>
  <c r="AC700" i="81"/>
  <c r="AB700" i="81"/>
  <c r="AC699" i="81"/>
  <c r="AB699" i="81"/>
  <c r="AC698" i="81"/>
  <c r="AB698" i="81"/>
  <c r="AC697" i="81"/>
  <c r="AB697" i="81"/>
  <c r="AC696" i="81"/>
  <c r="AB696" i="81"/>
  <c r="AC695" i="81"/>
  <c r="AB695" i="81"/>
  <c r="AC694" i="81"/>
  <c r="AB694" i="81"/>
  <c r="AC693" i="81"/>
  <c r="AB693" i="81"/>
  <c r="AC692" i="81"/>
  <c r="AB692" i="81"/>
  <c r="AC691" i="81"/>
  <c r="AB691" i="81"/>
  <c r="AC690" i="81"/>
  <c r="AB690" i="81"/>
  <c r="AC689" i="81"/>
  <c r="AB689" i="81"/>
  <c r="AC688" i="81"/>
  <c r="AB688" i="81"/>
  <c r="AC687" i="81"/>
  <c r="AB687" i="81"/>
  <c r="AC686" i="81"/>
  <c r="AB686" i="81"/>
  <c r="AC685" i="81"/>
  <c r="AB685" i="81"/>
  <c r="AC684" i="81"/>
  <c r="AB684" i="81"/>
  <c r="AC683" i="81"/>
  <c r="AB683" i="81"/>
  <c r="AC682" i="81"/>
  <c r="AB682" i="81"/>
  <c r="AC681" i="81"/>
  <c r="AB681" i="81"/>
  <c r="AC680" i="81"/>
  <c r="AB680" i="81"/>
  <c r="AC679" i="81"/>
  <c r="AB679" i="81"/>
  <c r="AC678" i="81"/>
  <c r="AB678" i="81"/>
  <c r="AC677" i="81"/>
  <c r="AB677" i="81"/>
  <c r="AC676" i="81"/>
  <c r="AB676" i="81"/>
  <c r="AC675" i="81"/>
  <c r="AB675" i="81"/>
  <c r="AC674" i="81"/>
  <c r="AB674" i="81"/>
  <c r="AC673" i="81"/>
  <c r="AB673" i="81"/>
  <c r="AC672" i="81"/>
  <c r="AB672" i="81"/>
  <c r="AC671" i="81"/>
  <c r="AB671" i="81"/>
  <c r="AC670" i="81"/>
  <c r="AB670" i="81"/>
  <c r="AC669" i="81"/>
  <c r="AB669" i="81"/>
  <c r="AC668" i="81"/>
  <c r="AB668" i="81"/>
  <c r="AC667" i="81"/>
  <c r="AB667" i="81"/>
  <c r="AC666" i="81"/>
  <c r="AB666" i="81"/>
  <c r="AC665" i="81"/>
  <c r="AB665" i="81"/>
  <c r="AC664" i="81"/>
  <c r="AB664" i="81"/>
  <c r="AC662" i="81"/>
  <c r="AB662" i="81"/>
  <c r="AC661" i="81"/>
  <c r="AB661" i="81"/>
  <c r="AC659" i="81"/>
  <c r="AB659" i="81"/>
  <c r="AC658" i="81"/>
  <c r="AB658" i="81"/>
  <c r="AC657" i="81"/>
  <c r="AB657" i="81"/>
  <c r="AC656" i="81"/>
  <c r="AB656" i="81"/>
  <c r="AC654" i="81"/>
  <c r="AB654" i="81"/>
  <c r="AC653" i="81"/>
  <c r="AB653" i="81"/>
  <c r="AC652" i="81"/>
  <c r="AB652" i="81"/>
  <c r="AC651" i="81"/>
  <c r="AB651" i="81"/>
  <c r="AC650" i="81"/>
  <c r="AB650" i="81"/>
  <c r="AC649" i="81"/>
  <c r="AB649" i="81"/>
  <c r="AC648" i="81"/>
  <c r="AB648" i="81"/>
  <c r="AC647" i="81"/>
  <c r="AB647" i="81"/>
  <c r="AC646" i="81"/>
  <c r="AB646" i="81"/>
  <c r="AC645" i="81"/>
  <c r="AB645" i="81"/>
  <c r="AC644" i="81"/>
  <c r="AB644" i="81"/>
  <c r="AC643" i="81"/>
  <c r="AB643" i="81"/>
  <c r="AC642" i="81"/>
  <c r="AB642" i="81"/>
  <c r="AC641" i="81"/>
  <c r="AB641" i="81"/>
  <c r="AC640" i="81"/>
  <c r="AB640" i="81"/>
  <c r="AC639" i="81"/>
  <c r="AB639" i="81"/>
  <c r="AC638" i="81"/>
  <c r="AB638" i="81"/>
  <c r="AC637" i="81"/>
  <c r="AB637" i="81"/>
  <c r="AC625" i="81"/>
  <c r="AB625" i="81"/>
  <c r="AC623" i="81"/>
  <c r="AB623" i="81"/>
  <c r="AC622" i="81"/>
  <c r="AB622" i="81"/>
  <c r="AC621" i="81"/>
  <c r="AB621" i="81"/>
  <c r="AC620" i="81"/>
  <c r="AB620" i="81"/>
  <c r="AA72" i="81" l="1"/>
  <c r="E135" i="83" s="1"/>
  <c r="C367" i="80" l="1"/>
  <c r="C366" i="80"/>
  <c r="C365" i="80"/>
  <c r="C364" i="80"/>
  <c r="C363" i="80"/>
  <c r="C362" i="80"/>
  <c r="C361" i="80"/>
  <c r="C360" i="80"/>
  <c r="C359" i="80"/>
  <c r="C358" i="80"/>
  <c r="C357" i="80"/>
  <c r="C356" i="80"/>
  <c r="C355" i="80"/>
  <c r="C354" i="80"/>
  <c r="C353" i="80"/>
  <c r="C352" i="80"/>
  <c r="C351" i="80"/>
  <c r="C350" i="80"/>
  <c r="C349" i="80"/>
  <c r="C348" i="80"/>
  <c r="C347" i="80"/>
  <c r="C346" i="80"/>
  <c r="C345" i="80"/>
  <c r="C344" i="80"/>
  <c r="C343" i="80"/>
  <c r="C342" i="80"/>
  <c r="C341" i="80"/>
  <c r="C340" i="80"/>
  <c r="C339" i="80"/>
  <c r="C338" i="80"/>
  <c r="C337" i="80"/>
  <c r="C336" i="80"/>
  <c r="C335" i="80"/>
  <c r="C334" i="80"/>
  <c r="C333" i="80"/>
  <c r="C332" i="80"/>
  <c r="C331" i="80"/>
  <c r="C330" i="80"/>
  <c r="C329" i="80"/>
  <c r="C328" i="80"/>
  <c r="C327" i="80"/>
  <c r="C326" i="80"/>
  <c r="C325" i="80"/>
  <c r="C324" i="80"/>
  <c r="C323" i="80"/>
  <c r="C322" i="80"/>
  <c r="C321" i="80"/>
  <c r="C320" i="80"/>
  <c r="C319" i="80"/>
  <c r="C318" i="80"/>
  <c r="C317" i="80"/>
  <c r="C316" i="80"/>
  <c r="C315" i="80"/>
  <c r="C314" i="80"/>
  <c r="C313" i="80"/>
  <c r="C312" i="80"/>
  <c r="C311" i="80"/>
  <c r="C310" i="80"/>
  <c r="C309" i="80"/>
  <c r="C308" i="80"/>
  <c r="C307" i="80"/>
  <c r="C306" i="80"/>
  <c r="C305" i="80"/>
  <c r="C304" i="80"/>
  <c r="C303" i="80"/>
  <c r="C302" i="80"/>
  <c r="C301" i="80"/>
  <c r="C300" i="80"/>
  <c r="C299" i="80"/>
  <c r="C298" i="80"/>
  <c r="C297" i="80"/>
  <c r="C296" i="80"/>
  <c r="C295" i="80"/>
  <c r="C294" i="80"/>
  <c r="C293" i="80"/>
  <c r="C292" i="80"/>
  <c r="C291" i="80"/>
  <c r="C290" i="80"/>
  <c r="C289" i="80"/>
  <c r="C288" i="80"/>
  <c r="C287" i="80"/>
  <c r="C286" i="80"/>
  <c r="C285" i="80"/>
  <c r="C284" i="80"/>
  <c r="C283" i="80"/>
  <c r="C282" i="80"/>
  <c r="C281" i="80"/>
  <c r="C280" i="80"/>
  <c r="C279" i="80"/>
  <c r="C278" i="80"/>
  <c r="C277" i="80"/>
  <c r="C276" i="80"/>
  <c r="C275" i="80"/>
  <c r="C274" i="80"/>
  <c r="C273" i="80"/>
  <c r="C272" i="80"/>
  <c r="C271" i="80"/>
  <c r="C270" i="80"/>
  <c r="C269" i="80"/>
  <c r="C264" i="80"/>
  <c r="C263" i="80"/>
  <c r="C262" i="80"/>
  <c r="C261" i="80"/>
  <c r="C260" i="80"/>
  <c r="C259" i="80"/>
  <c r="C258" i="80"/>
  <c r="C257" i="80"/>
  <c r="C256" i="80"/>
  <c r="C255" i="80"/>
  <c r="C254" i="80"/>
  <c r="C253" i="80"/>
  <c r="C252" i="80"/>
  <c r="C251" i="80"/>
  <c r="C250" i="80"/>
  <c r="C249" i="80"/>
  <c r="C248" i="80"/>
  <c r="C247" i="80"/>
  <c r="C246" i="80"/>
  <c r="C245" i="80"/>
  <c r="C242" i="80"/>
  <c r="C241" i="80"/>
  <c r="C244" i="80"/>
  <c r="C243" i="80"/>
  <c r="C268" i="80"/>
  <c r="C267" i="80"/>
  <c r="C266" i="80"/>
  <c r="C265" i="80"/>
  <c r="A177" i="80"/>
  <c r="A180" i="80" s="1"/>
  <c r="A179" i="80" l="1"/>
  <c r="C179" i="80" s="1"/>
  <c r="T6" i="81" s="1"/>
  <c r="A178" i="80"/>
  <c r="D180" i="80"/>
  <c r="G6" i="81" s="1"/>
  <c r="J9" i="37"/>
  <c r="I9" i="37"/>
  <c r="H9" i="37"/>
  <c r="G9" i="37"/>
  <c r="F9" i="37"/>
  <c r="E9" i="37"/>
  <c r="D9" i="37"/>
  <c r="E750" i="83"/>
  <c r="E747" i="83"/>
  <c r="E730" i="83"/>
  <c r="E790" i="83"/>
  <c r="H789" i="83" s="1"/>
  <c r="AA750" i="81"/>
  <c r="E786" i="83" s="1"/>
  <c r="H786" i="83" s="1"/>
  <c r="AA743" i="81"/>
  <c r="E780" i="83" s="1"/>
  <c r="AA742" i="81"/>
  <c r="E779" i="83" s="1"/>
  <c r="AA741" i="81"/>
  <c r="E778" i="83" s="1"/>
  <c r="E713" i="83"/>
  <c r="H712" i="83" s="1"/>
  <c r="E711" i="83"/>
  <c r="H711" i="83" s="1"/>
  <c r="AA615" i="81"/>
  <c r="E709" i="83" s="1"/>
  <c r="H709" i="83" s="1"/>
  <c r="AA606" i="81"/>
  <c r="E701" i="83" s="1"/>
  <c r="AA608" i="81"/>
  <c r="E703" i="83" s="1"/>
  <c r="AA607" i="81"/>
  <c r="E702" i="83" s="1"/>
  <c r="AB763" i="81"/>
  <c r="AC763" i="81" s="1"/>
  <c r="AB527" i="81"/>
  <c r="AC527" i="81" s="1"/>
  <c r="AB518" i="81"/>
  <c r="AC518" i="81" s="1"/>
  <c r="AB455" i="81"/>
  <c r="AC455" i="81" s="1"/>
  <c r="AB454" i="81"/>
  <c r="AC454" i="81" s="1"/>
  <c r="AB453" i="81"/>
  <c r="AC453" i="81" s="1"/>
  <c r="AB442" i="81"/>
  <c r="AC442" i="81" s="1"/>
  <c r="AB435" i="81"/>
  <c r="AC435" i="81" s="1"/>
  <c r="AB434" i="81"/>
  <c r="AC434" i="81" s="1"/>
  <c r="AB433" i="81"/>
  <c r="AC433" i="81" s="1"/>
  <c r="AB431" i="81"/>
  <c r="AC431" i="81" s="1"/>
  <c r="AB429" i="81"/>
  <c r="AC429" i="81" s="1"/>
  <c r="AB428" i="81"/>
  <c r="AC428" i="81" s="1"/>
  <c r="AB426" i="81"/>
  <c r="AC426" i="81" s="1"/>
  <c r="AB348" i="81"/>
  <c r="AC348" i="81" s="1"/>
  <c r="AB324" i="81"/>
  <c r="AC324" i="81" s="1"/>
  <c r="AB323" i="81"/>
  <c r="AC323" i="81" s="1"/>
  <c r="AB319" i="81"/>
  <c r="AC319" i="81" s="1"/>
  <c r="AB318" i="81"/>
  <c r="AC318" i="81" s="1"/>
  <c r="AB317" i="81"/>
  <c r="AC317" i="81" s="1"/>
  <c r="AB309" i="81"/>
  <c r="AC309" i="81" s="1"/>
  <c r="AB191" i="81"/>
  <c r="AC191" i="81" s="1"/>
  <c r="AB190" i="81"/>
  <c r="AC190" i="81" s="1"/>
  <c r="AB188" i="81"/>
  <c r="AC188" i="81" s="1"/>
  <c r="AB186" i="81"/>
  <c r="AC186" i="81" s="1"/>
  <c r="AB185" i="81"/>
  <c r="AC185" i="81" s="1"/>
  <c r="AB184" i="81"/>
  <c r="AC184" i="81" s="1"/>
  <c r="AB176" i="81"/>
  <c r="AC176" i="81" s="1"/>
  <c r="AB169" i="81"/>
  <c r="AC169" i="81" s="1"/>
  <c r="AB168" i="81"/>
  <c r="AC168" i="81" s="1"/>
  <c r="AB167" i="81"/>
  <c r="AC167" i="81" s="1"/>
  <c r="AB165" i="81"/>
  <c r="AC165" i="81" s="1"/>
  <c r="AB163" i="81"/>
  <c r="AC163" i="81" s="1"/>
  <c r="AB162" i="81"/>
  <c r="AC162" i="81" s="1"/>
  <c r="AB160" i="81"/>
  <c r="AC160" i="81" s="1"/>
  <c r="AB159" i="81"/>
  <c r="AC159" i="81" s="1"/>
  <c r="AB158" i="81"/>
  <c r="AC158" i="81" s="1"/>
  <c r="AB157" i="81"/>
  <c r="AC157" i="81" s="1"/>
  <c r="AB156" i="81"/>
  <c r="AC156" i="81" s="1"/>
  <c r="AB155" i="81"/>
  <c r="AC155" i="81" s="1"/>
  <c r="AB154" i="81"/>
  <c r="AC154" i="81" s="1"/>
  <c r="AB151" i="81"/>
  <c r="AC151" i="81" s="1"/>
  <c r="AB150" i="81"/>
  <c r="AC150" i="81" s="1"/>
  <c r="AB149" i="81"/>
  <c r="AC149" i="81" s="1"/>
  <c r="AB148" i="81"/>
  <c r="AC148" i="81" s="1"/>
  <c r="AB147" i="81"/>
  <c r="AC147" i="81" s="1"/>
  <c r="AB144" i="81"/>
  <c r="AC144" i="81" s="1"/>
  <c r="AB143" i="81"/>
  <c r="AC143" i="81" s="1"/>
  <c r="AB142" i="81"/>
  <c r="AC142" i="81" s="1"/>
  <c r="AB139" i="81"/>
  <c r="AC139" i="81" s="1"/>
  <c r="AB138" i="81"/>
  <c r="AC138" i="81" s="1"/>
  <c r="AB137" i="81"/>
  <c r="AC137" i="81" s="1"/>
  <c r="AB134" i="81"/>
  <c r="AC134" i="81" s="1"/>
  <c r="AB133" i="81"/>
  <c r="AC133" i="81" s="1"/>
  <c r="AB132" i="81"/>
  <c r="AC132" i="81" s="1"/>
  <c r="AB129" i="81"/>
  <c r="AC129" i="81" s="1"/>
  <c r="AB128" i="81"/>
  <c r="AC128" i="81" s="1"/>
  <c r="AB127" i="81"/>
  <c r="AC127" i="81" s="1"/>
  <c r="AB124" i="81"/>
  <c r="AC124" i="81" s="1"/>
  <c r="AB123" i="81"/>
  <c r="AC123" i="81" s="1"/>
  <c r="AB122" i="81"/>
  <c r="AC122" i="81" s="1"/>
  <c r="AB104" i="81"/>
  <c r="AC104" i="81" s="1"/>
  <c r="AB494" i="81"/>
  <c r="AC494" i="81" s="1"/>
  <c r="T452" i="81" l="1"/>
  <c r="T537" i="81"/>
  <c r="G537" i="81"/>
  <c r="G452" i="81"/>
  <c r="H785" i="83"/>
  <c r="H793" i="83" s="1"/>
  <c r="G451" i="81"/>
  <c r="G536" i="81"/>
  <c r="T10" i="81"/>
  <c r="T16" i="81"/>
  <c r="T28" i="81"/>
  <c r="T38" i="81"/>
  <c r="T48" i="81"/>
  <c r="T60" i="81"/>
  <c r="T70" i="81"/>
  <c r="T80" i="81"/>
  <c r="T92" i="81"/>
  <c r="T102" i="81"/>
  <c r="T112" i="81"/>
  <c r="T124" i="81"/>
  <c r="T134" i="81"/>
  <c r="T144" i="81"/>
  <c r="T156" i="81"/>
  <c r="T166" i="81"/>
  <c r="T176" i="81"/>
  <c r="T188" i="81"/>
  <c r="T198" i="81"/>
  <c r="T208" i="81"/>
  <c r="T220" i="81"/>
  <c r="T230" i="81"/>
  <c r="T240" i="81"/>
  <c r="T252" i="81"/>
  <c r="T262" i="81"/>
  <c r="T272" i="81"/>
  <c r="T284" i="81"/>
  <c r="T294" i="81"/>
  <c r="T304" i="81"/>
  <c r="T316" i="81"/>
  <c r="T326" i="81"/>
  <c r="T336" i="81"/>
  <c r="T346" i="81"/>
  <c r="T351" i="81"/>
  <c r="T356" i="81"/>
  <c r="T362" i="81"/>
  <c r="T367" i="81"/>
  <c r="T372" i="81"/>
  <c r="T378" i="81"/>
  <c r="T383" i="81"/>
  <c r="T388" i="81"/>
  <c r="T394" i="81"/>
  <c r="T398" i="81"/>
  <c r="T402" i="81"/>
  <c r="T406" i="81"/>
  <c r="T410" i="81"/>
  <c r="T414" i="81"/>
  <c r="T418" i="81"/>
  <c r="T422" i="81"/>
  <c r="T426" i="81"/>
  <c r="T430" i="81"/>
  <c r="T434" i="81"/>
  <c r="T438" i="81"/>
  <c r="T442" i="81"/>
  <c r="T446" i="81"/>
  <c r="T450" i="81"/>
  <c r="T455" i="81"/>
  <c r="T459" i="81"/>
  <c r="T12" i="81"/>
  <c r="T22" i="81"/>
  <c r="T32" i="81"/>
  <c r="T44" i="81"/>
  <c r="T54" i="81"/>
  <c r="T64" i="81"/>
  <c r="T76" i="81"/>
  <c r="T86" i="81"/>
  <c r="T96" i="81"/>
  <c r="T108" i="81"/>
  <c r="T118" i="81"/>
  <c r="T128" i="81"/>
  <c r="T140" i="81"/>
  <c r="T150" i="81"/>
  <c r="T160" i="81"/>
  <c r="T172" i="81"/>
  <c r="T182" i="81"/>
  <c r="T192" i="81"/>
  <c r="T204" i="81"/>
  <c r="T214" i="81"/>
  <c r="T224" i="81"/>
  <c r="T236" i="81"/>
  <c r="T246" i="81"/>
  <c r="T256" i="81"/>
  <c r="T268" i="81"/>
  <c r="T278" i="81"/>
  <c r="T288" i="81"/>
  <c r="T300" i="81"/>
  <c r="T310" i="81"/>
  <c r="T320" i="81"/>
  <c r="T332" i="81"/>
  <c r="T342" i="81"/>
  <c r="T348" i="81"/>
  <c r="T354" i="81"/>
  <c r="T359" i="81"/>
  <c r="T364" i="81"/>
  <c r="T370" i="81"/>
  <c r="T375" i="81"/>
  <c r="T380" i="81"/>
  <c r="T386" i="81"/>
  <c r="T391" i="81"/>
  <c r="T396" i="81"/>
  <c r="T400" i="81"/>
  <c r="T404" i="81"/>
  <c r="T408" i="81"/>
  <c r="T412" i="81"/>
  <c r="T416" i="81"/>
  <c r="T420" i="81"/>
  <c r="T424" i="81"/>
  <c r="T428" i="81"/>
  <c r="T432" i="81"/>
  <c r="T436" i="81"/>
  <c r="T440" i="81"/>
  <c r="T444" i="81"/>
  <c r="T448" i="81"/>
  <c r="T453" i="81"/>
  <c r="T457" i="81"/>
  <c r="T461" i="81"/>
  <c r="T465" i="81"/>
  <c r="T469" i="81"/>
  <c r="T473" i="81"/>
  <c r="T477" i="81"/>
  <c r="T481" i="81"/>
  <c r="T485" i="81"/>
  <c r="T489" i="81"/>
  <c r="T493" i="81"/>
  <c r="T497" i="81"/>
  <c r="T501" i="81"/>
  <c r="T505" i="81"/>
  <c r="T509" i="81"/>
  <c r="T513" i="81"/>
  <c r="T517" i="81"/>
  <c r="T521" i="81"/>
  <c r="T525" i="81"/>
  <c r="T529" i="81"/>
  <c r="T533" i="81"/>
  <c r="T539" i="81"/>
  <c r="T543" i="81"/>
  <c r="T547" i="81"/>
  <c r="T551" i="81"/>
  <c r="T555" i="81"/>
  <c r="T559" i="81"/>
  <c r="T563" i="81"/>
  <c r="T567" i="81"/>
  <c r="T571" i="81"/>
  <c r="T24" i="81"/>
  <c r="T46" i="81"/>
  <c r="T68" i="81"/>
  <c r="T88" i="81"/>
  <c r="T110" i="81"/>
  <c r="T132" i="81"/>
  <c r="T152" i="81"/>
  <c r="T174" i="81"/>
  <c r="T196" i="81"/>
  <c r="T216" i="81"/>
  <c r="T238" i="81"/>
  <c r="T260" i="81"/>
  <c r="T280" i="81"/>
  <c r="T302" i="81"/>
  <c r="T324" i="81"/>
  <c r="T344" i="81"/>
  <c r="T355" i="81"/>
  <c r="T366" i="81"/>
  <c r="T376" i="81"/>
  <c r="T387" i="81"/>
  <c r="T397" i="81"/>
  <c r="T405" i="81"/>
  <c r="T413" i="81"/>
  <c r="T421" i="81"/>
  <c r="T429" i="81"/>
  <c r="T437" i="81"/>
  <c r="T445" i="81"/>
  <c r="T454" i="81"/>
  <c r="T462" i="81"/>
  <c r="T14" i="81"/>
  <c r="T36" i="81"/>
  <c r="T56" i="81"/>
  <c r="T78" i="81"/>
  <c r="T100" i="81"/>
  <c r="T120" i="81"/>
  <c r="T142" i="81"/>
  <c r="T164" i="81"/>
  <c r="T184" i="81"/>
  <c r="T206" i="81"/>
  <c r="T228" i="81"/>
  <c r="T248" i="81"/>
  <c r="T270" i="81"/>
  <c r="T292" i="81"/>
  <c r="T312" i="81"/>
  <c r="T334" i="81"/>
  <c r="T350" i="81"/>
  <c r="T360" i="81"/>
  <c r="T371" i="81"/>
  <c r="T382" i="81"/>
  <c r="T392" i="81"/>
  <c r="T401" i="81"/>
  <c r="T409" i="81"/>
  <c r="T417" i="81"/>
  <c r="T425" i="81"/>
  <c r="T433" i="81"/>
  <c r="T441" i="81"/>
  <c r="T449" i="81"/>
  <c r="T458" i="81"/>
  <c r="T464" i="81"/>
  <c r="T470" i="81"/>
  <c r="T475" i="81"/>
  <c r="T480" i="81"/>
  <c r="T486" i="81"/>
  <c r="T491" i="81"/>
  <c r="T496" i="81"/>
  <c r="T502" i="81"/>
  <c r="T507" i="81"/>
  <c r="T512" i="81"/>
  <c r="T518" i="81"/>
  <c r="T523" i="81"/>
  <c r="T528" i="81"/>
  <c r="T534" i="81"/>
  <c r="T541" i="81"/>
  <c r="T546" i="81"/>
  <c r="T552" i="81"/>
  <c r="T557" i="81"/>
  <c r="T562" i="81"/>
  <c r="T568" i="81"/>
  <c r="T573" i="81"/>
  <c r="T577" i="81"/>
  <c r="T581" i="81"/>
  <c r="T585" i="81"/>
  <c r="T589" i="81"/>
  <c r="T593" i="81"/>
  <c r="T597" i="81"/>
  <c r="T601" i="81"/>
  <c r="T605" i="81"/>
  <c r="T609" i="81"/>
  <c r="T613" i="81"/>
  <c r="T617" i="81"/>
  <c r="T621" i="81"/>
  <c r="T625" i="81"/>
  <c r="T629" i="81"/>
  <c r="T633" i="81"/>
  <c r="T637" i="81"/>
  <c r="T641" i="81"/>
  <c r="T645" i="81"/>
  <c r="T649" i="81"/>
  <c r="T653" i="81"/>
  <c r="T657" i="81"/>
  <c r="T661" i="81"/>
  <c r="T665" i="81"/>
  <c r="T669" i="81"/>
  <c r="T673" i="81"/>
  <c r="T677" i="81"/>
  <c r="T681" i="81"/>
  <c r="T685" i="81"/>
  <c r="T689" i="81"/>
  <c r="T693" i="81"/>
  <c r="T697" i="81"/>
  <c r="T701" i="81"/>
  <c r="T705" i="81"/>
  <c r="T709" i="81"/>
  <c r="T713" i="81"/>
  <c r="T8" i="81"/>
  <c r="T52" i="81"/>
  <c r="T94" i="81"/>
  <c r="T136" i="81"/>
  <c r="T180" i="81"/>
  <c r="T222" i="81"/>
  <c r="T264" i="81"/>
  <c r="T308" i="81"/>
  <c r="T347" i="81"/>
  <c r="T368" i="81"/>
  <c r="T390" i="81"/>
  <c r="T407" i="81"/>
  <c r="T423" i="81"/>
  <c r="T439" i="81"/>
  <c r="T456" i="81"/>
  <c r="T467" i="81"/>
  <c r="T474" i="81"/>
  <c r="T482" i="81"/>
  <c r="T488" i="81"/>
  <c r="T495" i="81"/>
  <c r="T503" i="81"/>
  <c r="T510" i="81"/>
  <c r="T516" i="81"/>
  <c r="T524" i="81"/>
  <c r="T531" i="81"/>
  <c r="T540" i="81"/>
  <c r="T548" i="81"/>
  <c r="T554" i="81"/>
  <c r="T561" i="81"/>
  <c r="T569" i="81"/>
  <c r="T575" i="81"/>
  <c r="T580" i="81"/>
  <c r="T586" i="81"/>
  <c r="T591" i="81"/>
  <c r="T596" i="81"/>
  <c r="T602" i="81"/>
  <c r="T607" i="81"/>
  <c r="T612" i="81"/>
  <c r="T618" i="81"/>
  <c r="T623" i="81"/>
  <c r="T628" i="81"/>
  <c r="T634" i="81"/>
  <c r="T639" i="81"/>
  <c r="T644" i="81"/>
  <c r="T650" i="81"/>
  <c r="T655" i="81"/>
  <c r="T660" i="81"/>
  <c r="T666" i="81"/>
  <c r="T671" i="81"/>
  <c r="T676" i="81"/>
  <c r="T682" i="81"/>
  <c r="T687" i="81"/>
  <c r="T692" i="81"/>
  <c r="T698" i="81"/>
  <c r="T703" i="81"/>
  <c r="T708" i="81"/>
  <c r="T714" i="81"/>
  <c r="T718" i="81"/>
  <c r="T722" i="81"/>
  <c r="T726" i="81"/>
  <c r="T730" i="81"/>
  <c r="T734" i="81"/>
  <c r="T738" i="81"/>
  <c r="T742" i="81"/>
  <c r="T746" i="81"/>
  <c r="T750" i="81"/>
  <c r="T754" i="81"/>
  <c r="T758" i="81"/>
  <c r="T762" i="81"/>
  <c r="T766" i="81"/>
  <c r="T770" i="81"/>
  <c r="T774" i="81"/>
  <c r="T778" i="81"/>
  <c r="T782" i="81"/>
  <c r="T786" i="81"/>
  <c r="T790" i="81"/>
  <c r="T794" i="81"/>
  <c r="T798" i="81"/>
  <c r="T802" i="81"/>
  <c r="T806" i="81"/>
  <c r="T810" i="81"/>
  <c r="T814" i="81"/>
  <c r="T818" i="81"/>
  <c r="T822" i="81"/>
  <c r="T826" i="81"/>
  <c r="T30" i="81"/>
  <c r="T72" i="81"/>
  <c r="T116" i="81"/>
  <c r="T158" i="81"/>
  <c r="T200" i="81"/>
  <c r="T244" i="81"/>
  <c r="T286" i="81"/>
  <c r="T328" i="81"/>
  <c r="T358" i="81"/>
  <c r="T379" i="81"/>
  <c r="T399" i="81"/>
  <c r="T415" i="81"/>
  <c r="T431" i="81"/>
  <c r="T447" i="81"/>
  <c r="T463" i="81"/>
  <c r="T471" i="81"/>
  <c r="T478" i="81"/>
  <c r="T484" i="81"/>
  <c r="T492" i="81"/>
  <c r="T499" i="81"/>
  <c r="T506" i="81"/>
  <c r="T514" i="81"/>
  <c r="T520" i="81"/>
  <c r="T527" i="81"/>
  <c r="T535" i="81"/>
  <c r="T544" i="81"/>
  <c r="T550" i="81"/>
  <c r="T558" i="81"/>
  <c r="T565" i="81"/>
  <c r="T572" i="81"/>
  <c r="T578" i="81"/>
  <c r="T583" i="81"/>
  <c r="T588" i="81"/>
  <c r="T594" i="81"/>
  <c r="T599" i="81"/>
  <c r="T604" i="81"/>
  <c r="T610" i="81"/>
  <c r="T615" i="81"/>
  <c r="T620" i="81"/>
  <c r="T626" i="81"/>
  <c r="T631" i="81"/>
  <c r="T636" i="81"/>
  <c r="T642" i="81"/>
  <c r="T647" i="81"/>
  <c r="T652" i="81"/>
  <c r="T658" i="81"/>
  <c r="T663" i="81"/>
  <c r="T668" i="81"/>
  <c r="T674" i="81"/>
  <c r="T679" i="81"/>
  <c r="T684" i="81"/>
  <c r="T690" i="81"/>
  <c r="T695" i="81"/>
  <c r="T700" i="81"/>
  <c r="T706" i="81"/>
  <c r="T711" i="81"/>
  <c r="T716" i="81"/>
  <c r="T720" i="81"/>
  <c r="T724" i="81"/>
  <c r="T728" i="81"/>
  <c r="T732" i="81"/>
  <c r="T736" i="81"/>
  <c r="T740" i="81"/>
  <c r="T744" i="81"/>
  <c r="T748" i="81"/>
  <c r="T752" i="81"/>
  <c r="T756" i="81"/>
  <c r="T760" i="81"/>
  <c r="T764" i="81"/>
  <c r="T768" i="81"/>
  <c r="T772" i="81"/>
  <c r="T776" i="81"/>
  <c r="T780" i="81"/>
  <c r="T784" i="81"/>
  <c r="T788" i="81"/>
  <c r="T792" i="81"/>
  <c r="T796" i="81"/>
  <c r="T800" i="81"/>
  <c r="T804" i="81"/>
  <c r="T808" i="81"/>
  <c r="T812" i="81"/>
  <c r="T816" i="81"/>
  <c r="T820" i="81"/>
  <c r="T824" i="81"/>
  <c r="T828" i="81"/>
  <c r="T832" i="81"/>
  <c r="T836" i="81"/>
  <c r="T840" i="81"/>
  <c r="T844" i="81"/>
  <c r="T848" i="81"/>
  <c r="T852" i="81"/>
  <c r="T856" i="81"/>
  <c r="T860" i="81"/>
  <c r="T864" i="81"/>
  <c r="T868" i="81"/>
  <c r="T872" i="81"/>
  <c r="T876" i="81"/>
  <c r="T880" i="81"/>
  <c r="T884" i="81"/>
  <c r="T40" i="81"/>
  <c r="T84" i="81"/>
  <c r="T126" i="81"/>
  <c r="T168" i="81"/>
  <c r="T212" i="81"/>
  <c r="T254" i="81"/>
  <c r="T296" i="81"/>
  <c r="T340" i="81"/>
  <c r="T363" i="81"/>
  <c r="T384" i="81"/>
  <c r="T403" i="81"/>
  <c r="T419" i="81"/>
  <c r="T435" i="81"/>
  <c r="T451" i="81"/>
  <c r="T466" i="81"/>
  <c r="T472" i="81"/>
  <c r="T479" i="81"/>
  <c r="T487" i="81"/>
  <c r="T494" i="81"/>
  <c r="T500" i="81"/>
  <c r="T508" i="81"/>
  <c r="T515" i="81"/>
  <c r="T522" i="81"/>
  <c r="T530" i="81"/>
  <c r="T538" i="81"/>
  <c r="T545" i="81"/>
  <c r="T553" i="81"/>
  <c r="T560" i="81"/>
  <c r="T566" i="81"/>
  <c r="T574" i="81"/>
  <c r="T579" i="81"/>
  <c r="T584" i="81"/>
  <c r="T590" i="81"/>
  <c r="T595" i="81"/>
  <c r="T600" i="81"/>
  <c r="T606" i="81"/>
  <c r="T611" i="81"/>
  <c r="T616" i="81"/>
  <c r="T622" i="81"/>
  <c r="T627" i="81"/>
  <c r="T632" i="81"/>
  <c r="T638" i="81"/>
  <c r="T643" i="81"/>
  <c r="T648" i="81"/>
  <c r="T654" i="81"/>
  <c r="T659" i="81"/>
  <c r="T664" i="81"/>
  <c r="T670" i="81"/>
  <c r="T675" i="81"/>
  <c r="T680" i="81"/>
  <c r="T62" i="81"/>
  <c r="T232" i="81"/>
  <c r="T374" i="81"/>
  <c r="T443" i="81"/>
  <c r="T483" i="81"/>
  <c r="T511" i="81"/>
  <c r="T542" i="81"/>
  <c r="T570" i="81"/>
  <c r="T592" i="81"/>
  <c r="T614" i="81"/>
  <c r="T635" i="81"/>
  <c r="T656" i="81"/>
  <c r="T678" i="81"/>
  <c r="T691" i="81"/>
  <c r="T702" i="81"/>
  <c r="T712" i="81"/>
  <c r="T721" i="81"/>
  <c r="T729" i="81"/>
  <c r="T737" i="81"/>
  <c r="T745" i="81"/>
  <c r="T753" i="81"/>
  <c r="T761" i="81"/>
  <c r="T769" i="81"/>
  <c r="T777" i="81"/>
  <c r="T785" i="81"/>
  <c r="T793" i="81"/>
  <c r="T801" i="81"/>
  <c r="T809" i="81"/>
  <c r="T817" i="81"/>
  <c r="T825" i="81"/>
  <c r="T831" i="81"/>
  <c r="T837" i="81"/>
  <c r="T842" i="81"/>
  <c r="T847" i="81"/>
  <c r="T853" i="81"/>
  <c r="T858" i="81"/>
  <c r="T863" i="81"/>
  <c r="T869" i="81"/>
  <c r="T874" i="81"/>
  <c r="T879" i="81"/>
  <c r="T885" i="81"/>
  <c r="T104" i="81"/>
  <c r="T276" i="81"/>
  <c r="T395" i="81"/>
  <c r="T460" i="81"/>
  <c r="T490" i="81"/>
  <c r="T519" i="81"/>
  <c r="T549" i="81"/>
  <c r="T576" i="81"/>
  <c r="T598" i="81"/>
  <c r="T619" i="81"/>
  <c r="T640" i="81"/>
  <c r="T662" i="81"/>
  <c r="T683" i="81"/>
  <c r="T694" i="81"/>
  <c r="T704" i="81"/>
  <c r="T715" i="81"/>
  <c r="T723" i="81"/>
  <c r="T731" i="81"/>
  <c r="T739" i="81"/>
  <c r="T747" i="81"/>
  <c r="T755" i="81"/>
  <c r="T763" i="81"/>
  <c r="T771" i="81"/>
  <c r="T779" i="81"/>
  <c r="T787" i="81"/>
  <c r="T795" i="81"/>
  <c r="T803" i="81"/>
  <c r="T811" i="81"/>
  <c r="T819" i="81"/>
  <c r="T827" i="81"/>
  <c r="T833" i="81"/>
  <c r="T838" i="81"/>
  <c r="T843" i="81"/>
  <c r="T849" i="81"/>
  <c r="T854" i="81"/>
  <c r="T859" i="81"/>
  <c r="T865" i="81"/>
  <c r="T870" i="81"/>
  <c r="T875" i="81"/>
  <c r="T881" i="81"/>
  <c r="T148" i="81"/>
  <c r="T318" i="81"/>
  <c r="T411" i="81"/>
  <c r="T468" i="81"/>
  <c r="T190" i="81"/>
  <c r="T498" i="81"/>
  <c r="T556" i="81"/>
  <c r="T603" i="81"/>
  <c r="T646" i="81"/>
  <c r="T686" i="81"/>
  <c r="T707" i="81"/>
  <c r="T725" i="81"/>
  <c r="T741" i="81"/>
  <c r="T757" i="81"/>
  <c r="T773" i="81"/>
  <c r="T789" i="81"/>
  <c r="T805" i="81"/>
  <c r="T821" i="81"/>
  <c r="T834" i="81"/>
  <c r="T845" i="81"/>
  <c r="T855" i="81"/>
  <c r="T866" i="81"/>
  <c r="T877" i="81"/>
  <c r="T352" i="81"/>
  <c r="T504" i="81"/>
  <c r="T564" i="81"/>
  <c r="T608" i="81"/>
  <c r="T651" i="81"/>
  <c r="T688" i="81"/>
  <c r="T710" i="81"/>
  <c r="T727" i="81"/>
  <c r="T743" i="81"/>
  <c r="T759" i="81"/>
  <c r="T775" i="81"/>
  <c r="T791" i="81"/>
  <c r="T807" i="81"/>
  <c r="T823" i="81"/>
  <c r="T835" i="81"/>
  <c r="T846" i="81"/>
  <c r="T857" i="81"/>
  <c r="T867" i="81"/>
  <c r="T878" i="81"/>
  <c r="T427" i="81"/>
  <c r="T526" i="81"/>
  <c r="T582" i="81"/>
  <c r="T624" i="81"/>
  <c r="T667" i="81"/>
  <c r="T696" i="81"/>
  <c r="T717" i="81"/>
  <c r="T733" i="81"/>
  <c r="T749" i="81"/>
  <c r="T765" i="81"/>
  <c r="T781" i="81"/>
  <c r="T797" i="81"/>
  <c r="T813" i="81"/>
  <c r="T829" i="81"/>
  <c r="T839" i="81"/>
  <c r="T850" i="81"/>
  <c r="T861" i="81"/>
  <c r="T871" i="81"/>
  <c r="T882" i="81"/>
  <c r="T20" i="81"/>
  <c r="T476" i="81"/>
  <c r="T532" i="81"/>
  <c r="T587" i="81"/>
  <c r="T630" i="81"/>
  <c r="T672" i="81"/>
  <c r="T699" i="81"/>
  <c r="T719" i="81"/>
  <c r="T735" i="81"/>
  <c r="T751" i="81"/>
  <c r="T767" i="81"/>
  <c r="T783" i="81"/>
  <c r="T799" i="81"/>
  <c r="T815" i="81"/>
  <c r="T830" i="81"/>
  <c r="T841" i="81"/>
  <c r="T851" i="81"/>
  <c r="T862" i="81"/>
  <c r="T873" i="81"/>
  <c r="T883" i="81"/>
  <c r="T393" i="81"/>
  <c r="T377" i="81"/>
  <c r="T361" i="81"/>
  <c r="T345" i="81"/>
  <c r="T314" i="81"/>
  <c r="T282" i="81"/>
  <c r="T250" i="81"/>
  <c r="T218" i="81"/>
  <c r="T186" i="81"/>
  <c r="T154" i="81"/>
  <c r="T122" i="81"/>
  <c r="T90" i="81"/>
  <c r="T58" i="81"/>
  <c r="T26" i="81"/>
  <c r="T13" i="81"/>
  <c r="T29" i="81"/>
  <c r="T45" i="81"/>
  <c r="T61" i="81"/>
  <c r="T77" i="81"/>
  <c r="T93" i="81"/>
  <c r="T109" i="81"/>
  <c r="T125" i="81"/>
  <c r="T141" i="81"/>
  <c r="T157" i="81"/>
  <c r="T173" i="81"/>
  <c r="T189" i="81"/>
  <c r="T205" i="81"/>
  <c r="T221" i="81"/>
  <c r="T237" i="81"/>
  <c r="T253" i="81"/>
  <c r="T269" i="81"/>
  <c r="T285" i="81"/>
  <c r="T301" i="81"/>
  <c r="T317" i="81"/>
  <c r="T333" i="81"/>
  <c r="T11" i="81"/>
  <c r="T27" i="81"/>
  <c r="T43" i="81"/>
  <c r="T59" i="81"/>
  <c r="T75" i="81"/>
  <c r="T91" i="81"/>
  <c r="T107" i="81"/>
  <c r="T123" i="81"/>
  <c r="T139" i="81"/>
  <c r="T155" i="81"/>
  <c r="T171" i="81"/>
  <c r="T187" i="81"/>
  <c r="T203" i="81"/>
  <c r="T219" i="81"/>
  <c r="T235" i="81"/>
  <c r="T251" i="81"/>
  <c r="T267" i="81"/>
  <c r="T283" i="81"/>
  <c r="T299" i="81"/>
  <c r="T315" i="81"/>
  <c r="T331" i="81"/>
  <c r="T131" i="81"/>
  <c r="T179" i="81"/>
  <c r="T211" i="81"/>
  <c r="T243" i="81"/>
  <c r="T291" i="81"/>
  <c r="T323" i="81"/>
  <c r="T381" i="81"/>
  <c r="T194" i="81"/>
  <c r="T98" i="81"/>
  <c r="T34" i="81"/>
  <c r="T25" i="81"/>
  <c r="T57" i="81"/>
  <c r="T89" i="81"/>
  <c r="T121" i="81"/>
  <c r="T153" i="81"/>
  <c r="T185" i="81"/>
  <c r="T217" i="81"/>
  <c r="T249" i="81"/>
  <c r="T281" i="81"/>
  <c r="T313" i="81"/>
  <c r="T7" i="81"/>
  <c r="T39" i="81"/>
  <c r="T87" i="81"/>
  <c r="T119" i="81"/>
  <c r="T151" i="81"/>
  <c r="T183" i="81"/>
  <c r="T215" i="81"/>
  <c r="T247" i="81"/>
  <c r="T279" i="81"/>
  <c r="T311" i="81"/>
  <c r="T343" i="81"/>
  <c r="T389" i="81"/>
  <c r="T373" i="81"/>
  <c r="T357" i="81"/>
  <c r="T338" i="81"/>
  <c r="T306" i="81"/>
  <c r="T274" i="81"/>
  <c r="T242" i="81"/>
  <c r="T210" i="81"/>
  <c r="T178" i="81"/>
  <c r="T146" i="81"/>
  <c r="T114" i="81"/>
  <c r="T82" i="81"/>
  <c r="T50" i="81"/>
  <c r="T18" i="81"/>
  <c r="T17" i="81"/>
  <c r="T33" i="81"/>
  <c r="T49" i="81"/>
  <c r="T65" i="81"/>
  <c r="T81" i="81"/>
  <c r="T97" i="81"/>
  <c r="T113" i="81"/>
  <c r="T129" i="81"/>
  <c r="T145" i="81"/>
  <c r="T161" i="81"/>
  <c r="T177" i="81"/>
  <c r="T193" i="81"/>
  <c r="T209" i="81"/>
  <c r="T225" i="81"/>
  <c r="T241" i="81"/>
  <c r="T257" i="81"/>
  <c r="T273" i="81"/>
  <c r="T289" i="81"/>
  <c r="T305" i="81"/>
  <c r="T321" i="81"/>
  <c r="T337" i="81"/>
  <c r="T15" i="81"/>
  <c r="T31" i="81"/>
  <c r="T47" i="81"/>
  <c r="T63" i="81"/>
  <c r="T79" i="81"/>
  <c r="T95" i="81"/>
  <c r="T111" i="81"/>
  <c r="T127" i="81"/>
  <c r="T143" i="81"/>
  <c r="T159" i="81"/>
  <c r="T175" i="81"/>
  <c r="T191" i="81"/>
  <c r="T207" i="81"/>
  <c r="T223" i="81"/>
  <c r="T239" i="81"/>
  <c r="T255" i="81"/>
  <c r="T271" i="81"/>
  <c r="T287" i="81"/>
  <c r="T303" i="81"/>
  <c r="T319" i="81"/>
  <c r="T335" i="81"/>
  <c r="T385" i="81"/>
  <c r="T369" i="81"/>
  <c r="T353" i="81"/>
  <c r="T330" i="81"/>
  <c r="T298" i="81"/>
  <c r="T266" i="81"/>
  <c r="T234" i="81"/>
  <c r="T202" i="81"/>
  <c r="T170" i="81"/>
  <c r="T138" i="81"/>
  <c r="T106" i="81"/>
  <c r="T74" i="81"/>
  <c r="T42" i="81"/>
  <c r="T536" i="81"/>
  <c r="T21" i="81"/>
  <c r="T37" i="81"/>
  <c r="T53" i="81"/>
  <c r="T69" i="81"/>
  <c r="T85" i="81"/>
  <c r="T101" i="81"/>
  <c r="T117" i="81"/>
  <c r="T133" i="81"/>
  <c r="T149" i="81"/>
  <c r="T165" i="81"/>
  <c r="T181" i="81"/>
  <c r="T197" i="81"/>
  <c r="T213" i="81"/>
  <c r="T229" i="81"/>
  <c r="T245" i="81"/>
  <c r="T261" i="81"/>
  <c r="T277" i="81"/>
  <c r="T293" i="81"/>
  <c r="T309" i="81"/>
  <c r="T325" i="81"/>
  <c r="T341" i="81"/>
  <c r="T19" i="81"/>
  <c r="T35" i="81"/>
  <c r="T51" i="81"/>
  <c r="T67" i="81"/>
  <c r="T83" i="81"/>
  <c r="T99" i="81"/>
  <c r="T115" i="81"/>
  <c r="T147" i="81"/>
  <c r="T163" i="81"/>
  <c r="T195" i="81"/>
  <c r="T227" i="81"/>
  <c r="T259" i="81"/>
  <c r="T275" i="81"/>
  <c r="T307" i="81"/>
  <c r="T339" i="81"/>
  <c r="T365" i="81"/>
  <c r="T349" i="81"/>
  <c r="T322" i="81"/>
  <c r="T290" i="81"/>
  <c r="T258" i="81"/>
  <c r="T226" i="81"/>
  <c r="T162" i="81"/>
  <c r="T130" i="81"/>
  <c r="T66" i="81"/>
  <c r="T9" i="81"/>
  <c r="T41" i="81"/>
  <c r="T73" i="81"/>
  <c r="T105" i="81"/>
  <c r="T137" i="81"/>
  <c r="T169" i="81"/>
  <c r="T201" i="81"/>
  <c r="T233" i="81"/>
  <c r="T265" i="81"/>
  <c r="T297" i="81"/>
  <c r="T329" i="81"/>
  <c r="T23" i="81"/>
  <c r="T55" i="81"/>
  <c r="T71" i="81"/>
  <c r="T103" i="81"/>
  <c r="T135" i="81"/>
  <c r="T167" i="81"/>
  <c r="T199" i="81"/>
  <c r="T231" i="81"/>
  <c r="T263" i="81"/>
  <c r="T295" i="81"/>
  <c r="T327" i="81"/>
  <c r="H708" i="83"/>
  <c r="H764" i="83"/>
  <c r="G883" i="81"/>
  <c r="G879" i="81"/>
  <c r="G875" i="81"/>
  <c r="G871" i="81"/>
  <c r="G867" i="81"/>
  <c r="G863" i="81"/>
  <c r="G859" i="81"/>
  <c r="G855" i="81"/>
  <c r="G851" i="81"/>
  <c r="G847" i="81"/>
  <c r="G843" i="81"/>
  <c r="G839" i="81"/>
  <c r="G835" i="81"/>
  <c r="G831" i="81"/>
  <c r="G827" i="81"/>
  <c r="G823" i="81"/>
  <c r="G819" i="81"/>
  <c r="G815" i="81"/>
  <c r="G811" i="81"/>
  <c r="G807" i="81"/>
  <c r="G803" i="81"/>
  <c r="G799" i="81"/>
  <c r="G795" i="81"/>
  <c r="G791" i="81"/>
  <c r="G787" i="81"/>
  <c r="G783" i="81"/>
  <c r="G779" i="81"/>
  <c r="G775" i="81"/>
  <c r="G771" i="81"/>
  <c r="G767" i="81"/>
  <c r="G763" i="81"/>
  <c r="G759" i="81"/>
  <c r="G755" i="81"/>
  <c r="G751" i="81"/>
  <c r="G747" i="81"/>
  <c r="G743" i="81"/>
  <c r="G739" i="81"/>
  <c r="G735" i="81"/>
  <c r="G731" i="81"/>
  <c r="G727" i="81"/>
  <c r="G723" i="81"/>
  <c r="G719" i="81"/>
  <c r="G715" i="81"/>
  <c r="G711" i="81"/>
  <c r="G707" i="81"/>
  <c r="G703" i="81"/>
  <c r="G699" i="81"/>
  <c r="G695" i="81"/>
  <c r="G691" i="81"/>
  <c r="G687" i="81"/>
  <c r="G683" i="81"/>
  <c r="G679" i="81"/>
  <c r="G675" i="81"/>
  <c r="G671" i="81"/>
  <c r="G884" i="81"/>
  <c r="G878" i="81"/>
  <c r="G873" i="81"/>
  <c r="G868" i="81"/>
  <c r="G862" i="81"/>
  <c r="G857" i="81"/>
  <c r="G852" i="81"/>
  <c r="G846" i="81"/>
  <c r="G841" i="81"/>
  <c r="G836" i="81"/>
  <c r="G830" i="81"/>
  <c r="G825" i="81"/>
  <c r="G820" i="81"/>
  <c r="G814" i="81"/>
  <c r="G809" i="81"/>
  <c r="G804" i="81"/>
  <c r="G798" i="81"/>
  <c r="G793" i="81"/>
  <c r="G788" i="81"/>
  <c r="G782" i="81"/>
  <c r="G777" i="81"/>
  <c r="G772" i="81"/>
  <c r="G766" i="81"/>
  <c r="G761" i="81"/>
  <c r="G756" i="81"/>
  <c r="G750" i="81"/>
  <c r="G745" i="81"/>
  <c r="G740" i="81"/>
  <c r="G734" i="81"/>
  <c r="G729" i="81"/>
  <c r="G724" i="81"/>
  <c r="G718" i="81"/>
  <c r="G713" i="81"/>
  <c r="G708" i="81"/>
  <c r="G702" i="81"/>
  <c r="G697" i="81"/>
  <c r="G692" i="81"/>
  <c r="G686" i="81"/>
  <c r="G681" i="81"/>
  <c r="G676" i="81"/>
  <c r="G882" i="81"/>
  <c r="G877" i="81"/>
  <c r="G872" i="81"/>
  <c r="G866" i="81"/>
  <c r="G861" i="81"/>
  <c r="G856" i="81"/>
  <c r="G850" i="81"/>
  <c r="G845" i="81"/>
  <c r="G840" i="81"/>
  <c r="G834" i="81"/>
  <c r="G829" i="81"/>
  <c r="G824" i="81"/>
  <c r="G818" i="81"/>
  <c r="G813" i="81"/>
  <c r="G808" i="81"/>
  <c r="G802" i="81"/>
  <c r="G797" i="81"/>
  <c r="G792" i="81"/>
  <c r="G786" i="81"/>
  <c r="G781" i="81"/>
  <c r="G776" i="81"/>
  <c r="G770" i="81"/>
  <c r="G765" i="81"/>
  <c r="G760" i="81"/>
  <c r="G754" i="81"/>
  <c r="G749" i="81"/>
  <c r="G744" i="81"/>
  <c r="G738" i="81"/>
  <c r="G733" i="81"/>
  <c r="G728" i="81"/>
  <c r="G722" i="81"/>
  <c r="G717" i="81"/>
  <c r="G712" i="81"/>
  <c r="G706" i="81"/>
  <c r="G701" i="81"/>
  <c r="G696" i="81"/>
  <c r="G690" i="81"/>
  <c r="G685" i="81"/>
  <c r="G680" i="81"/>
  <c r="G674" i="81"/>
  <c r="G669" i="81"/>
  <c r="G665" i="81"/>
  <c r="G661" i="81"/>
  <c r="G657" i="81"/>
  <c r="G653" i="81"/>
  <c r="G649" i="81"/>
  <c r="G645" i="81"/>
  <c r="G641" i="81"/>
  <c r="G637" i="81"/>
  <c r="G633" i="81"/>
  <c r="G629" i="81"/>
  <c r="G625" i="81"/>
  <c r="G621" i="81"/>
  <c r="G617" i="81"/>
  <c r="G613" i="81"/>
  <c r="G609" i="81"/>
  <c r="G605" i="81"/>
  <c r="G601" i="81"/>
  <c r="G597" i="81"/>
  <c r="G593" i="81"/>
  <c r="G589" i="81"/>
  <c r="G585" i="81"/>
  <c r="G581" i="81"/>
  <c r="G577" i="81"/>
  <c r="G573" i="81"/>
  <c r="G569" i="81"/>
  <c r="G565" i="81"/>
  <c r="G561" i="81"/>
  <c r="G557" i="81"/>
  <c r="G553" i="81"/>
  <c r="G549" i="81"/>
  <c r="G545" i="81"/>
  <c r="G541" i="81"/>
  <c r="G535" i="81"/>
  <c r="G531" i="81"/>
  <c r="G527" i="81"/>
  <c r="G523" i="81"/>
  <c r="G519" i="81"/>
  <c r="G515" i="81"/>
  <c r="G511" i="81"/>
  <c r="G507" i="81"/>
  <c r="G503" i="81"/>
  <c r="G499" i="81"/>
  <c r="G495" i="81"/>
  <c r="G491" i="81"/>
  <c r="G487" i="81"/>
  <c r="G483" i="81"/>
  <c r="G479" i="81"/>
  <c r="G475" i="81"/>
  <c r="G471" i="81"/>
  <c r="G467" i="81"/>
  <c r="G463" i="81"/>
  <c r="G459" i="81"/>
  <c r="G455" i="81"/>
  <c r="G449" i="81"/>
  <c r="G445" i="81"/>
  <c r="G441" i="81"/>
  <c r="G437" i="81"/>
  <c r="G433" i="81"/>
  <c r="G429" i="81"/>
  <c r="G425" i="81"/>
  <c r="G421" i="81"/>
  <c r="G417" i="81"/>
  <c r="G413" i="81"/>
  <c r="G409" i="81"/>
  <c r="G405" i="81"/>
  <c r="G401" i="81"/>
  <c r="G397" i="81"/>
  <c r="G393" i="81"/>
  <c r="G389" i="81"/>
  <c r="G385" i="81"/>
  <c r="G876" i="81"/>
  <c r="G865" i="81"/>
  <c r="G854" i="81"/>
  <c r="G844" i="81"/>
  <c r="G833" i="81"/>
  <c r="G822" i="81"/>
  <c r="G812" i="81"/>
  <c r="G801" i="81"/>
  <c r="G790" i="81"/>
  <c r="G780" i="81"/>
  <c r="G769" i="81"/>
  <c r="G758" i="81"/>
  <c r="G748" i="81"/>
  <c r="G737" i="81"/>
  <c r="G726" i="81"/>
  <c r="G716" i="81"/>
  <c r="G705" i="81"/>
  <c r="G694" i="81"/>
  <c r="G684" i="81"/>
  <c r="G673" i="81"/>
  <c r="G667" i="81"/>
  <c r="G662" i="81"/>
  <c r="G656" i="81"/>
  <c r="G651" i="81"/>
  <c r="G646" i="81"/>
  <c r="G640" i="81"/>
  <c r="G635" i="81"/>
  <c r="G630" i="81"/>
  <c r="G624" i="81"/>
  <c r="G619" i="81"/>
  <c r="G614" i="81"/>
  <c r="G608" i="81"/>
  <c r="G603" i="81"/>
  <c r="G598" i="81"/>
  <c r="G592" i="81"/>
  <c r="G587" i="81"/>
  <c r="G582" i="81"/>
  <c r="G576" i="81"/>
  <c r="G571" i="81"/>
  <c r="G566" i="81"/>
  <c r="G560" i="81"/>
  <c r="G555" i="81"/>
  <c r="G550" i="81"/>
  <c r="G544" i="81"/>
  <c r="G539" i="81"/>
  <c r="G532" i="81"/>
  <c r="G526" i="81"/>
  <c r="G521" i="81"/>
  <c r="G516" i="81"/>
  <c r="G510" i="81"/>
  <c r="G505" i="81"/>
  <c r="G500" i="81"/>
  <c r="G494" i="81"/>
  <c r="G489" i="81"/>
  <c r="G484" i="81"/>
  <c r="G478" i="81"/>
  <c r="G473" i="81"/>
  <c r="G468" i="81"/>
  <c r="G462" i="81"/>
  <c r="G457" i="81"/>
  <c r="G450" i="81"/>
  <c r="G444" i="81"/>
  <c r="G439" i="81"/>
  <c r="G434" i="81"/>
  <c r="G428" i="81"/>
  <c r="G423" i="81"/>
  <c r="G418" i="81"/>
  <c r="G412" i="81"/>
  <c r="G407" i="81"/>
  <c r="G402" i="81"/>
  <c r="G396" i="81"/>
  <c r="G391" i="81"/>
  <c r="G386" i="81"/>
  <c r="G381" i="81"/>
  <c r="G377" i="81"/>
  <c r="G373" i="81"/>
  <c r="G369" i="81"/>
  <c r="G365" i="81"/>
  <c r="G361" i="81"/>
  <c r="G357" i="81"/>
  <c r="G353" i="81"/>
  <c r="G349" i="81"/>
  <c r="G345" i="81"/>
  <c r="G341" i="81"/>
  <c r="G337" i="81"/>
  <c r="G333" i="81"/>
  <c r="G329" i="81"/>
  <c r="G325" i="81"/>
  <c r="G321" i="81"/>
  <c r="G317" i="81"/>
  <c r="G313" i="81"/>
  <c r="G309" i="81"/>
  <c r="G305" i="81"/>
  <c r="G301" i="81"/>
  <c r="G297" i="81"/>
  <c r="G293" i="81"/>
  <c r="G289" i="81"/>
  <c r="G285" i="81"/>
  <c r="G281" i="81"/>
  <c r="G277" i="81"/>
  <c r="G273" i="81"/>
  <c r="G269" i="81"/>
  <c r="G265" i="81"/>
  <c r="G261" i="81"/>
  <c r="G257" i="81"/>
  <c r="G253" i="81"/>
  <c r="G249" i="81"/>
  <c r="G245" i="81"/>
  <c r="G241" i="81"/>
  <c r="G237" i="81"/>
  <c r="G233" i="81"/>
  <c r="G229" i="81"/>
  <c r="G225" i="81"/>
  <c r="G221" i="81"/>
  <c r="G217" i="81"/>
  <c r="G213" i="81"/>
  <c r="G209" i="81"/>
  <c r="G205" i="81"/>
  <c r="G201" i="81"/>
  <c r="G197" i="81"/>
  <c r="G193" i="81"/>
  <c r="G189" i="81"/>
  <c r="G185" i="81"/>
  <c r="G181" i="81"/>
  <c r="G177" i="81"/>
  <c r="G173" i="81"/>
  <c r="G169" i="81"/>
  <c r="G165" i="81"/>
  <c r="G161" i="81"/>
  <c r="G157" i="81"/>
  <c r="G153" i="81"/>
  <c r="G149" i="81"/>
  <c r="G145" i="81"/>
  <c r="G141" i="81"/>
  <c r="G137" i="81"/>
  <c r="G133" i="81"/>
  <c r="G129" i="81"/>
  <c r="G125" i="81"/>
  <c r="G121" i="81"/>
  <c r="G117" i="81"/>
  <c r="G885" i="81"/>
  <c r="G874" i="81"/>
  <c r="G864" i="81"/>
  <c r="G853" i="81"/>
  <c r="G842" i="81"/>
  <c r="G832" i="81"/>
  <c r="G821" i="81"/>
  <c r="G810" i="81"/>
  <c r="G800" i="81"/>
  <c r="G789" i="81"/>
  <c r="G778" i="81"/>
  <c r="G768" i="81"/>
  <c r="G757" i="81"/>
  <c r="G746" i="81"/>
  <c r="G736" i="81"/>
  <c r="G725" i="81"/>
  <c r="G714" i="81"/>
  <c r="G704" i="81"/>
  <c r="G693" i="81"/>
  <c r="G682" i="81"/>
  <c r="G672" i="81"/>
  <c r="G666" i="81"/>
  <c r="G660" i="81"/>
  <c r="G655" i="81"/>
  <c r="G650" i="81"/>
  <c r="G644" i="81"/>
  <c r="G639" i="81"/>
  <c r="G634" i="81"/>
  <c r="G628" i="81"/>
  <c r="G623" i="81"/>
  <c r="G618" i="81"/>
  <c r="G612" i="81"/>
  <c r="G607" i="81"/>
  <c r="G602" i="81"/>
  <c r="G596" i="81"/>
  <c r="G591" i="81"/>
  <c r="G586" i="81"/>
  <c r="G580" i="81"/>
  <c r="G575" i="81"/>
  <c r="G570" i="81"/>
  <c r="G564" i="81"/>
  <c r="G559" i="81"/>
  <c r="G554" i="81"/>
  <c r="G548" i="81"/>
  <c r="G543" i="81"/>
  <c r="G538" i="81"/>
  <c r="G530" i="81"/>
  <c r="G525" i="81"/>
  <c r="G520" i="81"/>
  <c r="G514" i="81"/>
  <c r="G509" i="81"/>
  <c r="G504" i="81"/>
  <c r="G498" i="81"/>
  <c r="G493" i="81"/>
  <c r="G488" i="81"/>
  <c r="G482" i="81"/>
  <c r="G477" i="81"/>
  <c r="G472" i="81"/>
  <c r="G466" i="81"/>
  <c r="G461" i="81"/>
  <c r="G456" i="81"/>
  <c r="G448" i="81"/>
  <c r="G443" i="81"/>
  <c r="G438" i="81"/>
  <c r="G432" i="81"/>
  <c r="G427" i="81"/>
  <c r="G422" i="81"/>
  <c r="G416" i="81"/>
  <c r="G411" i="81"/>
  <c r="G406" i="81"/>
  <c r="G400" i="81"/>
  <c r="G395" i="81"/>
  <c r="G390" i="81"/>
  <c r="G384" i="81"/>
  <c r="G380" i="81"/>
  <c r="G376" i="81"/>
  <c r="G372" i="81"/>
  <c r="G368" i="81"/>
  <c r="G364" i="81"/>
  <c r="G360" i="81"/>
  <c r="G356" i="81"/>
  <c r="G352" i="81"/>
  <c r="G348" i="81"/>
  <c r="G344" i="81"/>
  <c r="G340" i="81"/>
  <c r="G336" i="81"/>
  <c r="G332" i="81"/>
  <c r="G328" i="81"/>
  <c r="G324" i="81"/>
  <c r="G320" i="81"/>
  <c r="G316" i="81"/>
  <c r="G312" i="81"/>
  <c r="G308" i="81"/>
  <c r="G304" i="81"/>
  <c r="G300" i="81"/>
  <c r="G296" i="81"/>
  <c r="G292" i="81"/>
  <c r="G288" i="81"/>
  <c r="G284" i="81"/>
  <c r="G280" i="81"/>
  <c r="G276" i="81"/>
  <c r="G272" i="81"/>
  <c r="G268" i="81"/>
  <c r="G264" i="81"/>
  <c r="G260" i="81"/>
  <c r="G256" i="81"/>
  <c r="G252" i="81"/>
  <c r="G248" i="81"/>
  <c r="G244" i="81"/>
  <c r="G240" i="81"/>
  <c r="G236" i="81"/>
  <c r="G232" i="81"/>
  <c r="G228" i="81"/>
  <c r="G224" i="81"/>
  <c r="G220" i="81"/>
  <c r="G216" i="81"/>
  <c r="G212" i="81"/>
  <c r="G208" i="81"/>
  <c r="G204" i="81"/>
  <c r="G200" i="81"/>
  <c r="G196" i="81"/>
  <c r="G192" i="81"/>
  <c r="G188" i="81"/>
  <c r="G184" i="81"/>
  <c r="G180" i="81"/>
  <c r="G176" i="81"/>
  <c r="G172" i="81"/>
  <c r="G168" i="81"/>
  <c r="G164" i="81"/>
  <c r="G160" i="81"/>
  <c r="G156" i="81"/>
  <c r="G152" i="81"/>
  <c r="G148" i="81"/>
  <c r="G144" i="81"/>
  <c r="G140" i="81"/>
  <c r="G136" i="81"/>
  <c r="G132" i="81"/>
  <c r="G128" i="81"/>
  <c r="G124" i="81"/>
  <c r="G120" i="81"/>
  <c r="G116" i="81"/>
  <c r="G112" i="81"/>
  <c r="G108" i="81"/>
  <c r="G104" i="81"/>
  <c r="G100" i="81"/>
  <c r="G96" i="81"/>
  <c r="G92" i="81"/>
  <c r="G88" i="81"/>
  <c r="G84" i="81"/>
  <c r="G80" i="81"/>
  <c r="G76" i="81"/>
  <c r="G72" i="81"/>
  <c r="G68" i="81"/>
  <c r="G64" i="81"/>
  <c r="G60" i="81"/>
  <c r="G56" i="81"/>
  <c r="G52" i="81"/>
  <c r="G48" i="81"/>
  <c r="G44" i="81"/>
  <c r="G40" i="81"/>
  <c r="G36" i="81"/>
  <c r="G32" i="81"/>
  <c r="G28" i="81"/>
  <c r="G24" i="81"/>
  <c r="G20" i="81"/>
  <c r="G16" i="81"/>
  <c r="G12" i="81"/>
  <c r="G8" i="81"/>
  <c r="G870" i="81"/>
  <c r="G849" i="81"/>
  <c r="G828" i="81"/>
  <c r="G806" i="81"/>
  <c r="G785" i="81"/>
  <c r="G764" i="81"/>
  <c r="G742" i="81"/>
  <c r="G721" i="81"/>
  <c r="G700" i="81"/>
  <c r="G678" i="81"/>
  <c r="G664" i="81"/>
  <c r="G654" i="81"/>
  <c r="G643" i="81"/>
  <c r="G632" i="81"/>
  <c r="G622" i="81"/>
  <c r="G611" i="81"/>
  <c r="G600" i="81"/>
  <c r="G590" i="81"/>
  <c r="G579" i="81"/>
  <c r="G568" i="81"/>
  <c r="G558" i="81"/>
  <c r="G547" i="81"/>
  <c r="G534" i="81"/>
  <c r="G524" i="81"/>
  <c r="G513" i="81"/>
  <c r="G502" i="81"/>
  <c r="G492" i="81"/>
  <c r="G481" i="81"/>
  <c r="G470" i="81"/>
  <c r="G460" i="81"/>
  <c r="G447" i="81"/>
  <c r="G436" i="81"/>
  <c r="G426" i="81"/>
  <c r="G415" i="81"/>
  <c r="G404" i="81"/>
  <c r="G394" i="81"/>
  <c r="G383" i="81"/>
  <c r="G375" i="81"/>
  <c r="G367" i="81"/>
  <c r="G359" i="81"/>
  <c r="G351" i="81"/>
  <c r="G343" i="81"/>
  <c r="G335" i="81"/>
  <c r="G327" i="81"/>
  <c r="G319" i="81"/>
  <c r="G311" i="81"/>
  <c r="G303" i="81"/>
  <c r="G295" i="81"/>
  <c r="G287" i="81"/>
  <c r="G279" i="81"/>
  <c r="G271" i="81"/>
  <c r="G263" i="81"/>
  <c r="G255" i="81"/>
  <c r="G247" i="81"/>
  <c r="G239" i="81"/>
  <c r="G231" i="81"/>
  <c r="G223" i="81"/>
  <c r="G215" i="81"/>
  <c r="G207" i="81"/>
  <c r="G199" i="81"/>
  <c r="G191" i="81"/>
  <c r="G183" i="81"/>
  <c r="G175" i="81"/>
  <c r="G167" i="81"/>
  <c r="G159" i="81"/>
  <c r="G151" i="81"/>
  <c r="G143" i="81"/>
  <c r="G135" i="81"/>
  <c r="G127" i="81"/>
  <c r="G119" i="81"/>
  <c r="G113" i="81"/>
  <c r="G107" i="81"/>
  <c r="G102" i="81"/>
  <c r="G97" i="81"/>
  <c r="G91" i="81"/>
  <c r="G86" i="81"/>
  <c r="G81" i="81"/>
  <c r="G75" i="81"/>
  <c r="G70" i="81"/>
  <c r="G65" i="81"/>
  <c r="G59" i="81"/>
  <c r="G54" i="81"/>
  <c r="G49" i="81"/>
  <c r="G43" i="81"/>
  <c r="G38" i="81"/>
  <c r="G33" i="81"/>
  <c r="G27" i="81"/>
  <c r="G22" i="81"/>
  <c r="G17" i="81"/>
  <c r="G11" i="81"/>
  <c r="G869" i="81"/>
  <c r="G826" i="81"/>
  <c r="G784" i="81"/>
  <c r="G741" i="81"/>
  <c r="G698" i="81"/>
  <c r="G663" i="81"/>
  <c r="G642" i="81"/>
  <c r="G620" i="81"/>
  <c r="G599" i="81"/>
  <c r="G578" i="81"/>
  <c r="G556" i="81"/>
  <c r="G533" i="81"/>
  <c r="G512" i="81"/>
  <c r="G490" i="81"/>
  <c r="G469" i="81"/>
  <c r="G446" i="81"/>
  <c r="G424" i="81"/>
  <c r="G403" i="81"/>
  <c r="G382" i="81"/>
  <c r="G366" i="81"/>
  <c r="G350" i="81"/>
  <c r="G334" i="81"/>
  <c r="G318" i="81"/>
  <c r="G302" i="81"/>
  <c r="G286" i="81"/>
  <c r="G270" i="81"/>
  <c r="G254" i="81"/>
  <c r="G238" i="81"/>
  <c r="G222" i="81"/>
  <c r="G206" i="81"/>
  <c r="G190" i="81"/>
  <c r="G174" i="81"/>
  <c r="G158" i="81"/>
  <c r="G142" i="81"/>
  <c r="G126" i="81"/>
  <c r="G111" i="81"/>
  <c r="G101" i="81"/>
  <c r="G90" i="81"/>
  <c r="G79" i="81"/>
  <c r="G69" i="81"/>
  <c r="G58" i="81"/>
  <c r="G47" i="81"/>
  <c r="G37" i="81"/>
  <c r="G26" i="81"/>
  <c r="G15" i="81"/>
  <c r="G881" i="81"/>
  <c r="G860" i="81"/>
  <c r="G838" i="81"/>
  <c r="G817" i="81"/>
  <c r="G796" i="81"/>
  <c r="G774" i="81"/>
  <c r="G753" i="81"/>
  <c r="G732" i="81"/>
  <c r="G710" i="81"/>
  <c r="G689" i="81"/>
  <c r="G670" i="81"/>
  <c r="G659" i="81"/>
  <c r="G648" i="81"/>
  <c r="G638" i="81"/>
  <c r="G627" i="81"/>
  <c r="G616" i="81"/>
  <c r="G606" i="81"/>
  <c r="G595" i="81"/>
  <c r="G584" i="81"/>
  <c r="G574" i="81"/>
  <c r="G563" i="81"/>
  <c r="G552" i="81"/>
  <c r="G542" i="81"/>
  <c r="G529" i="81"/>
  <c r="G518" i="81"/>
  <c r="G508" i="81"/>
  <c r="G497" i="81"/>
  <c r="G486" i="81"/>
  <c r="G476" i="81"/>
  <c r="G465" i="81"/>
  <c r="G454" i="81"/>
  <c r="G442" i="81"/>
  <c r="G431" i="81"/>
  <c r="G420" i="81"/>
  <c r="G410" i="81"/>
  <c r="G399" i="81"/>
  <c r="G388" i="81"/>
  <c r="G379" i="81"/>
  <c r="G371" i="81"/>
  <c r="G363" i="81"/>
  <c r="G355" i="81"/>
  <c r="G347" i="81"/>
  <c r="G339" i="81"/>
  <c r="G331" i="81"/>
  <c r="G323" i="81"/>
  <c r="G315" i="81"/>
  <c r="G307" i="81"/>
  <c r="G299" i="81"/>
  <c r="G291" i="81"/>
  <c r="G283" i="81"/>
  <c r="G275" i="81"/>
  <c r="G267" i="81"/>
  <c r="G259" i="81"/>
  <c r="G251" i="81"/>
  <c r="G243" i="81"/>
  <c r="G235" i="81"/>
  <c r="G227" i="81"/>
  <c r="G219" i="81"/>
  <c r="G211" i="81"/>
  <c r="G203" i="81"/>
  <c r="G195" i="81"/>
  <c r="G187" i="81"/>
  <c r="G179" i="81"/>
  <c r="G171" i="81"/>
  <c r="G163" i="81"/>
  <c r="G155" i="81"/>
  <c r="G147" i="81"/>
  <c r="G139" i="81"/>
  <c r="G131" i="81"/>
  <c r="G123" i="81"/>
  <c r="G115" i="81"/>
  <c r="G110" i="81"/>
  <c r="G105" i="81"/>
  <c r="G99" i="81"/>
  <c r="G94" i="81"/>
  <c r="G89" i="81"/>
  <c r="G83" i="81"/>
  <c r="G78" i="81"/>
  <c r="G73" i="81"/>
  <c r="G67" i="81"/>
  <c r="G62" i="81"/>
  <c r="G57" i="81"/>
  <c r="G51" i="81"/>
  <c r="G46" i="81"/>
  <c r="G41" i="81"/>
  <c r="G35" i="81"/>
  <c r="G30" i="81"/>
  <c r="G25" i="81"/>
  <c r="G19" i="81"/>
  <c r="G14" i="81"/>
  <c r="G9" i="81"/>
  <c r="G880" i="81"/>
  <c r="G858" i="81"/>
  <c r="G837" i="81"/>
  <c r="G816" i="81"/>
  <c r="G794" i="81"/>
  <c r="G773" i="81"/>
  <c r="G752" i="81"/>
  <c r="G730" i="81"/>
  <c r="G709" i="81"/>
  <c r="G688" i="81"/>
  <c r="G668" i="81"/>
  <c r="G658" i="81"/>
  <c r="G647" i="81"/>
  <c r="G636" i="81"/>
  <c r="G626" i="81"/>
  <c r="G615" i="81"/>
  <c r="G604" i="81"/>
  <c r="G594" i="81"/>
  <c r="G583" i="81"/>
  <c r="G572" i="81"/>
  <c r="G562" i="81"/>
  <c r="G551" i="81"/>
  <c r="G540" i="81"/>
  <c r="G528" i="81"/>
  <c r="G517" i="81"/>
  <c r="G506" i="81"/>
  <c r="G496" i="81"/>
  <c r="G485" i="81"/>
  <c r="G474" i="81"/>
  <c r="G464" i="81"/>
  <c r="G453" i="81"/>
  <c r="G440" i="81"/>
  <c r="G430" i="81"/>
  <c r="G419" i="81"/>
  <c r="G408" i="81"/>
  <c r="G398" i="81"/>
  <c r="G387" i="81"/>
  <c r="G378" i="81"/>
  <c r="G370" i="81"/>
  <c r="G362" i="81"/>
  <c r="G354" i="81"/>
  <c r="G346" i="81"/>
  <c r="G338" i="81"/>
  <c r="G330" i="81"/>
  <c r="G322" i="81"/>
  <c r="G314" i="81"/>
  <c r="G306" i="81"/>
  <c r="G298" i="81"/>
  <c r="G290" i="81"/>
  <c r="G282" i="81"/>
  <c r="G274" i="81"/>
  <c r="G266" i="81"/>
  <c r="G258" i="81"/>
  <c r="G250" i="81"/>
  <c r="G242" i="81"/>
  <c r="G234" i="81"/>
  <c r="G226" i="81"/>
  <c r="G218" i="81"/>
  <c r="G210" i="81"/>
  <c r="G202" i="81"/>
  <c r="G194" i="81"/>
  <c r="G186" i="81"/>
  <c r="G178" i="81"/>
  <c r="G170" i="81"/>
  <c r="G162" i="81"/>
  <c r="G154" i="81"/>
  <c r="G146" i="81"/>
  <c r="G138" i="81"/>
  <c r="G130" i="81"/>
  <c r="G122" i="81"/>
  <c r="G114" i="81"/>
  <c r="G109" i="81"/>
  <c r="G103" i="81"/>
  <c r="G98" i="81"/>
  <c r="G93" i="81"/>
  <c r="G87" i="81"/>
  <c r="G82" i="81"/>
  <c r="G77" i="81"/>
  <c r="G71" i="81"/>
  <c r="G66" i="81"/>
  <c r="G61" i="81"/>
  <c r="G55" i="81"/>
  <c r="G50" i="81"/>
  <c r="G45" i="81"/>
  <c r="G39" i="81"/>
  <c r="G34" i="81"/>
  <c r="G29" i="81"/>
  <c r="G23" i="81"/>
  <c r="G18" i="81"/>
  <c r="G13" i="81"/>
  <c r="G7" i="81"/>
  <c r="G848" i="81"/>
  <c r="G805" i="81"/>
  <c r="G762" i="81"/>
  <c r="G720" i="81"/>
  <c r="G677" i="81"/>
  <c r="G652" i="81"/>
  <c r="G631" i="81"/>
  <c r="G610" i="81"/>
  <c r="G588" i="81"/>
  <c r="G567" i="81"/>
  <c r="G546" i="81"/>
  <c r="G522" i="81"/>
  <c r="G501" i="81"/>
  <c r="G480" i="81"/>
  <c r="G458" i="81"/>
  <c r="G435" i="81"/>
  <c r="G414" i="81"/>
  <c r="G392" i="81"/>
  <c r="G374" i="81"/>
  <c r="G358" i="81"/>
  <c r="G342" i="81"/>
  <c r="G326" i="81"/>
  <c r="G310" i="81"/>
  <c r="G294" i="81"/>
  <c r="G278" i="81"/>
  <c r="G262" i="81"/>
  <c r="G246" i="81"/>
  <c r="G230" i="81"/>
  <c r="G214" i="81"/>
  <c r="G198" i="81"/>
  <c r="G182" i="81"/>
  <c r="G166" i="81"/>
  <c r="G150" i="81"/>
  <c r="G134" i="81"/>
  <c r="G118" i="81"/>
  <c r="G106" i="81"/>
  <c r="G95" i="81"/>
  <c r="G85" i="81"/>
  <c r="G74" i="81"/>
  <c r="G63" i="81"/>
  <c r="G53" i="81"/>
  <c r="G42" i="81"/>
  <c r="G31" i="81"/>
  <c r="G21" i="81"/>
  <c r="G10" i="81"/>
  <c r="E7" i="2"/>
  <c r="AC607" i="81"/>
  <c r="AB607" i="81"/>
  <c r="AC616" i="81"/>
  <c r="AB616" i="81"/>
  <c r="AC742" i="81"/>
  <c r="AB742" i="81"/>
  <c r="AC752" i="81"/>
  <c r="AB752" i="81"/>
  <c r="AC663" i="81"/>
  <c r="AB663" i="81"/>
  <c r="AB606" i="81"/>
  <c r="AC606" i="81"/>
  <c r="AC619" i="81"/>
  <c r="AB619" i="81"/>
  <c r="AC750" i="81"/>
  <c r="AB750" i="81"/>
  <c r="AC636" i="81"/>
  <c r="AB636" i="81"/>
  <c r="AC615" i="81"/>
  <c r="AB615" i="81"/>
  <c r="AC741" i="81"/>
  <c r="AB741" i="81"/>
  <c r="AC751" i="81"/>
  <c r="AB751" i="81"/>
  <c r="AC655" i="81"/>
  <c r="AB655" i="81"/>
  <c r="AC608" i="81"/>
  <c r="AB608" i="81"/>
  <c r="AC617" i="81"/>
  <c r="AB617" i="81"/>
  <c r="AC743" i="81"/>
  <c r="AB743" i="81"/>
  <c r="AC754" i="81"/>
  <c r="AB754" i="81"/>
  <c r="AC660" i="81"/>
  <c r="AB660" i="81"/>
  <c r="AA879" i="81"/>
  <c r="AA878" i="81"/>
  <c r="AA877" i="81"/>
  <c r="AA876" i="81"/>
  <c r="AA875" i="81"/>
  <c r="AA874" i="81"/>
  <c r="AA871" i="81"/>
  <c r="AA870" i="81"/>
  <c r="AA869" i="81"/>
  <c r="AA868" i="81"/>
  <c r="AA867" i="81"/>
  <c r="AA864" i="81"/>
  <c r="AA863" i="81"/>
  <c r="AA862" i="81"/>
  <c r="AA859" i="81"/>
  <c r="AA858" i="81"/>
  <c r="AA857" i="81"/>
  <c r="AA854" i="81"/>
  <c r="AA853" i="81"/>
  <c r="AA852" i="81"/>
  <c r="AA849" i="81"/>
  <c r="AA848" i="81"/>
  <c r="AA847" i="81"/>
  <c r="AA844" i="81"/>
  <c r="AA843" i="81"/>
  <c r="AA842" i="81"/>
  <c r="AA839" i="81"/>
  <c r="AA838" i="81"/>
  <c r="AA837" i="81"/>
  <c r="AA834" i="81"/>
  <c r="AA833" i="81"/>
  <c r="AA832" i="81"/>
  <c r="AB822" i="81"/>
  <c r="AC822" i="81" s="1"/>
  <c r="AB816" i="81"/>
  <c r="AC816" i="81" s="1"/>
  <c r="AB813" i="81"/>
  <c r="AC813" i="81" s="1"/>
  <c r="AA425" i="81"/>
  <c r="AA424" i="81"/>
  <c r="AA423" i="81"/>
  <c r="AA422" i="81"/>
  <c r="AA421" i="81"/>
  <c r="AA420" i="81"/>
  <c r="AA417" i="81"/>
  <c r="AA416" i="81"/>
  <c r="AA415" i="81"/>
  <c r="AA414" i="81"/>
  <c r="AA413" i="81"/>
  <c r="AA410" i="81"/>
  <c r="AA409" i="81"/>
  <c r="AA408" i="81"/>
  <c r="AA405" i="81"/>
  <c r="AA404" i="81"/>
  <c r="AA403" i="81"/>
  <c r="AA400" i="81"/>
  <c r="AA399" i="81"/>
  <c r="AA398" i="81"/>
  <c r="AA395" i="81"/>
  <c r="AA394" i="81"/>
  <c r="AA393" i="81"/>
  <c r="AA390" i="81"/>
  <c r="AA389" i="81"/>
  <c r="AA388" i="81"/>
  <c r="AA385" i="81"/>
  <c r="AA384" i="81"/>
  <c r="AA383" i="81"/>
  <c r="AA380" i="81"/>
  <c r="AA379" i="81"/>
  <c r="AA378" i="81"/>
  <c r="AB369" i="81"/>
  <c r="AC369" i="81" s="1"/>
  <c r="AB362" i="81"/>
  <c r="AC362" i="81" s="1"/>
  <c r="AB359" i="81"/>
  <c r="AC359" i="81" s="1"/>
  <c r="AA302" i="81"/>
  <c r="AA301" i="81"/>
  <c r="AA300" i="81"/>
  <c r="AA298" i="81"/>
  <c r="AA296" i="81"/>
  <c r="AA295" i="81"/>
  <c r="AA292" i="81"/>
  <c r="AA291" i="81"/>
  <c r="AA290" i="81"/>
  <c r="AA289" i="81"/>
  <c r="AA288" i="81"/>
  <c r="AA287" i="81"/>
  <c r="AA284" i="81"/>
  <c r="AA283" i="81"/>
  <c r="AA282" i="81"/>
  <c r="AA281" i="81"/>
  <c r="AA280" i="81"/>
  <c r="AA277" i="81"/>
  <c r="AA276" i="81"/>
  <c r="AA275" i="81"/>
  <c r="AA272" i="81"/>
  <c r="AA271" i="81"/>
  <c r="AA270" i="81"/>
  <c r="AA267" i="81"/>
  <c r="AA266" i="81"/>
  <c r="AA265" i="81"/>
  <c r="AA262" i="81"/>
  <c r="AA261" i="81"/>
  <c r="AA260" i="81"/>
  <c r="AA257" i="81"/>
  <c r="AA256" i="81"/>
  <c r="AA255" i="81"/>
  <c r="AA252" i="81"/>
  <c r="AA251" i="81"/>
  <c r="AA250" i="81"/>
  <c r="AA247" i="81"/>
  <c r="AA246" i="81"/>
  <c r="AA245" i="81"/>
  <c r="AB235" i="81"/>
  <c r="AC235" i="81" s="1"/>
  <c r="AB228" i="81"/>
  <c r="AC228" i="81" s="1"/>
  <c r="AB227" i="81"/>
  <c r="AC227" i="81" s="1"/>
  <c r="AB226" i="81"/>
  <c r="AC226" i="81" s="1"/>
  <c r="AB224" i="81"/>
  <c r="AC224" i="81" s="1"/>
  <c r="AB223" i="81"/>
  <c r="AC223" i="81" s="1"/>
  <c r="AB222" i="81"/>
  <c r="AC222" i="81" s="1"/>
  <c r="AB221" i="81"/>
  <c r="AC221" i="81" s="1"/>
  <c r="AB220" i="81"/>
  <c r="AC220" i="81" s="1"/>
  <c r="AB219" i="81"/>
  <c r="AC219" i="81" s="1"/>
  <c r="AB218" i="81"/>
  <c r="AC218" i="81" s="1"/>
  <c r="AB215" i="81"/>
  <c r="AC215" i="81" s="1"/>
  <c r="AA79" i="81"/>
  <c r="BF163" i="80"/>
  <c r="AA880" i="81" s="1"/>
  <c r="BE163" i="80"/>
  <c r="BD163" i="80"/>
  <c r="AA293" i="81" s="1"/>
  <c r="BC163" i="80"/>
  <c r="BF58" i="80"/>
  <c r="AA775" i="81" s="1"/>
  <c r="BE58" i="80"/>
  <c r="AA321" i="81" s="1"/>
  <c r="AB321" i="81" s="1"/>
  <c r="AC321" i="81" s="1"/>
  <c r="BD58" i="80"/>
  <c r="BC58" i="80"/>
  <c r="AB195" i="81" l="1"/>
  <c r="AC195" i="81" s="1"/>
  <c r="E299" i="83"/>
  <c r="AB242" i="81"/>
  <c r="AC242" i="81" s="1"/>
  <c r="E339" i="83"/>
  <c r="AB262" i="81"/>
  <c r="AC262" i="81" s="1"/>
  <c r="E360" i="83"/>
  <c r="AB276" i="81"/>
  <c r="AC276" i="81" s="1"/>
  <c r="E374" i="83"/>
  <c r="AB282" i="81"/>
  <c r="AC282" i="81" s="1"/>
  <c r="E380" i="83"/>
  <c r="AB292" i="81"/>
  <c r="AC292" i="81" s="1"/>
  <c r="E390" i="83"/>
  <c r="AB298" i="81"/>
  <c r="AC298" i="81" s="1"/>
  <c r="E396" i="83"/>
  <c r="AB331" i="81"/>
  <c r="AC331" i="81" s="1"/>
  <c r="AB378" i="81"/>
  <c r="AC378" i="81" s="1"/>
  <c r="E474" i="83"/>
  <c r="AB390" i="81"/>
  <c r="AC390" i="81" s="1"/>
  <c r="E486" i="83"/>
  <c r="AB410" i="81"/>
  <c r="AC410" i="81" s="1"/>
  <c r="E506" i="83"/>
  <c r="AB422" i="81"/>
  <c r="AC422" i="81" s="1"/>
  <c r="E518" i="83"/>
  <c r="AB794" i="81"/>
  <c r="AC794" i="81" s="1"/>
  <c r="E837" i="83"/>
  <c r="AB823" i="81"/>
  <c r="AC823" i="81" s="1"/>
  <c r="E860" i="83"/>
  <c r="AB839" i="81"/>
  <c r="AC839" i="81" s="1"/>
  <c r="E877" i="83"/>
  <c r="AB859" i="81"/>
  <c r="AC859" i="81" s="1"/>
  <c r="E897" i="83"/>
  <c r="AB877" i="81"/>
  <c r="AC877" i="81" s="1"/>
  <c r="E915" i="83"/>
  <c r="AB79" i="81"/>
  <c r="AC79" i="81" s="1"/>
  <c r="E148" i="83"/>
  <c r="AB198" i="81"/>
  <c r="AC198" i="81" s="1"/>
  <c r="AB239" i="81"/>
  <c r="AC239" i="81" s="1"/>
  <c r="E336" i="83"/>
  <c r="AB245" i="81"/>
  <c r="AC245" i="81" s="1"/>
  <c r="E343" i="83"/>
  <c r="AB251" i="81"/>
  <c r="AC251" i="81" s="1"/>
  <c r="E349" i="83"/>
  <c r="AB257" i="81"/>
  <c r="AC257" i="81" s="1"/>
  <c r="E355" i="83"/>
  <c r="AB265" i="81"/>
  <c r="AC265" i="81" s="1"/>
  <c r="E363" i="83"/>
  <c r="AB271" i="81"/>
  <c r="AC271" i="81" s="1"/>
  <c r="E369" i="83"/>
  <c r="AB277" i="81"/>
  <c r="AC277" i="81" s="1"/>
  <c r="E375" i="83"/>
  <c r="AB283" i="81"/>
  <c r="AC283" i="81" s="1"/>
  <c r="E381" i="83"/>
  <c r="AB289" i="81"/>
  <c r="AC289" i="81" s="1"/>
  <c r="E387" i="83"/>
  <c r="AB293" i="81"/>
  <c r="AC293" i="81" s="1"/>
  <c r="E391" i="83"/>
  <c r="AB300" i="81"/>
  <c r="AC300" i="81" s="1"/>
  <c r="E398" i="83"/>
  <c r="AB326" i="81"/>
  <c r="AC326" i="81" s="1"/>
  <c r="E428" i="83"/>
  <c r="AB334" i="81"/>
  <c r="AC334" i="81" s="1"/>
  <c r="E435" i="83"/>
  <c r="AB355" i="81"/>
  <c r="AC355" i="81" s="1"/>
  <c r="E453" i="83"/>
  <c r="AB360" i="81"/>
  <c r="AC360" i="81" s="1"/>
  <c r="E457" i="83"/>
  <c r="AB373" i="81"/>
  <c r="AC373" i="81" s="1"/>
  <c r="E468" i="83"/>
  <c r="AB379" i="81"/>
  <c r="AC379" i="81" s="1"/>
  <c r="E475" i="83"/>
  <c r="AB385" i="81"/>
  <c r="AC385" i="81" s="1"/>
  <c r="E481" i="83"/>
  <c r="AB393" i="81"/>
  <c r="AC393" i="81" s="1"/>
  <c r="E489" i="83"/>
  <c r="AB399" i="81"/>
  <c r="AC399" i="81" s="1"/>
  <c r="E495" i="83"/>
  <c r="AB405" i="81"/>
  <c r="AC405" i="81" s="1"/>
  <c r="E501" i="83"/>
  <c r="AB413" i="81"/>
  <c r="AC413" i="81" s="1"/>
  <c r="E509" i="83"/>
  <c r="AB417" i="81"/>
  <c r="AC417" i="81" s="1"/>
  <c r="E513" i="83"/>
  <c r="AB423" i="81"/>
  <c r="AC423" i="81" s="1"/>
  <c r="E519" i="83"/>
  <c r="AB777" i="81"/>
  <c r="AC777" i="81" s="1"/>
  <c r="E821" i="83"/>
  <c r="AB785" i="81"/>
  <c r="AC785" i="81" s="1"/>
  <c r="AB795" i="81"/>
  <c r="AC795" i="81" s="1"/>
  <c r="AB810" i="81"/>
  <c r="AC810" i="81" s="1"/>
  <c r="E850" i="83"/>
  <c r="AB815" i="81"/>
  <c r="AC815" i="81" s="1"/>
  <c r="E854" i="83"/>
  <c r="AB824" i="81"/>
  <c r="AC824" i="81" s="1"/>
  <c r="E861" i="83"/>
  <c r="AB828" i="81"/>
  <c r="AC828" i="81" s="1"/>
  <c r="E865" i="83"/>
  <c r="AB834" i="81"/>
  <c r="AC834" i="81" s="1"/>
  <c r="E872" i="83"/>
  <c r="AB842" i="81"/>
  <c r="AC842" i="81" s="1"/>
  <c r="E880" i="83"/>
  <c r="AB848" i="81"/>
  <c r="AC848" i="81" s="1"/>
  <c r="E886" i="83"/>
  <c r="AB854" i="81"/>
  <c r="AC854" i="81" s="1"/>
  <c r="E892" i="83"/>
  <c r="AB862" i="81"/>
  <c r="AC862" i="81" s="1"/>
  <c r="E900" i="83"/>
  <c r="AB868" i="81"/>
  <c r="AC868" i="81" s="1"/>
  <c r="E906" i="83"/>
  <c r="AB874" i="81"/>
  <c r="AC874" i="81" s="1"/>
  <c r="E912" i="83"/>
  <c r="AB878" i="81"/>
  <c r="AC878" i="81" s="1"/>
  <c r="E916" i="83"/>
  <c r="AB207" i="81"/>
  <c r="AC207" i="81" s="1"/>
  <c r="E310" i="83"/>
  <c r="AB229" i="81"/>
  <c r="AC229" i="81" s="1"/>
  <c r="AB238" i="81"/>
  <c r="AC238" i="81" s="1"/>
  <c r="E335" i="83"/>
  <c r="AB250" i="81"/>
  <c r="AC250" i="81" s="1"/>
  <c r="E348" i="83"/>
  <c r="AB256" i="81"/>
  <c r="AC256" i="81" s="1"/>
  <c r="E354" i="83"/>
  <c r="AB270" i="81"/>
  <c r="AC270" i="81" s="1"/>
  <c r="E368" i="83"/>
  <c r="AB288" i="81"/>
  <c r="AC288" i="81" s="1"/>
  <c r="E386" i="83"/>
  <c r="AB341" i="81"/>
  <c r="AC341" i="81" s="1"/>
  <c r="AB368" i="81"/>
  <c r="AC368" i="81" s="1"/>
  <c r="E464" i="83"/>
  <c r="AB372" i="81"/>
  <c r="AC372" i="81" s="1"/>
  <c r="E467" i="83"/>
  <c r="AB384" i="81"/>
  <c r="AC384" i="81" s="1"/>
  <c r="E480" i="83"/>
  <c r="AB398" i="81"/>
  <c r="AC398" i="81" s="1"/>
  <c r="E494" i="83"/>
  <c r="AB404" i="81"/>
  <c r="AC404" i="81" s="1"/>
  <c r="E500" i="83"/>
  <c r="AB416" i="81"/>
  <c r="AC416" i="81" s="1"/>
  <c r="E512" i="83"/>
  <c r="AB775" i="81"/>
  <c r="AC775" i="81" s="1"/>
  <c r="AB782" i="81"/>
  <c r="AC782" i="81" s="1"/>
  <c r="E826" i="83"/>
  <c r="AB809" i="81"/>
  <c r="AC809" i="81" s="1"/>
  <c r="E849" i="83"/>
  <c r="AB814" i="81"/>
  <c r="AC814" i="81" s="1"/>
  <c r="E853" i="83"/>
  <c r="AB827" i="81"/>
  <c r="AC827" i="81" s="1"/>
  <c r="E864" i="83"/>
  <c r="AB833" i="81"/>
  <c r="AC833" i="81" s="1"/>
  <c r="E871" i="83"/>
  <c r="AB847" i="81"/>
  <c r="AC847" i="81" s="1"/>
  <c r="E885" i="83"/>
  <c r="AB853" i="81"/>
  <c r="AC853" i="81" s="1"/>
  <c r="E891" i="83"/>
  <c r="AB867" i="81"/>
  <c r="AC867" i="81" s="1"/>
  <c r="E905" i="83"/>
  <c r="AB871" i="81"/>
  <c r="AC871" i="81" s="1"/>
  <c r="E909" i="83"/>
  <c r="AB193" i="81"/>
  <c r="AC193" i="81" s="1"/>
  <c r="E297" i="83"/>
  <c r="AB201" i="81"/>
  <c r="AC201" i="81" s="1"/>
  <c r="E304" i="83"/>
  <c r="AB236" i="81"/>
  <c r="AC236" i="81" s="1"/>
  <c r="E333" i="83"/>
  <c r="AB240" i="81"/>
  <c r="AC240" i="81" s="1"/>
  <c r="E337" i="83"/>
  <c r="AB246" i="81"/>
  <c r="AC246" i="81" s="1"/>
  <c r="E344" i="83"/>
  <c r="AB252" i="81"/>
  <c r="AC252" i="81" s="1"/>
  <c r="E350" i="83"/>
  <c r="AB260" i="81"/>
  <c r="AC260" i="81" s="1"/>
  <c r="E358" i="83"/>
  <c r="AB266" i="81"/>
  <c r="AC266" i="81" s="1"/>
  <c r="E364" i="83"/>
  <c r="AB272" i="81"/>
  <c r="AC272" i="81" s="1"/>
  <c r="E370" i="83"/>
  <c r="AB280" i="81"/>
  <c r="AC280" i="81" s="1"/>
  <c r="E378" i="83"/>
  <c r="AB284" i="81"/>
  <c r="AC284" i="81" s="1"/>
  <c r="E382" i="83"/>
  <c r="AB290" i="81"/>
  <c r="AC290" i="81" s="1"/>
  <c r="E388" i="83"/>
  <c r="AB295" i="81"/>
  <c r="AC295" i="81" s="1"/>
  <c r="E393" i="83"/>
  <c r="AB301" i="81"/>
  <c r="AC301" i="81" s="1"/>
  <c r="E399" i="83"/>
  <c r="AB327" i="81"/>
  <c r="AC327" i="81" s="1"/>
  <c r="E429" i="83"/>
  <c r="AB337" i="81"/>
  <c r="AC337" i="81" s="1"/>
  <c r="E438" i="83"/>
  <c r="AB356" i="81"/>
  <c r="AC356" i="81" s="1"/>
  <c r="E454" i="83"/>
  <c r="AB361" i="81"/>
  <c r="AC361" i="81" s="1"/>
  <c r="E458" i="83"/>
  <c r="AB370" i="81"/>
  <c r="AC370" i="81" s="1"/>
  <c r="E465" i="83"/>
  <c r="AB374" i="81"/>
  <c r="AC374" i="81" s="1"/>
  <c r="E469" i="83"/>
  <c r="AB380" i="81"/>
  <c r="AC380" i="81" s="1"/>
  <c r="E476" i="83"/>
  <c r="AB388" i="81"/>
  <c r="AC388" i="81" s="1"/>
  <c r="E484" i="83"/>
  <c r="AB394" i="81"/>
  <c r="AC394" i="81" s="1"/>
  <c r="E490" i="83"/>
  <c r="AB400" i="81"/>
  <c r="AC400" i="81" s="1"/>
  <c r="E496" i="83"/>
  <c r="AB408" i="81"/>
  <c r="AC408" i="81" s="1"/>
  <c r="E504" i="83"/>
  <c r="AB414" i="81"/>
  <c r="AC414" i="81" s="1"/>
  <c r="E510" i="83"/>
  <c r="AB420" i="81"/>
  <c r="AC420" i="81" s="1"/>
  <c r="E516" i="83"/>
  <c r="AB424" i="81"/>
  <c r="AC424" i="81" s="1"/>
  <c r="E520" i="83"/>
  <c r="AB780" i="81"/>
  <c r="AC780" i="81" s="1"/>
  <c r="E824" i="83"/>
  <c r="AB788" i="81"/>
  <c r="AC788" i="81" s="1"/>
  <c r="E831" i="83"/>
  <c r="AB802" i="81"/>
  <c r="AC802" i="81" s="1"/>
  <c r="AB811" i="81"/>
  <c r="AC811" i="81" s="1"/>
  <c r="E851" i="83"/>
  <c r="AB825" i="81"/>
  <c r="AC825" i="81" s="1"/>
  <c r="E862" i="83"/>
  <c r="AB829" i="81"/>
  <c r="AC829" i="81" s="1"/>
  <c r="E866" i="83"/>
  <c r="AB837" i="81"/>
  <c r="AC837" i="81" s="1"/>
  <c r="E875" i="83"/>
  <c r="AB843" i="81"/>
  <c r="AC843" i="81" s="1"/>
  <c r="E881" i="83"/>
  <c r="AB849" i="81"/>
  <c r="AC849" i="81" s="1"/>
  <c r="E887" i="83"/>
  <c r="AB857" i="81"/>
  <c r="AC857" i="81" s="1"/>
  <c r="E895" i="83"/>
  <c r="AB863" i="81"/>
  <c r="AC863" i="81" s="1"/>
  <c r="E901" i="83"/>
  <c r="AB869" i="81"/>
  <c r="AC869" i="81" s="1"/>
  <c r="E907" i="83"/>
  <c r="AB875" i="81"/>
  <c r="AC875" i="81" s="1"/>
  <c r="E913" i="83"/>
  <c r="AB879" i="81"/>
  <c r="AC879" i="81" s="1"/>
  <c r="E917" i="83"/>
  <c r="AB194" i="81"/>
  <c r="AC194" i="81" s="1"/>
  <c r="E298" i="83"/>
  <c r="AB204" i="81"/>
  <c r="AC204" i="81" s="1"/>
  <c r="E307" i="83"/>
  <c r="AB237" i="81"/>
  <c r="AC237" i="81" s="1"/>
  <c r="E334" i="83"/>
  <c r="AB241" i="81"/>
  <c r="AC241" i="81" s="1"/>
  <c r="E338" i="83"/>
  <c r="AB247" i="81"/>
  <c r="AC247" i="81" s="1"/>
  <c r="E345" i="83"/>
  <c r="AB255" i="81"/>
  <c r="AC255" i="81" s="1"/>
  <c r="E353" i="83"/>
  <c r="AB261" i="81"/>
  <c r="AC261" i="81" s="1"/>
  <c r="E359" i="83"/>
  <c r="AB267" i="81"/>
  <c r="AC267" i="81" s="1"/>
  <c r="E365" i="83"/>
  <c r="AB275" i="81"/>
  <c r="AC275" i="81" s="1"/>
  <c r="E373" i="83"/>
  <c r="AB281" i="81"/>
  <c r="AC281" i="81" s="1"/>
  <c r="E379" i="83"/>
  <c r="AB287" i="81"/>
  <c r="AC287" i="81" s="1"/>
  <c r="E385" i="83"/>
  <c r="AB291" i="81"/>
  <c r="AC291" i="81" s="1"/>
  <c r="E389" i="83"/>
  <c r="AB296" i="81"/>
  <c r="AC296" i="81" s="1"/>
  <c r="E394" i="83"/>
  <c r="AB302" i="81"/>
  <c r="AC302" i="81" s="1"/>
  <c r="E400" i="83"/>
  <c r="AB328" i="81"/>
  <c r="AC328" i="81" s="1"/>
  <c r="E430" i="83"/>
  <c r="AB340" i="81"/>
  <c r="AC340" i="81" s="1"/>
  <c r="E441" i="83"/>
  <c r="AB353" i="81"/>
  <c r="AC353" i="81" s="1"/>
  <c r="E451" i="83"/>
  <c r="AB357" i="81"/>
  <c r="AC357" i="81" s="1"/>
  <c r="E455" i="83"/>
  <c r="AB371" i="81"/>
  <c r="AC371" i="81" s="1"/>
  <c r="E466" i="83"/>
  <c r="AB375" i="81"/>
  <c r="AC375" i="81" s="1"/>
  <c r="E470" i="83"/>
  <c r="AB383" i="81"/>
  <c r="AC383" i="81" s="1"/>
  <c r="E479" i="83"/>
  <c r="AB389" i="81"/>
  <c r="AC389" i="81" s="1"/>
  <c r="E485" i="83"/>
  <c r="AB395" i="81"/>
  <c r="AC395" i="81" s="1"/>
  <c r="E491" i="83"/>
  <c r="AB403" i="81"/>
  <c r="AC403" i="81" s="1"/>
  <c r="E499" i="83"/>
  <c r="AB409" i="81"/>
  <c r="AC409" i="81" s="1"/>
  <c r="E505" i="83"/>
  <c r="AB415" i="81"/>
  <c r="AC415" i="81" s="1"/>
  <c r="E511" i="83"/>
  <c r="AB421" i="81"/>
  <c r="AC421" i="81" s="1"/>
  <c r="E517" i="83"/>
  <c r="AB425" i="81"/>
  <c r="AC425" i="81" s="1"/>
  <c r="E521" i="83"/>
  <c r="AB781" i="81"/>
  <c r="AC781" i="81" s="1"/>
  <c r="E825" i="83"/>
  <c r="AB791" i="81"/>
  <c r="AC791" i="81" s="1"/>
  <c r="E834" i="83"/>
  <c r="AB807" i="81"/>
  <c r="AC807" i="81" s="1"/>
  <c r="E847" i="83"/>
  <c r="AB826" i="81"/>
  <c r="AC826" i="81" s="1"/>
  <c r="E863" i="83"/>
  <c r="AB832" i="81"/>
  <c r="AC832" i="81" s="1"/>
  <c r="E870" i="83"/>
  <c r="AB838" i="81"/>
  <c r="AC838" i="81" s="1"/>
  <c r="E876" i="83"/>
  <c r="AB844" i="81"/>
  <c r="AC844" i="81" s="1"/>
  <c r="E882" i="83"/>
  <c r="AB852" i="81"/>
  <c r="AC852" i="81" s="1"/>
  <c r="E890" i="83"/>
  <c r="AB858" i="81"/>
  <c r="AC858" i="81" s="1"/>
  <c r="E896" i="83"/>
  <c r="AB864" i="81"/>
  <c r="AC864" i="81" s="1"/>
  <c r="E902" i="83"/>
  <c r="AB870" i="81"/>
  <c r="AC870" i="81" s="1"/>
  <c r="E908" i="83"/>
  <c r="AB876" i="81"/>
  <c r="AC876" i="81" s="1"/>
  <c r="E914" i="83"/>
  <c r="AB880" i="81"/>
  <c r="AC880" i="81" s="1"/>
  <c r="E918" i="83"/>
  <c r="A176" i="80"/>
  <c r="A5" i="3"/>
  <c r="E8" i="14"/>
  <c r="AA3" i="41"/>
  <c r="J10" i="37" s="1"/>
  <c r="W3" i="41"/>
  <c r="I10" i="37" s="1"/>
  <c r="S3" i="41"/>
  <c r="H10" i="37" s="1"/>
  <c r="O3" i="41"/>
  <c r="G10" i="37" s="1"/>
  <c r="K3" i="41"/>
  <c r="F10" i="37" s="1"/>
  <c r="G3" i="41"/>
  <c r="E10" i="37" s="1"/>
  <c r="C3" i="41"/>
  <c r="D10" i="37" s="1"/>
  <c r="AA2" i="41"/>
  <c r="B59" i="80" s="1"/>
  <c r="W2" i="41"/>
  <c r="B58" i="80" s="1"/>
  <c r="S2" i="41"/>
  <c r="B57" i="80" s="1"/>
  <c r="O2" i="41"/>
  <c r="B56" i="80" s="1"/>
  <c r="K2" i="41"/>
  <c r="B55" i="80" s="1"/>
  <c r="G2" i="41"/>
  <c r="B54" i="80" s="1"/>
  <c r="C2" i="41"/>
  <c r="B53" i="80" s="1"/>
  <c r="AA71" i="81"/>
  <c r="AA70" i="81"/>
  <c r="AA69" i="81"/>
  <c r="AA68" i="81"/>
  <c r="AA67" i="81"/>
  <c r="AA66" i="81"/>
  <c r="AA65" i="81"/>
  <c r="AA64" i="81"/>
  <c r="AA63" i="81"/>
  <c r="AA62" i="81"/>
  <c r="AA61" i="81"/>
  <c r="AA60" i="81"/>
  <c r="AA59" i="81"/>
  <c r="AA58" i="81"/>
  <c r="AA57" i="81"/>
  <c r="AA56" i="81"/>
  <c r="AA55" i="81"/>
  <c r="AA54" i="81"/>
  <c r="AA53" i="81"/>
  <c r="AA52" i="81"/>
  <c r="AA51" i="81"/>
  <c r="AA50" i="81"/>
  <c r="AA49" i="81"/>
  <c r="AA48" i="81"/>
  <c r="AB48" i="81" s="1"/>
  <c r="AC48" i="81" s="1"/>
  <c r="AB51" i="81" l="1"/>
  <c r="AC51" i="81" s="1"/>
  <c r="E89" i="83"/>
  <c r="AB59" i="81"/>
  <c r="AC59" i="81" s="1"/>
  <c r="E103" i="83"/>
  <c r="AB67" i="81"/>
  <c r="AC67" i="81" s="1"/>
  <c r="E115" i="83"/>
  <c r="AB52" i="81"/>
  <c r="AC52" i="81" s="1"/>
  <c r="E90" i="83"/>
  <c r="AB56" i="81"/>
  <c r="AC56" i="81" s="1"/>
  <c r="E98" i="83"/>
  <c r="AB60" i="81"/>
  <c r="AC60" i="81" s="1"/>
  <c r="E104" i="83"/>
  <c r="AB64" i="81"/>
  <c r="AC64" i="81" s="1"/>
  <c r="E110" i="83"/>
  <c r="AB68" i="81"/>
  <c r="AC68" i="81" s="1"/>
  <c r="E118" i="83"/>
  <c r="AB55" i="81"/>
  <c r="AC55" i="81" s="1"/>
  <c r="E95" i="83"/>
  <c r="AB63" i="81"/>
  <c r="AC63" i="81" s="1"/>
  <c r="E109" i="83"/>
  <c r="AB71" i="81"/>
  <c r="AC71" i="81" s="1"/>
  <c r="E130" i="83"/>
  <c r="AB49" i="81"/>
  <c r="AC49" i="81" s="1"/>
  <c r="E85" i="83"/>
  <c r="AB53" i="81"/>
  <c r="AC53" i="81" s="1"/>
  <c r="E93" i="83"/>
  <c r="AB57" i="81"/>
  <c r="AC57" i="81" s="1"/>
  <c r="E99" i="83"/>
  <c r="AB61" i="81"/>
  <c r="AC61" i="81" s="1"/>
  <c r="E105" i="83"/>
  <c r="AB65" i="81"/>
  <c r="AC65" i="81" s="1"/>
  <c r="E113" i="83"/>
  <c r="AB69" i="81"/>
  <c r="AC69" i="81" s="1"/>
  <c r="E121" i="83"/>
  <c r="AB50" i="81"/>
  <c r="AC50" i="81" s="1"/>
  <c r="E88" i="83"/>
  <c r="AB54" i="81"/>
  <c r="AC54" i="81" s="1"/>
  <c r="E94" i="83"/>
  <c r="AB58" i="81"/>
  <c r="AC58" i="81" s="1"/>
  <c r="E84" i="83"/>
  <c r="E100" i="83"/>
  <c r="AB62" i="81"/>
  <c r="AC62" i="81" s="1"/>
  <c r="E108" i="83"/>
  <c r="AB66" i="81"/>
  <c r="AC66" i="81" s="1"/>
  <c r="E114" i="83"/>
  <c r="AB70" i="81"/>
  <c r="AC70" i="81" s="1"/>
  <c r="E122" i="83"/>
  <c r="W169" i="80"/>
  <c r="W167" i="80"/>
  <c r="W164" i="80"/>
  <c r="W156" i="80"/>
  <c r="W155" i="80"/>
  <c r="W149" i="80"/>
  <c r="W148" i="80"/>
  <c r="W144" i="80"/>
  <c r="W143" i="80"/>
  <c r="W139" i="80"/>
  <c r="W138" i="80"/>
  <c r="W134" i="80"/>
  <c r="W133" i="80"/>
  <c r="W129" i="80"/>
  <c r="W128" i="80"/>
  <c r="W124" i="80"/>
  <c r="W123" i="80"/>
  <c r="W119" i="80"/>
  <c r="W118" i="80"/>
  <c r="W114" i="80"/>
  <c r="W113" i="80"/>
  <c r="W104" i="80"/>
  <c r="W103" i="80"/>
  <c r="W102" i="80"/>
  <c r="W101" i="80"/>
  <c r="W100" i="80"/>
  <c r="W95" i="80"/>
  <c r="W87" i="80"/>
  <c r="W86" i="80"/>
  <c r="W84" i="80"/>
  <c r="W83" i="80"/>
  <c r="W82" i="80"/>
  <c r="W81" i="80"/>
  <c r="W80" i="80"/>
  <c r="T169" i="80"/>
  <c r="V164" i="80"/>
  <c r="U156" i="80"/>
  <c r="T155" i="80"/>
  <c r="V148" i="80"/>
  <c r="U144" i="80"/>
  <c r="T143" i="80"/>
  <c r="V138" i="80"/>
  <c r="U134" i="80"/>
  <c r="T133" i="80"/>
  <c r="V128" i="80"/>
  <c r="U124" i="80"/>
  <c r="T123" i="80"/>
  <c r="V118" i="80"/>
  <c r="U114" i="80"/>
  <c r="T113" i="80"/>
  <c r="V103" i="80"/>
  <c r="U102" i="80"/>
  <c r="T101" i="80"/>
  <c r="V95" i="80"/>
  <c r="U87" i="80"/>
  <c r="T86" i="80"/>
  <c r="V83" i="80"/>
  <c r="U82" i="80"/>
  <c r="T81" i="80"/>
  <c r="W79" i="80"/>
  <c r="W76" i="80"/>
  <c r="W75" i="80"/>
  <c r="W73" i="80"/>
  <c r="W72" i="80"/>
  <c r="W70" i="80"/>
  <c r="W69" i="80"/>
  <c r="W67" i="80"/>
  <c r="W66" i="80"/>
  <c r="W62" i="80"/>
  <c r="W59" i="80"/>
  <c r="W56" i="80"/>
  <c r="W52" i="80"/>
  <c r="W51" i="80"/>
  <c r="W50" i="80"/>
  <c r="W49" i="80"/>
  <c r="W48" i="80"/>
  <c r="W47" i="80"/>
  <c r="W45" i="80"/>
  <c r="W43" i="80"/>
  <c r="W42" i="80"/>
  <c r="W41" i="80"/>
  <c r="W40" i="80"/>
  <c r="W39" i="80"/>
  <c r="V169" i="80"/>
  <c r="U167" i="80"/>
  <c r="T164" i="80"/>
  <c r="V155" i="80"/>
  <c r="U149" i="80"/>
  <c r="T148" i="80"/>
  <c r="V143" i="80"/>
  <c r="U139" i="80"/>
  <c r="T138" i="80"/>
  <c r="V133" i="80"/>
  <c r="U129" i="80"/>
  <c r="T128" i="80"/>
  <c r="V123" i="80"/>
  <c r="U119" i="80"/>
  <c r="T118" i="80"/>
  <c r="V113" i="80"/>
  <c r="U104" i="80"/>
  <c r="T103" i="80"/>
  <c r="V101" i="80"/>
  <c r="U100" i="80"/>
  <c r="T95" i="80"/>
  <c r="V86" i="80"/>
  <c r="U84" i="80"/>
  <c r="T83" i="80"/>
  <c r="V81" i="80"/>
  <c r="U80" i="80"/>
  <c r="U79" i="80"/>
  <c r="U76" i="80"/>
  <c r="U75" i="80"/>
  <c r="U73" i="80"/>
  <c r="U72" i="80"/>
  <c r="U70" i="80"/>
  <c r="U69" i="80"/>
  <c r="U67" i="80"/>
  <c r="U66" i="80"/>
  <c r="U62" i="80"/>
  <c r="U59" i="80"/>
  <c r="U56" i="80"/>
  <c r="U52" i="80"/>
  <c r="U51" i="80"/>
  <c r="U50" i="80"/>
  <c r="U49" i="80"/>
  <c r="U48" i="80"/>
  <c r="U47" i="80"/>
  <c r="U45" i="80"/>
  <c r="U43" i="80"/>
  <c r="U42" i="80"/>
  <c r="U41" i="80"/>
  <c r="U40" i="80"/>
  <c r="U39" i="80"/>
  <c r="T167" i="80"/>
  <c r="U155" i="80"/>
  <c r="V144" i="80"/>
  <c r="T139" i="80"/>
  <c r="U133" i="80"/>
  <c r="V124" i="80"/>
  <c r="T119" i="80"/>
  <c r="U113" i="80"/>
  <c r="V102" i="80"/>
  <c r="T100" i="80"/>
  <c r="U86" i="80"/>
  <c r="V82" i="80"/>
  <c r="T80" i="80"/>
  <c r="T76" i="80"/>
  <c r="T73" i="80"/>
  <c r="T70" i="80"/>
  <c r="T67" i="80"/>
  <c r="T62" i="80"/>
  <c r="T49" i="80"/>
  <c r="T43" i="80"/>
  <c r="T41" i="80"/>
  <c r="T39" i="80"/>
  <c r="V149" i="80"/>
  <c r="U138" i="80"/>
  <c r="T124" i="80"/>
  <c r="T102" i="80"/>
  <c r="V84" i="80"/>
  <c r="V79" i="80"/>
  <c r="V72" i="80"/>
  <c r="V66" i="80"/>
  <c r="V59" i="80"/>
  <c r="V50" i="80"/>
  <c r="V45" i="80"/>
  <c r="V40" i="80"/>
  <c r="U169" i="80"/>
  <c r="V156" i="80"/>
  <c r="T149" i="80"/>
  <c r="U143" i="80"/>
  <c r="V134" i="80"/>
  <c r="T129" i="80"/>
  <c r="U123" i="80"/>
  <c r="V114" i="80"/>
  <c r="T104" i="80"/>
  <c r="U101" i="80"/>
  <c r="V87" i="80"/>
  <c r="T84" i="80"/>
  <c r="U81" i="80"/>
  <c r="T79" i="80"/>
  <c r="T75" i="80"/>
  <c r="T72" i="80"/>
  <c r="T69" i="80"/>
  <c r="T66" i="80"/>
  <c r="T59" i="80"/>
  <c r="T52" i="80"/>
  <c r="T50" i="80"/>
  <c r="T48" i="80"/>
  <c r="T45" i="80"/>
  <c r="T42" i="80"/>
  <c r="T40" i="80"/>
  <c r="V167" i="80"/>
  <c r="T156" i="80"/>
  <c r="U148" i="80"/>
  <c r="V139" i="80"/>
  <c r="T134" i="80"/>
  <c r="U128" i="80"/>
  <c r="V119" i="80"/>
  <c r="T114" i="80"/>
  <c r="U103" i="80"/>
  <c r="V100" i="80"/>
  <c r="T87" i="80"/>
  <c r="U83" i="80"/>
  <c r="V80" i="80"/>
  <c r="V76" i="80"/>
  <c r="V73" i="80"/>
  <c r="V70" i="80"/>
  <c r="V67" i="80"/>
  <c r="V62" i="80"/>
  <c r="V56" i="80"/>
  <c r="V51" i="80"/>
  <c r="V49" i="80"/>
  <c r="V47" i="80"/>
  <c r="V43" i="80"/>
  <c r="V41" i="80"/>
  <c r="V39" i="80"/>
  <c r="U164" i="80"/>
  <c r="T144" i="80"/>
  <c r="V129" i="80"/>
  <c r="U118" i="80"/>
  <c r="V104" i="80"/>
  <c r="U95" i="80"/>
  <c r="T82" i="80"/>
  <c r="V75" i="80"/>
  <c r="V69" i="80"/>
  <c r="V52" i="80"/>
  <c r="V48" i="80"/>
  <c r="V42" i="80"/>
  <c r="AY169" i="80"/>
  <c r="AY167" i="80"/>
  <c r="AY164" i="80"/>
  <c r="AY156" i="80"/>
  <c r="AY155" i="80"/>
  <c r="AY149" i="80"/>
  <c r="AY148" i="80"/>
  <c r="AY144" i="80"/>
  <c r="AY143" i="80"/>
  <c r="AY139" i="80"/>
  <c r="AY138" i="80"/>
  <c r="AY134" i="80"/>
  <c r="AY133" i="80"/>
  <c r="AY129" i="80"/>
  <c r="AY128" i="80"/>
  <c r="AY124" i="80"/>
  <c r="AY123" i="80"/>
  <c r="AY119" i="80"/>
  <c r="AY118" i="80"/>
  <c r="AY114" i="80"/>
  <c r="AY113" i="80"/>
  <c r="AY104" i="80"/>
  <c r="AY103" i="80"/>
  <c r="AY102" i="80"/>
  <c r="AY101" i="80"/>
  <c r="AY100" i="80"/>
  <c r="AY95" i="80"/>
  <c r="AY87" i="80"/>
  <c r="AY86" i="80"/>
  <c r="AY84" i="80"/>
  <c r="AY83" i="80"/>
  <c r="AY82" i="80"/>
  <c r="AY81" i="80"/>
  <c r="AY80" i="80"/>
  <c r="AY79" i="80"/>
  <c r="AY76" i="80"/>
  <c r="AY75" i="80"/>
  <c r="AY73" i="80"/>
  <c r="AY72" i="80"/>
  <c r="AY70" i="80"/>
  <c r="AY69" i="80"/>
  <c r="AY67" i="80"/>
  <c r="AY66" i="80"/>
  <c r="AY62" i="80"/>
  <c r="AY59" i="80"/>
  <c r="AY56" i="80"/>
  <c r="AY52" i="80"/>
  <c r="AY51" i="80"/>
  <c r="AY50" i="80"/>
  <c r="AY49" i="80"/>
  <c r="AY48" i="80"/>
  <c r="AY47" i="80"/>
  <c r="AY45" i="80"/>
  <c r="AY43" i="80"/>
  <c r="AY42" i="80"/>
  <c r="AY41" i="80"/>
  <c r="AY40" i="80"/>
  <c r="AY39" i="80"/>
  <c r="AW169" i="80"/>
  <c r="AW167" i="80"/>
  <c r="AW164" i="80"/>
  <c r="AW156" i="80"/>
  <c r="AW155" i="80"/>
  <c r="AW149" i="80"/>
  <c r="AW148" i="80"/>
  <c r="AW144" i="80"/>
  <c r="AW143" i="80"/>
  <c r="AW139" i="80"/>
  <c r="AW138" i="80"/>
  <c r="AW134" i="80"/>
  <c r="AW133" i="80"/>
  <c r="AW129" i="80"/>
  <c r="AW128" i="80"/>
  <c r="AW124" i="80"/>
  <c r="AW123" i="80"/>
  <c r="AW119" i="80"/>
  <c r="AW118" i="80"/>
  <c r="AW114" i="80"/>
  <c r="AW113" i="80"/>
  <c r="AW104" i="80"/>
  <c r="AW103" i="80"/>
  <c r="AW102" i="80"/>
  <c r="AW101" i="80"/>
  <c r="AW100" i="80"/>
  <c r="AW95" i="80"/>
  <c r="AW87" i="80"/>
  <c r="AW86" i="80"/>
  <c r="AW84" i="80"/>
  <c r="AW83" i="80"/>
  <c r="AW82" i="80"/>
  <c r="AW81" i="80"/>
  <c r="AW80" i="80"/>
  <c r="AW79" i="80"/>
  <c r="AW76" i="80"/>
  <c r="AW75" i="80"/>
  <c r="AW73" i="80"/>
  <c r="AW72" i="80"/>
  <c r="AW70" i="80"/>
  <c r="AW69" i="80"/>
  <c r="AW67" i="80"/>
  <c r="AW66" i="80"/>
  <c r="AW62" i="80"/>
  <c r="AW59" i="80"/>
  <c r="AW56" i="80"/>
  <c r="AW52" i="80"/>
  <c r="AW51" i="80"/>
  <c r="AW50" i="80"/>
  <c r="AW49" i="80"/>
  <c r="AW48" i="80"/>
  <c r="AW47" i="80"/>
  <c r="AW45" i="80"/>
  <c r="AW43" i="80"/>
  <c r="AW42" i="80"/>
  <c r="AW41" i="80"/>
  <c r="AW40" i="80"/>
  <c r="AW39" i="80"/>
  <c r="AX169" i="80"/>
  <c r="AX164" i="80"/>
  <c r="AX155" i="80"/>
  <c r="AX148" i="80"/>
  <c r="AX143" i="80"/>
  <c r="AX138" i="80"/>
  <c r="AX133" i="80"/>
  <c r="AX128" i="80"/>
  <c r="AX123" i="80"/>
  <c r="AX118" i="80"/>
  <c r="AX113" i="80"/>
  <c r="AX103" i="80"/>
  <c r="AX101" i="80"/>
  <c r="AX95" i="80"/>
  <c r="AX86" i="80"/>
  <c r="AX83" i="80"/>
  <c r="AX81" i="80"/>
  <c r="AX79" i="80"/>
  <c r="AX75" i="80"/>
  <c r="AX72" i="80"/>
  <c r="AX69" i="80"/>
  <c r="AX66" i="80"/>
  <c r="AX59" i="80"/>
  <c r="AX52" i="80"/>
  <c r="AX50" i="80"/>
  <c r="AX48" i="80"/>
  <c r="AX45" i="80"/>
  <c r="AX42" i="80"/>
  <c r="AX40" i="80"/>
  <c r="AX167" i="80"/>
  <c r="AX156" i="80"/>
  <c r="AX149" i="80"/>
  <c r="AX144" i="80"/>
  <c r="AX139" i="80"/>
  <c r="AX134" i="80"/>
  <c r="AX129" i="80"/>
  <c r="AX124" i="80"/>
  <c r="AX119" i="80"/>
  <c r="AX114" i="80"/>
  <c r="AX104" i="80"/>
  <c r="AX102" i="80"/>
  <c r="AX100" i="80"/>
  <c r="AX87" i="80"/>
  <c r="AX84" i="80"/>
  <c r="AX82" i="80"/>
  <c r="AX80" i="80"/>
  <c r="AX76" i="80"/>
  <c r="AX73" i="80"/>
  <c r="AX70" i="80"/>
  <c r="AX67" i="80"/>
  <c r="AX62" i="80"/>
  <c r="AX56" i="80"/>
  <c r="AX51" i="80"/>
  <c r="AX49" i="80"/>
  <c r="AX47" i="80"/>
  <c r="AX43" i="80"/>
  <c r="AX41" i="80"/>
  <c r="AX39" i="80"/>
  <c r="AV167" i="80"/>
  <c r="AV156" i="80"/>
  <c r="AV149" i="80"/>
  <c r="AV144" i="80"/>
  <c r="AV139" i="80"/>
  <c r="AV134" i="80"/>
  <c r="AV129" i="80"/>
  <c r="AV124" i="80"/>
  <c r="AV119" i="80"/>
  <c r="AV114" i="80"/>
  <c r="AV104" i="80"/>
  <c r="AV102" i="80"/>
  <c r="AV100" i="80"/>
  <c r="AV87" i="80"/>
  <c r="AV84" i="80"/>
  <c r="AV82" i="80"/>
  <c r="AV80" i="80"/>
  <c r="AV76" i="80"/>
  <c r="AV73" i="80"/>
  <c r="AV70" i="80"/>
  <c r="AV67" i="80"/>
  <c r="AV62" i="80"/>
  <c r="AV56" i="80"/>
  <c r="AV51" i="80"/>
  <c r="AV49" i="80"/>
  <c r="AV47" i="80"/>
  <c r="AV43" i="80"/>
  <c r="AV41" i="80"/>
  <c r="AV39" i="80"/>
  <c r="AV169" i="80"/>
  <c r="AV143" i="80"/>
  <c r="AV123" i="80"/>
  <c r="AV101" i="80"/>
  <c r="AV81" i="80"/>
  <c r="AV69" i="80"/>
  <c r="AV50" i="80"/>
  <c r="AV40" i="80"/>
  <c r="AV164" i="80"/>
  <c r="AV118" i="80"/>
  <c r="AV95" i="80"/>
  <c r="AV79" i="80"/>
  <c r="AV66" i="80"/>
  <c r="AV48" i="80"/>
  <c r="AV155" i="80"/>
  <c r="AV133" i="80"/>
  <c r="AV113" i="80"/>
  <c r="AV86" i="80"/>
  <c r="AV75" i="80"/>
  <c r="AV59" i="80"/>
  <c r="AV45" i="80"/>
  <c r="AV148" i="80"/>
  <c r="AV128" i="80"/>
  <c r="AV103" i="80"/>
  <c r="AV83" i="80"/>
  <c r="AV72" i="80"/>
  <c r="AV52" i="80"/>
  <c r="AV42" i="80"/>
  <c r="AV138" i="80"/>
  <c r="AD169" i="80"/>
  <c r="AD167" i="80"/>
  <c r="AD164" i="80"/>
  <c r="AD156" i="80"/>
  <c r="AD155" i="80"/>
  <c r="AD149" i="80"/>
  <c r="AD148" i="80"/>
  <c r="AD144" i="80"/>
  <c r="AD143" i="80"/>
  <c r="AD139" i="80"/>
  <c r="AD138" i="80"/>
  <c r="AD134" i="80"/>
  <c r="AD133" i="80"/>
  <c r="AD129" i="80"/>
  <c r="AD128" i="80"/>
  <c r="AD124" i="80"/>
  <c r="AD123" i="80"/>
  <c r="AD119" i="80"/>
  <c r="AD118" i="80"/>
  <c r="AD114" i="80"/>
  <c r="AD113" i="80"/>
  <c r="AD104" i="80"/>
  <c r="AD103" i="80"/>
  <c r="AD102" i="80"/>
  <c r="AD101" i="80"/>
  <c r="AD100" i="80"/>
  <c r="AD95" i="80"/>
  <c r="AD87" i="80"/>
  <c r="AD86" i="80"/>
  <c r="AD84" i="80"/>
  <c r="AD83" i="80"/>
  <c r="AD82" i="80"/>
  <c r="AD81" i="80"/>
  <c r="AD80" i="80"/>
  <c r="AD79" i="80"/>
  <c r="AD76" i="80"/>
  <c r="AD75" i="80"/>
  <c r="AD73" i="80"/>
  <c r="AD72" i="80"/>
  <c r="AD70" i="80"/>
  <c r="AD69" i="80"/>
  <c r="AD67" i="80"/>
  <c r="AD66" i="80"/>
  <c r="AD62" i="80"/>
  <c r="AD59" i="80"/>
  <c r="AD56" i="80"/>
  <c r="AD52" i="80"/>
  <c r="AD51" i="80"/>
  <c r="AD50" i="80"/>
  <c r="AD49" i="80"/>
  <c r="AD48" i="80"/>
  <c r="AD47" i="80"/>
  <c r="AD45" i="80"/>
  <c r="AD43" i="80"/>
  <c r="AD42" i="80"/>
  <c r="AD41" i="80"/>
  <c r="AD40" i="80"/>
  <c r="AD39" i="80"/>
  <c r="AC167" i="80"/>
  <c r="AB164" i="80"/>
  <c r="AA156" i="80"/>
  <c r="AC149" i="80"/>
  <c r="AB148" i="80"/>
  <c r="AA144" i="80"/>
  <c r="AC139" i="80"/>
  <c r="AB138" i="80"/>
  <c r="AA134" i="80"/>
  <c r="AC129" i="80"/>
  <c r="AB128" i="80"/>
  <c r="AA124" i="80"/>
  <c r="AC119" i="80"/>
  <c r="AB118" i="80"/>
  <c r="AA114" i="80"/>
  <c r="AC104" i="80"/>
  <c r="AB103" i="80"/>
  <c r="AA102" i="80"/>
  <c r="AC100" i="80"/>
  <c r="AB95" i="80"/>
  <c r="AA87" i="80"/>
  <c r="AC84" i="80"/>
  <c r="AB83" i="80"/>
  <c r="AA82" i="80"/>
  <c r="AC80" i="80"/>
  <c r="AB79" i="80"/>
  <c r="AA76" i="80"/>
  <c r="AC73" i="80"/>
  <c r="AB72" i="80"/>
  <c r="AA70" i="80"/>
  <c r="AC67" i="80"/>
  <c r="AB66" i="80"/>
  <c r="AA62" i="80"/>
  <c r="AB52" i="80"/>
  <c r="AA51" i="80"/>
  <c r="AC49" i="80"/>
  <c r="AB48" i="80"/>
  <c r="AA47" i="80"/>
  <c r="AC43" i="80"/>
  <c r="AB42" i="80"/>
  <c r="AA41" i="80"/>
  <c r="AC39" i="80"/>
  <c r="AB169" i="80"/>
  <c r="AA167" i="80"/>
  <c r="AC156" i="80"/>
  <c r="AB155" i="80"/>
  <c r="AA149" i="80"/>
  <c r="AC144" i="80"/>
  <c r="AB143" i="80"/>
  <c r="AA139" i="80"/>
  <c r="AC134" i="80"/>
  <c r="AB133" i="80"/>
  <c r="AA129" i="80"/>
  <c r="AC124" i="80"/>
  <c r="AB123" i="80"/>
  <c r="AA119" i="80"/>
  <c r="AC114" i="80"/>
  <c r="AB113" i="80"/>
  <c r="AA104" i="80"/>
  <c r="AC102" i="80"/>
  <c r="AB101" i="80"/>
  <c r="AA100" i="80"/>
  <c r="AC87" i="80"/>
  <c r="AB86" i="80"/>
  <c r="AA84" i="80"/>
  <c r="AC82" i="80"/>
  <c r="AB81" i="80"/>
  <c r="AA80" i="80"/>
  <c r="AC76" i="80"/>
  <c r="AB75" i="80"/>
  <c r="AA73" i="80"/>
  <c r="AC70" i="80"/>
  <c r="AB69" i="80"/>
  <c r="AA67" i="80"/>
  <c r="AC62" i="80"/>
  <c r="AB59" i="80"/>
  <c r="AA56" i="80"/>
  <c r="AB50" i="80"/>
  <c r="AA49" i="80"/>
  <c r="AB45" i="80"/>
  <c r="AA43" i="80"/>
  <c r="AC41" i="80"/>
  <c r="AB40" i="80"/>
  <c r="AA39" i="80"/>
  <c r="AC164" i="80"/>
  <c r="AA155" i="80"/>
  <c r="AB144" i="80"/>
  <c r="AC138" i="80"/>
  <c r="AA133" i="80"/>
  <c r="AB124" i="80"/>
  <c r="AC118" i="80"/>
  <c r="AA113" i="80"/>
  <c r="AB102" i="80"/>
  <c r="AC95" i="80"/>
  <c r="AA86" i="80"/>
  <c r="AB82" i="80"/>
  <c r="AC79" i="80"/>
  <c r="AA75" i="80"/>
  <c r="AB70" i="80"/>
  <c r="AC66" i="80"/>
  <c r="AA59" i="80"/>
  <c r="AB51" i="80"/>
  <c r="AC48" i="80"/>
  <c r="AA45" i="80"/>
  <c r="AB41" i="80"/>
  <c r="AA164" i="80"/>
  <c r="AC143" i="80"/>
  <c r="AB129" i="80"/>
  <c r="AA118" i="80"/>
  <c r="AA95" i="80"/>
  <c r="AC81" i="80"/>
  <c r="AB73" i="80"/>
  <c r="AA66" i="80"/>
  <c r="AC50" i="80"/>
  <c r="AB43" i="80"/>
  <c r="AA169" i="80"/>
  <c r="AB156" i="80"/>
  <c r="AC148" i="80"/>
  <c r="AA143" i="80"/>
  <c r="AB134" i="80"/>
  <c r="AC128" i="80"/>
  <c r="AA123" i="80"/>
  <c r="AB114" i="80"/>
  <c r="AC103" i="80"/>
  <c r="AA101" i="80"/>
  <c r="AB87" i="80"/>
  <c r="AC83" i="80"/>
  <c r="AA81" i="80"/>
  <c r="AB76" i="80"/>
  <c r="AC72" i="80"/>
  <c r="AA69" i="80"/>
  <c r="AB62" i="80"/>
  <c r="AC52" i="80"/>
  <c r="AA50" i="80"/>
  <c r="AB47" i="80"/>
  <c r="AC42" i="80"/>
  <c r="AA40" i="80"/>
  <c r="AB167" i="80"/>
  <c r="AC155" i="80"/>
  <c r="AA148" i="80"/>
  <c r="AB139" i="80"/>
  <c r="AC133" i="80"/>
  <c r="AA128" i="80"/>
  <c r="AB119" i="80"/>
  <c r="AC113" i="80"/>
  <c r="AA103" i="80"/>
  <c r="AB100" i="80"/>
  <c r="AC86" i="80"/>
  <c r="AA83" i="80"/>
  <c r="AB80" i="80"/>
  <c r="AC75" i="80"/>
  <c r="AA72" i="80"/>
  <c r="AB67" i="80"/>
  <c r="AC59" i="80"/>
  <c r="AA52" i="80"/>
  <c r="AB49" i="80"/>
  <c r="AC45" i="80"/>
  <c r="AA42" i="80"/>
  <c r="AB39" i="80"/>
  <c r="AC169" i="80"/>
  <c r="AB149" i="80"/>
  <c r="AA138" i="80"/>
  <c r="AC123" i="80"/>
  <c r="AB104" i="80"/>
  <c r="AC101" i="80"/>
  <c r="AB84" i="80"/>
  <c r="AA79" i="80"/>
  <c r="AC69" i="80"/>
  <c r="AB56" i="80"/>
  <c r="AA48" i="80"/>
  <c r="AC40" i="80"/>
  <c r="P169" i="80"/>
  <c r="P167" i="80"/>
  <c r="P164" i="80"/>
  <c r="P156" i="80"/>
  <c r="P155" i="80"/>
  <c r="P149" i="80"/>
  <c r="P148" i="80"/>
  <c r="P144" i="80"/>
  <c r="P143" i="80"/>
  <c r="P139" i="80"/>
  <c r="P138" i="80"/>
  <c r="P134" i="80"/>
  <c r="P133" i="80"/>
  <c r="P129" i="80"/>
  <c r="P128" i="80"/>
  <c r="P124" i="80"/>
  <c r="P123" i="80"/>
  <c r="P119" i="80"/>
  <c r="P118" i="80"/>
  <c r="P114" i="80"/>
  <c r="P113" i="80"/>
  <c r="P104" i="80"/>
  <c r="P103" i="80"/>
  <c r="P102" i="80"/>
  <c r="P101" i="80"/>
  <c r="P100" i="80"/>
  <c r="P95" i="80"/>
  <c r="P87" i="80"/>
  <c r="P86" i="80"/>
  <c r="P84" i="80"/>
  <c r="P83" i="80"/>
  <c r="P82" i="80"/>
  <c r="P81" i="80"/>
  <c r="P80" i="80"/>
  <c r="P79" i="80"/>
  <c r="P76" i="80"/>
  <c r="P75" i="80"/>
  <c r="P73" i="80"/>
  <c r="P72" i="80"/>
  <c r="P70" i="80"/>
  <c r="P69" i="80"/>
  <c r="P67" i="80"/>
  <c r="P66" i="80"/>
  <c r="P62" i="80"/>
  <c r="P59" i="80"/>
  <c r="P56" i="80"/>
  <c r="P52" i="80"/>
  <c r="P51" i="80"/>
  <c r="P50" i="80"/>
  <c r="N169" i="80"/>
  <c r="N167" i="80"/>
  <c r="N164" i="80"/>
  <c r="N156" i="80"/>
  <c r="N155" i="80"/>
  <c r="N149" i="80"/>
  <c r="N148" i="80"/>
  <c r="N144" i="80"/>
  <c r="N143" i="80"/>
  <c r="N139" i="80"/>
  <c r="N138" i="80"/>
  <c r="N134" i="80"/>
  <c r="N133" i="80"/>
  <c r="N129" i="80"/>
  <c r="N128" i="80"/>
  <c r="N124" i="80"/>
  <c r="N123" i="80"/>
  <c r="N119" i="80"/>
  <c r="N118" i="80"/>
  <c r="N114" i="80"/>
  <c r="N113" i="80"/>
  <c r="N104" i="80"/>
  <c r="N103" i="80"/>
  <c r="N102" i="80"/>
  <c r="N101" i="80"/>
  <c r="N100" i="80"/>
  <c r="N95" i="80"/>
  <c r="N87" i="80"/>
  <c r="N86" i="80"/>
  <c r="N84" i="80"/>
  <c r="N83" i="80"/>
  <c r="N82" i="80"/>
  <c r="N81" i="80"/>
  <c r="N80" i="80"/>
  <c r="N79" i="80"/>
  <c r="N76" i="80"/>
  <c r="N75" i="80"/>
  <c r="N73" i="80"/>
  <c r="N72" i="80"/>
  <c r="N70" i="80"/>
  <c r="N69" i="80"/>
  <c r="N67" i="80"/>
  <c r="N66" i="80"/>
  <c r="N62" i="80"/>
  <c r="N59" i="80"/>
  <c r="N56" i="80"/>
  <c r="N52" i="80"/>
  <c r="N51" i="80"/>
  <c r="N50" i="80"/>
  <c r="N49" i="80"/>
  <c r="N48" i="80"/>
  <c r="N47" i="80"/>
  <c r="N45" i="80"/>
  <c r="N43" i="80"/>
  <c r="N42" i="80"/>
  <c r="N41" i="80"/>
  <c r="N40" i="80"/>
  <c r="N39" i="80"/>
  <c r="M169" i="80"/>
  <c r="M164" i="80"/>
  <c r="M155" i="80"/>
  <c r="M148" i="80"/>
  <c r="M143" i="80"/>
  <c r="M138" i="80"/>
  <c r="M133" i="80"/>
  <c r="M128" i="80"/>
  <c r="M123" i="80"/>
  <c r="M118" i="80"/>
  <c r="M113" i="80"/>
  <c r="M103" i="80"/>
  <c r="M101" i="80"/>
  <c r="M95" i="80"/>
  <c r="M86" i="80"/>
  <c r="M83" i="80"/>
  <c r="M81" i="80"/>
  <c r="M79" i="80"/>
  <c r="M75" i="80"/>
  <c r="M72" i="80"/>
  <c r="M69" i="80"/>
  <c r="M66" i="80"/>
  <c r="M59" i="80"/>
  <c r="M52" i="80"/>
  <c r="M50" i="80"/>
  <c r="P48" i="80"/>
  <c r="O47" i="80"/>
  <c r="M45" i="80"/>
  <c r="P42" i="80"/>
  <c r="O41" i="80"/>
  <c r="M40" i="80"/>
  <c r="O167" i="80"/>
  <c r="O144" i="80"/>
  <c r="O134" i="80"/>
  <c r="O124" i="80"/>
  <c r="O104" i="80"/>
  <c r="O100" i="80"/>
  <c r="O84" i="80"/>
  <c r="O76" i="80"/>
  <c r="O70" i="80"/>
  <c r="O56" i="80"/>
  <c r="P49" i="80"/>
  <c r="O42" i="80"/>
  <c r="P39" i="80"/>
  <c r="M167" i="80"/>
  <c r="M156" i="80"/>
  <c r="M149" i="80"/>
  <c r="M144" i="80"/>
  <c r="M139" i="80"/>
  <c r="M134" i="80"/>
  <c r="M129" i="80"/>
  <c r="M124" i="80"/>
  <c r="M119" i="80"/>
  <c r="M114" i="80"/>
  <c r="M104" i="80"/>
  <c r="M102" i="80"/>
  <c r="M100" i="80"/>
  <c r="M87" i="80"/>
  <c r="M84" i="80"/>
  <c r="M82" i="80"/>
  <c r="M80" i="80"/>
  <c r="M76" i="80"/>
  <c r="M73" i="80"/>
  <c r="M70" i="80"/>
  <c r="M67" i="80"/>
  <c r="M62" i="80"/>
  <c r="O49" i="80"/>
  <c r="M48" i="80"/>
  <c r="P45" i="80"/>
  <c r="O43" i="80"/>
  <c r="M42" i="80"/>
  <c r="P40" i="80"/>
  <c r="O39" i="80"/>
  <c r="O169" i="80"/>
  <c r="O164" i="80"/>
  <c r="O155" i="80"/>
  <c r="O148" i="80"/>
  <c r="O143" i="80"/>
  <c r="O138" i="80"/>
  <c r="O133" i="80"/>
  <c r="O128" i="80"/>
  <c r="O123" i="80"/>
  <c r="O118" i="80"/>
  <c r="O113" i="80"/>
  <c r="O103" i="80"/>
  <c r="O101" i="80"/>
  <c r="O95" i="80"/>
  <c r="O86" i="80"/>
  <c r="O83" i="80"/>
  <c r="O81" i="80"/>
  <c r="O79" i="80"/>
  <c r="O75" i="80"/>
  <c r="O72" i="80"/>
  <c r="O69" i="80"/>
  <c r="O66" i="80"/>
  <c r="O59" i="80"/>
  <c r="O52" i="80"/>
  <c r="O50" i="80"/>
  <c r="M49" i="80"/>
  <c r="P47" i="80"/>
  <c r="O45" i="80"/>
  <c r="M43" i="80"/>
  <c r="P41" i="80"/>
  <c r="O40" i="80"/>
  <c r="M39" i="80"/>
  <c r="O156" i="80"/>
  <c r="O149" i="80"/>
  <c r="O139" i="80"/>
  <c r="O129" i="80"/>
  <c r="O119" i="80"/>
  <c r="O114" i="80"/>
  <c r="O102" i="80"/>
  <c r="O87" i="80"/>
  <c r="O82" i="80"/>
  <c r="O80" i="80"/>
  <c r="O73" i="80"/>
  <c r="O67" i="80"/>
  <c r="O62" i="80"/>
  <c r="O51" i="80"/>
  <c r="O48" i="80"/>
  <c r="P43" i="80"/>
  <c r="M41" i="80"/>
  <c r="AK169" i="80"/>
  <c r="AK167" i="80"/>
  <c r="AK164" i="80"/>
  <c r="AK156" i="80"/>
  <c r="AK155" i="80"/>
  <c r="AK149" i="80"/>
  <c r="AK148" i="80"/>
  <c r="AK144" i="80"/>
  <c r="AK143" i="80"/>
  <c r="AK139" i="80"/>
  <c r="AK138" i="80"/>
  <c r="AK134" i="80"/>
  <c r="AK133" i="80"/>
  <c r="AK129" i="80"/>
  <c r="AK128" i="80"/>
  <c r="AK124" i="80"/>
  <c r="AK123" i="80"/>
  <c r="AK119" i="80"/>
  <c r="AK118" i="80"/>
  <c r="AK114" i="80"/>
  <c r="AK113" i="80"/>
  <c r="AK104" i="80"/>
  <c r="AK103" i="80"/>
  <c r="AK102" i="80"/>
  <c r="AK101" i="80"/>
  <c r="AK100" i="80"/>
  <c r="AK95" i="80"/>
  <c r="AK87" i="80"/>
  <c r="AK86" i="80"/>
  <c r="AK84" i="80"/>
  <c r="AK83" i="80"/>
  <c r="AK82" i="80"/>
  <c r="AK81" i="80"/>
  <c r="AK80" i="80"/>
  <c r="AK79" i="80"/>
  <c r="AK76" i="80"/>
  <c r="AK75" i="80"/>
  <c r="AK73" i="80"/>
  <c r="AK72" i="80"/>
  <c r="AK70" i="80"/>
  <c r="AK69" i="80"/>
  <c r="AK67" i="80"/>
  <c r="AK66" i="80"/>
  <c r="AK62" i="80"/>
  <c r="AK59" i="80"/>
  <c r="AK56" i="80"/>
  <c r="AK52" i="80"/>
  <c r="AK51" i="80"/>
  <c r="AK50" i="80"/>
  <c r="AK49" i="80"/>
  <c r="AK48" i="80"/>
  <c r="AK47" i="80"/>
  <c r="AK45" i="80"/>
  <c r="AK43" i="80"/>
  <c r="AK42" i="80"/>
  <c r="AK41" i="80"/>
  <c r="AK40" i="80"/>
  <c r="AK39" i="80"/>
  <c r="AI169" i="80"/>
  <c r="AI167" i="80"/>
  <c r="AI164" i="80"/>
  <c r="AI156" i="80"/>
  <c r="AI155" i="80"/>
  <c r="AI149" i="80"/>
  <c r="AI148" i="80"/>
  <c r="AI144" i="80"/>
  <c r="AI143" i="80"/>
  <c r="AI139" i="80"/>
  <c r="AI138" i="80"/>
  <c r="AI134" i="80"/>
  <c r="AI133" i="80"/>
  <c r="AI129" i="80"/>
  <c r="AI128" i="80"/>
  <c r="AI124" i="80"/>
  <c r="AI123" i="80"/>
  <c r="AI119" i="80"/>
  <c r="AI118" i="80"/>
  <c r="AI114" i="80"/>
  <c r="AI113" i="80"/>
  <c r="AI104" i="80"/>
  <c r="AI103" i="80"/>
  <c r="AI102" i="80"/>
  <c r="AI101" i="80"/>
  <c r="AI100" i="80"/>
  <c r="AI95" i="80"/>
  <c r="AI87" i="80"/>
  <c r="AI86" i="80"/>
  <c r="AI84" i="80"/>
  <c r="AI83" i="80"/>
  <c r="AI82" i="80"/>
  <c r="AI81" i="80"/>
  <c r="AI80" i="80"/>
  <c r="AI79" i="80"/>
  <c r="AI76" i="80"/>
  <c r="AI75" i="80"/>
  <c r="AI73" i="80"/>
  <c r="AI72" i="80"/>
  <c r="AI70" i="80"/>
  <c r="AI69" i="80"/>
  <c r="AI67" i="80"/>
  <c r="AI66" i="80"/>
  <c r="AI62" i="80"/>
  <c r="AI59" i="80"/>
  <c r="AI56" i="80"/>
  <c r="AI52" i="80"/>
  <c r="AI51" i="80"/>
  <c r="AI50" i="80"/>
  <c r="AI49" i="80"/>
  <c r="AI48" i="80"/>
  <c r="AI47" i="80"/>
  <c r="AJ169" i="80"/>
  <c r="AJ164" i="80"/>
  <c r="AJ155" i="80"/>
  <c r="AJ148" i="80"/>
  <c r="AJ143" i="80"/>
  <c r="AJ138" i="80"/>
  <c r="AJ133" i="80"/>
  <c r="AJ128" i="80"/>
  <c r="AJ123" i="80"/>
  <c r="AJ118" i="80"/>
  <c r="AJ113" i="80"/>
  <c r="AJ103" i="80"/>
  <c r="AJ101" i="80"/>
  <c r="AJ95" i="80"/>
  <c r="AJ86" i="80"/>
  <c r="AJ83" i="80"/>
  <c r="AJ81" i="80"/>
  <c r="AJ79" i="80"/>
  <c r="AJ75" i="80"/>
  <c r="AJ72" i="80"/>
  <c r="AJ69" i="80"/>
  <c r="AJ66" i="80"/>
  <c r="AJ59" i="80"/>
  <c r="AJ52" i="80"/>
  <c r="AJ50" i="80"/>
  <c r="AJ48" i="80"/>
  <c r="AJ45" i="80"/>
  <c r="AI43" i="80"/>
  <c r="AH42" i="80"/>
  <c r="AJ40" i="80"/>
  <c r="AI39" i="80"/>
  <c r="AJ167" i="80"/>
  <c r="AJ156" i="80"/>
  <c r="AJ149" i="80"/>
  <c r="AJ144" i="80"/>
  <c r="AJ139" i="80"/>
  <c r="AJ134" i="80"/>
  <c r="AJ129" i="80"/>
  <c r="AJ124" i="80"/>
  <c r="AJ119" i="80"/>
  <c r="AJ114" i="80"/>
  <c r="AJ104" i="80"/>
  <c r="AJ102" i="80"/>
  <c r="AJ100" i="80"/>
  <c r="AJ87" i="80"/>
  <c r="AJ84" i="80"/>
  <c r="AJ82" i="80"/>
  <c r="AJ80" i="80"/>
  <c r="AJ76" i="80"/>
  <c r="AJ73" i="80"/>
  <c r="AJ70" i="80"/>
  <c r="AJ67" i="80"/>
  <c r="AJ62" i="80"/>
  <c r="AJ56" i="80"/>
  <c r="AJ51" i="80"/>
  <c r="AJ49" i="80"/>
  <c r="AJ47" i="80"/>
  <c r="AH45" i="80"/>
  <c r="AJ42" i="80"/>
  <c r="AI41" i="80"/>
  <c r="AH40" i="80"/>
  <c r="AH167" i="80"/>
  <c r="AH149" i="80"/>
  <c r="AH139" i="80"/>
  <c r="AH129" i="80"/>
  <c r="AH119" i="80"/>
  <c r="AH104" i="80"/>
  <c r="AH100" i="80"/>
  <c r="AH84" i="80"/>
  <c r="AH80" i="80"/>
  <c r="AH73" i="80"/>
  <c r="AH67" i="80"/>
  <c r="AH56" i="80"/>
  <c r="AH49" i="80"/>
  <c r="AJ43" i="80"/>
  <c r="AH41" i="80"/>
  <c r="AH164" i="80"/>
  <c r="AH138" i="80"/>
  <c r="AH118" i="80"/>
  <c r="AH95" i="80"/>
  <c r="AH79" i="80"/>
  <c r="AH66" i="80"/>
  <c r="AH48" i="80"/>
  <c r="AI40" i="80"/>
  <c r="AH156" i="80"/>
  <c r="AH144" i="80"/>
  <c r="AH134" i="80"/>
  <c r="AH124" i="80"/>
  <c r="AH114" i="80"/>
  <c r="AH102" i="80"/>
  <c r="AH87" i="80"/>
  <c r="AH82" i="80"/>
  <c r="AH76" i="80"/>
  <c r="AH70" i="80"/>
  <c r="AH62" i="80"/>
  <c r="AH51" i="80"/>
  <c r="AH47" i="80"/>
  <c r="AI42" i="80"/>
  <c r="AJ39" i="80"/>
  <c r="AH169" i="80"/>
  <c r="AH155" i="80"/>
  <c r="AH143" i="80"/>
  <c r="AH133" i="80"/>
  <c r="AH123" i="80"/>
  <c r="AH113" i="80"/>
  <c r="AH101" i="80"/>
  <c r="AH86" i="80"/>
  <c r="AH81" i="80"/>
  <c r="AH75" i="80"/>
  <c r="AH69" i="80"/>
  <c r="AH59" i="80"/>
  <c r="AH50" i="80"/>
  <c r="AI45" i="80"/>
  <c r="AJ41" i="80"/>
  <c r="AH39" i="80"/>
  <c r="AH148" i="80"/>
  <c r="AH128" i="80"/>
  <c r="AH103" i="80"/>
  <c r="AH83" i="80"/>
  <c r="AH72" i="80"/>
  <c r="AH52" i="80"/>
  <c r="AH43" i="80"/>
  <c r="H56" i="80"/>
  <c r="G169" i="80"/>
  <c r="G167" i="80"/>
  <c r="G164" i="80"/>
  <c r="G156" i="80"/>
  <c r="G155" i="80"/>
  <c r="G149" i="80"/>
  <c r="G148" i="80"/>
  <c r="G144" i="80"/>
  <c r="G143" i="80"/>
  <c r="G139" i="80"/>
  <c r="G138" i="80"/>
  <c r="G134" i="80"/>
  <c r="G133" i="80"/>
  <c r="G129" i="80"/>
  <c r="G128" i="80"/>
  <c r="G124" i="80"/>
  <c r="G123" i="80"/>
  <c r="G119" i="80"/>
  <c r="G118" i="80"/>
  <c r="G114" i="80"/>
  <c r="G113" i="80"/>
  <c r="G104" i="80"/>
  <c r="G103" i="80"/>
  <c r="G102" i="80"/>
  <c r="G101" i="80"/>
  <c r="G100" i="80"/>
  <c r="G95" i="80"/>
  <c r="G87" i="80"/>
  <c r="G86" i="80"/>
  <c r="G84" i="80"/>
  <c r="G83" i="80"/>
  <c r="G82" i="80"/>
  <c r="G81" i="80"/>
  <c r="G80" i="80"/>
  <c r="G79" i="80"/>
  <c r="G76" i="80"/>
  <c r="G75" i="80"/>
  <c r="G73" i="80"/>
  <c r="G72" i="80"/>
  <c r="G70" i="80"/>
  <c r="G69" i="80"/>
  <c r="G67" i="80"/>
  <c r="G66" i="80"/>
  <c r="G62" i="80"/>
  <c r="H59" i="80"/>
  <c r="G48" i="80"/>
  <c r="H169" i="80"/>
  <c r="F167" i="80"/>
  <c r="I156" i="80"/>
  <c r="H155" i="80"/>
  <c r="F149" i="80"/>
  <c r="I144" i="80"/>
  <c r="H143" i="80"/>
  <c r="F139" i="80"/>
  <c r="I134" i="80"/>
  <c r="H133" i="80"/>
  <c r="F129" i="80"/>
  <c r="I124" i="80"/>
  <c r="H123" i="80"/>
  <c r="F119" i="80"/>
  <c r="I114" i="80"/>
  <c r="H113" i="80"/>
  <c r="F104" i="80"/>
  <c r="I102" i="80"/>
  <c r="H101" i="80"/>
  <c r="F100" i="80"/>
  <c r="I87" i="80"/>
  <c r="H86" i="80"/>
  <c r="F84" i="80"/>
  <c r="I82" i="80"/>
  <c r="H81" i="80"/>
  <c r="F80" i="80"/>
  <c r="I76" i="80"/>
  <c r="H75" i="80"/>
  <c r="F73" i="80"/>
  <c r="I70" i="80"/>
  <c r="H69" i="80"/>
  <c r="F67" i="80"/>
  <c r="I62" i="80"/>
  <c r="G59" i="80"/>
  <c r="F169" i="80"/>
  <c r="H156" i="80"/>
  <c r="I148" i="80"/>
  <c r="I138" i="80"/>
  <c r="F133" i="80"/>
  <c r="H124" i="80"/>
  <c r="I118" i="80"/>
  <c r="F113" i="80"/>
  <c r="H102" i="80"/>
  <c r="I95" i="80"/>
  <c r="F86" i="80"/>
  <c r="H82" i="80"/>
  <c r="I79" i="80"/>
  <c r="F75" i="80"/>
  <c r="H70" i="80"/>
  <c r="I66" i="80"/>
  <c r="I167" i="80"/>
  <c r="H164" i="80"/>
  <c r="F156" i="80"/>
  <c r="I149" i="80"/>
  <c r="H148" i="80"/>
  <c r="F144" i="80"/>
  <c r="I139" i="80"/>
  <c r="H138" i="80"/>
  <c r="F134" i="80"/>
  <c r="I129" i="80"/>
  <c r="H128" i="80"/>
  <c r="F124" i="80"/>
  <c r="I119" i="80"/>
  <c r="H118" i="80"/>
  <c r="F114" i="80"/>
  <c r="I104" i="80"/>
  <c r="H103" i="80"/>
  <c r="F102" i="80"/>
  <c r="I100" i="80"/>
  <c r="H95" i="80"/>
  <c r="F87" i="80"/>
  <c r="I84" i="80"/>
  <c r="H83" i="80"/>
  <c r="F82" i="80"/>
  <c r="I80" i="80"/>
  <c r="H79" i="80"/>
  <c r="F76" i="80"/>
  <c r="I73" i="80"/>
  <c r="H72" i="80"/>
  <c r="F70" i="80"/>
  <c r="I67" i="80"/>
  <c r="H66" i="80"/>
  <c r="F62" i="80"/>
  <c r="I48" i="80"/>
  <c r="I169" i="80"/>
  <c r="H167" i="80"/>
  <c r="F164" i="80"/>
  <c r="I155" i="80"/>
  <c r="H149" i="80"/>
  <c r="F148" i="80"/>
  <c r="I143" i="80"/>
  <c r="H139" i="80"/>
  <c r="F138" i="80"/>
  <c r="I133" i="80"/>
  <c r="H129" i="80"/>
  <c r="F128" i="80"/>
  <c r="I123" i="80"/>
  <c r="H119" i="80"/>
  <c r="F118" i="80"/>
  <c r="I113" i="80"/>
  <c r="H104" i="80"/>
  <c r="F103" i="80"/>
  <c r="I101" i="80"/>
  <c r="H100" i="80"/>
  <c r="F95" i="80"/>
  <c r="I86" i="80"/>
  <c r="H84" i="80"/>
  <c r="F83" i="80"/>
  <c r="I81" i="80"/>
  <c r="H80" i="80"/>
  <c r="F79" i="80"/>
  <c r="I75" i="80"/>
  <c r="H73" i="80"/>
  <c r="F72" i="80"/>
  <c r="I69" i="80"/>
  <c r="H67" i="80"/>
  <c r="F66" i="80"/>
  <c r="I59" i="80"/>
  <c r="H48" i="80"/>
  <c r="I164" i="80"/>
  <c r="F155" i="80"/>
  <c r="H144" i="80"/>
  <c r="F143" i="80"/>
  <c r="H134" i="80"/>
  <c r="I128" i="80"/>
  <c r="F123" i="80"/>
  <c r="H114" i="80"/>
  <c r="I103" i="80"/>
  <c r="F101" i="80"/>
  <c r="H87" i="80"/>
  <c r="I83" i="80"/>
  <c r="F81" i="80"/>
  <c r="H76" i="80"/>
  <c r="I72" i="80"/>
  <c r="F69" i="80"/>
  <c r="H62" i="80"/>
  <c r="F59" i="80"/>
  <c r="AR169" i="80"/>
  <c r="AR167" i="80"/>
  <c r="AR164" i="80"/>
  <c r="AR156" i="80"/>
  <c r="AR155" i="80"/>
  <c r="AR149" i="80"/>
  <c r="AR148" i="80"/>
  <c r="AR144" i="80"/>
  <c r="AR143" i="80"/>
  <c r="AR139" i="80"/>
  <c r="AR138" i="80"/>
  <c r="AR134" i="80"/>
  <c r="AR133" i="80"/>
  <c r="AR129" i="80"/>
  <c r="AR128" i="80"/>
  <c r="AR124" i="80"/>
  <c r="AR123" i="80"/>
  <c r="AR119" i="80"/>
  <c r="AR118" i="80"/>
  <c r="AR114" i="80"/>
  <c r="AR113" i="80"/>
  <c r="AR104" i="80"/>
  <c r="AR103" i="80"/>
  <c r="AR102" i="80"/>
  <c r="AR101" i="80"/>
  <c r="AR100" i="80"/>
  <c r="AR95" i="80"/>
  <c r="AR87" i="80"/>
  <c r="AR86" i="80"/>
  <c r="AR84" i="80"/>
  <c r="AR83" i="80"/>
  <c r="AR82" i="80"/>
  <c r="AR81" i="80"/>
  <c r="AR80" i="80"/>
  <c r="AR79" i="80"/>
  <c r="AR76" i="80"/>
  <c r="AR75" i="80"/>
  <c r="AR73" i="80"/>
  <c r="AR72" i="80"/>
  <c r="AR70" i="80"/>
  <c r="AR69" i="80"/>
  <c r="AR67" i="80"/>
  <c r="AR66" i="80"/>
  <c r="AR62" i="80"/>
  <c r="AR59" i="80"/>
  <c r="AR56" i="80"/>
  <c r="AR52" i="80"/>
  <c r="AR51" i="80"/>
  <c r="AR50" i="80"/>
  <c r="AR49" i="80"/>
  <c r="AR48" i="80"/>
  <c r="AR47" i="80"/>
  <c r="AR45" i="80"/>
  <c r="AR43" i="80"/>
  <c r="AR42" i="80"/>
  <c r="AR41" i="80"/>
  <c r="AR40" i="80"/>
  <c r="AR39" i="80"/>
  <c r="AP169" i="80"/>
  <c r="AP167" i="80"/>
  <c r="AP164" i="80"/>
  <c r="AP156" i="80"/>
  <c r="AP155" i="80"/>
  <c r="AP149" i="80"/>
  <c r="AP148" i="80"/>
  <c r="AP144" i="80"/>
  <c r="AP143" i="80"/>
  <c r="AP139" i="80"/>
  <c r="AP138" i="80"/>
  <c r="AP134" i="80"/>
  <c r="AP133" i="80"/>
  <c r="AP129" i="80"/>
  <c r="AP128" i="80"/>
  <c r="AP124" i="80"/>
  <c r="AP123" i="80"/>
  <c r="AP119" i="80"/>
  <c r="AP118" i="80"/>
  <c r="AP114" i="80"/>
  <c r="AP113" i="80"/>
  <c r="AP104" i="80"/>
  <c r="AP103" i="80"/>
  <c r="AP102" i="80"/>
  <c r="AP101" i="80"/>
  <c r="AP100" i="80"/>
  <c r="AP95" i="80"/>
  <c r="AP87" i="80"/>
  <c r="AP86" i="80"/>
  <c r="AP84" i="80"/>
  <c r="AP83" i="80"/>
  <c r="AP82" i="80"/>
  <c r="AP81" i="80"/>
  <c r="AP80" i="80"/>
  <c r="AP79" i="80"/>
  <c r="AP76" i="80"/>
  <c r="AP75" i="80"/>
  <c r="AP73" i="80"/>
  <c r="AP72" i="80"/>
  <c r="AP70" i="80"/>
  <c r="AP69" i="80"/>
  <c r="AP67" i="80"/>
  <c r="AP66" i="80"/>
  <c r="AP62" i="80"/>
  <c r="AP59" i="80"/>
  <c r="AP56" i="80"/>
  <c r="AP52" i="80"/>
  <c r="AP51" i="80"/>
  <c r="AP50" i="80"/>
  <c r="AP49" i="80"/>
  <c r="AP48" i="80"/>
  <c r="AP47" i="80"/>
  <c r="AP45" i="80"/>
  <c r="AP43" i="80"/>
  <c r="AP42" i="80"/>
  <c r="AP41" i="80"/>
  <c r="AP40" i="80"/>
  <c r="AP39" i="80"/>
  <c r="AQ167" i="80"/>
  <c r="AQ156" i="80"/>
  <c r="AQ149" i="80"/>
  <c r="AQ144" i="80"/>
  <c r="AQ139" i="80"/>
  <c r="AQ134" i="80"/>
  <c r="AQ129" i="80"/>
  <c r="AQ124" i="80"/>
  <c r="AQ119" i="80"/>
  <c r="AQ114" i="80"/>
  <c r="AQ104" i="80"/>
  <c r="AQ102" i="80"/>
  <c r="AQ100" i="80"/>
  <c r="AQ87" i="80"/>
  <c r="AQ84" i="80"/>
  <c r="AQ82" i="80"/>
  <c r="AQ80" i="80"/>
  <c r="AQ76" i="80"/>
  <c r="AQ73" i="80"/>
  <c r="AQ70" i="80"/>
  <c r="AQ67" i="80"/>
  <c r="AQ62" i="80"/>
  <c r="AQ56" i="80"/>
  <c r="AQ51" i="80"/>
  <c r="AQ49" i="80"/>
  <c r="AQ47" i="80"/>
  <c r="AQ43" i="80"/>
  <c r="AQ41" i="80"/>
  <c r="AQ39" i="80"/>
  <c r="AQ169" i="80"/>
  <c r="AQ164" i="80"/>
  <c r="AQ155" i="80"/>
  <c r="AQ148" i="80"/>
  <c r="AQ143" i="80"/>
  <c r="AQ138" i="80"/>
  <c r="AQ133" i="80"/>
  <c r="AQ128" i="80"/>
  <c r="AQ123" i="80"/>
  <c r="AQ118" i="80"/>
  <c r="AQ113" i="80"/>
  <c r="AQ103" i="80"/>
  <c r="AQ101" i="80"/>
  <c r="AQ95" i="80"/>
  <c r="AQ86" i="80"/>
  <c r="AQ83" i="80"/>
  <c r="AQ81" i="80"/>
  <c r="AQ79" i="80"/>
  <c r="AQ75" i="80"/>
  <c r="AQ72" i="80"/>
  <c r="AQ69" i="80"/>
  <c r="AQ66" i="80"/>
  <c r="AQ59" i="80"/>
  <c r="AQ52" i="80"/>
  <c r="AQ50" i="80"/>
  <c r="AQ48" i="80"/>
  <c r="AQ45" i="80"/>
  <c r="AQ42" i="80"/>
  <c r="AQ40" i="80"/>
  <c r="AO169" i="80"/>
  <c r="AO164" i="80"/>
  <c r="AO155" i="80"/>
  <c r="AO148" i="80"/>
  <c r="AO143" i="80"/>
  <c r="AO138" i="80"/>
  <c r="AO133" i="80"/>
  <c r="AO128" i="80"/>
  <c r="AO123" i="80"/>
  <c r="AO118" i="80"/>
  <c r="AO113" i="80"/>
  <c r="AO103" i="80"/>
  <c r="AO101" i="80"/>
  <c r="AO95" i="80"/>
  <c r="AO86" i="80"/>
  <c r="AO83" i="80"/>
  <c r="AO81" i="80"/>
  <c r="AO79" i="80"/>
  <c r="AO75" i="80"/>
  <c r="AO72" i="80"/>
  <c r="AO69" i="80"/>
  <c r="AO66" i="80"/>
  <c r="AO149" i="80"/>
  <c r="AO129" i="80"/>
  <c r="AO104" i="80"/>
  <c r="AO84" i="80"/>
  <c r="AO73" i="80"/>
  <c r="AO59" i="80"/>
  <c r="AO50" i="80"/>
  <c r="AO45" i="80"/>
  <c r="AO40" i="80"/>
  <c r="AO144" i="80"/>
  <c r="AO124" i="80"/>
  <c r="AO102" i="80"/>
  <c r="AO82" i="80"/>
  <c r="AO70" i="80"/>
  <c r="AO49" i="80"/>
  <c r="AO43" i="80"/>
  <c r="AO167" i="80"/>
  <c r="AO139" i="80"/>
  <c r="AO119" i="80"/>
  <c r="AO100" i="80"/>
  <c r="AO80" i="80"/>
  <c r="AO67" i="80"/>
  <c r="AO52" i="80"/>
  <c r="AO48" i="80"/>
  <c r="AO42" i="80"/>
  <c r="AO156" i="80"/>
  <c r="AO134" i="80"/>
  <c r="AO114" i="80"/>
  <c r="AO87" i="80"/>
  <c r="AO76" i="80"/>
  <c r="AO62" i="80"/>
  <c r="AO51" i="80"/>
  <c r="AO47" i="80"/>
  <c r="AO41" i="80"/>
  <c r="AO56" i="80"/>
  <c r="AO39" i="80"/>
  <c r="G56" i="80"/>
  <c r="F52" i="80"/>
  <c r="F50" i="80"/>
  <c r="H45" i="80"/>
  <c r="G43" i="80"/>
  <c r="I41" i="80"/>
  <c r="H40" i="80"/>
  <c r="G39" i="80"/>
  <c r="F42" i="80"/>
  <c r="I56" i="80"/>
  <c r="I52" i="80"/>
  <c r="I51" i="80"/>
  <c r="I50" i="80"/>
  <c r="I49" i="80"/>
  <c r="H47" i="80"/>
  <c r="G45" i="80"/>
  <c r="I42" i="80"/>
  <c r="H41" i="80"/>
  <c r="G40" i="80"/>
  <c r="F41" i="80"/>
  <c r="H52" i="80"/>
  <c r="H51" i="80"/>
  <c r="H50" i="80"/>
  <c r="H49" i="80"/>
  <c r="I47" i="80"/>
  <c r="I43" i="80"/>
  <c r="H42" i="80"/>
  <c r="G41" i="80"/>
  <c r="I39" i="80"/>
  <c r="F48" i="80"/>
  <c r="F45" i="80"/>
  <c r="F40" i="80"/>
  <c r="G52" i="80"/>
  <c r="G51" i="80"/>
  <c r="G50" i="80"/>
  <c r="G49" i="80"/>
  <c r="I45" i="80"/>
  <c r="H43" i="80"/>
  <c r="G42" i="80"/>
  <c r="I40" i="80"/>
  <c r="H39" i="80"/>
  <c r="F43" i="80"/>
  <c r="F39" i="80"/>
  <c r="AB47" i="81"/>
  <c r="AC47" i="81" s="1"/>
  <c r="AB46" i="81"/>
  <c r="AC46" i="81" s="1"/>
  <c r="AB45" i="81"/>
  <c r="AC45" i="81" s="1"/>
  <c r="AC12" i="81"/>
  <c r="AB12" i="81"/>
  <c r="H138" i="83" l="1"/>
  <c r="BE43" i="80"/>
  <c r="BC40" i="80"/>
  <c r="BE38" i="80"/>
  <c r="BE41" i="80"/>
  <c r="BF49" i="80"/>
  <c r="BF56" i="80"/>
  <c r="BE40" i="80"/>
  <c r="BC49" i="80"/>
  <c r="BD56" i="80"/>
  <c r="BE87" i="80"/>
  <c r="BC123" i="80"/>
  <c r="BE144" i="80"/>
  <c r="AA407" i="81" s="1"/>
  <c r="BF73" i="80"/>
  <c r="BC82" i="80"/>
  <c r="BF104" i="80"/>
  <c r="BC124" i="80"/>
  <c r="BF149" i="80"/>
  <c r="AA866" i="81" s="1"/>
  <c r="BE82" i="80"/>
  <c r="AA345" i="81" s="1"/>
  <c r="BC113" i="80"/>
  <c r="BE59" i="80"/>
  <c r="BF40" i="80"/>
  <c r="BC48" i="80"/>
  <c r="BD45" i="80"/>
  <c r="AA177" i="81" s="1"/>
  <c r="AB177" i="81" s="1"/>
  <c r="AC177" i="81" s="1"/>
  <c r="BC42" i="80"/>
  <c r="BD43" i="80"/>
  <c r="AA175" i="81" s="1"/>
  <c r="BE62" i="80"/>
  <c r="BC81" i="80"/>
  <c r="BE134" i="80"/>
  <c r="AA397" i="81" s="1"/>
  <c r="BF75" i="80"/>
  <c r="AA792" i="81" s="1"/>
  <c r="BF113" i="80"/>
  <c r="AA830" i="81" s="1"/>
  <c r="BF155" i="80"/>
  <c r="AA872" i="81" s="1"/>
  <c r="BF84" i="80"/>
  <c r="AA801" i="81" s="1"/>
  <c r="BF129" i="80"/>
  <c r="AA846" i="81" s="1"/>
  <c r="BC75" i="80"/>
  <c r="BE124" i="80"/>
  <c r="AA387" i="81" s="1"/>
  <c r="BE156" i="80"/>
  <c r="AA419" i="81" s="1"/>
  <c r="BF62" i="80"/>
  <c r="BC73" i="80"/>
  <c r="BE81" i="80"/>
  <c r="BF87" i="80"/>
  <c r="BC104" i="80"/>
  <c r="BE123" i="80"/>
  <c r="AA386" i="81" s="1"/>
  <c r="BF134" i="80"/>
  <c r="AA851" i="81" s="1"/>
  <c r="BC149" i="80"/>
  <c r="BE169" i="80"/>
  <c r="BD66" i="80"/>
  <c r="AA196" i="81" s="1"/>
  <c r="BD72" i="80"/>
  <c r="AA202" i="81" s="1"/>
  <c r="BD79" i="80"/>
  <c r="AA209" i="81" s="1"/>
  <c r="BD83" i="80"/>
  <c r="BD95" i="80"/>
  <c r="BD103" i="80"/>
  <c r="AA233" i="81" s="1"/>
  <c r="BD118" i="80"/>
  <c r="AA248" i="81" s="1"/>
  <c r="BD128" i="80"/>
  <c r="AA258" i="81" s="1"/>
  <c r="BD138" i="80"/>
  <c r="AA268" i="81" s="1"/>
  <c r="BD148" i="80"/>
  <c r="AA278" i="81" s="1"/>
  <c r="BD164" i="80"/>
  <c r="BD49" i="80"/>
  <c r="BF43" i="80"/>
  <c r="BF51" i="80"/>
  <c r="BC83" i="80"/>
  <c r="BC128" i="80"/>
  <c r="BC70" i="80"/>
  <c r="BE79" i="80"/>
  <c r="BE118" i="80"/>
  <c r="AA381" i="81" s="1"/>
  <c r="BC144" i="80"/>
  <c r="BE164" i="80"/>
  <c r="BF103" i="80"/>
  <c r="BF164" i="80"/>
  <c r="BE100" i="80"/>
  <c r="BE139" i="80"/>
  <c r="AA402" i="81" s="1"/>
  <c r="BC102" i="80"/>
  <c r="BC39" i="80"/>
  <c r="BD42" i="80"/>
  <c r="AA174" i="81" s="1"/>
  <c r="BD50" i="80"/>
  <c r="BD38" i="80"/>
  <c r="AA170" i="81" s="1"/>
  <c r="BF39" i="80"/>
  <c r="BF47" i="80"/>
  <c r="BE52" i="80"/>
  <c r="BD40" i="80"/>
  <c r="AA172" i="81" s="1"/>
  <c r="BF52" i="80"/>
  <c r="BD39" i="80"/>
  <c r="AA171" i="81" s="1"/>
  <c r="BE45" i="80"/>
  <c r="BC52" i="80"/>
  <c r="BC69" i="80"/>
  <c r="BF83" i="80"/>
  <c r="AA800" i="81" s="1"/>
  <c r="BE114" i="80"/>
  <c r="AA377" i="81" s="1"/>
  <c r="BC143" i="80"/>
  <c r="BE48" i="80"/>
  <c r="BF69" i="80"/>
  <c r="BC79" i="80"/>
  <c r="BE84" i="80"/>
  <c r="AA347" i="81" s="1"/>
  <c r="BF101" i="80"/>
  <c r="BC118" i="80"/>
  <c r="BE129" i="80"/>
  <c r="AA392" i="81" s="1"/>
  <c r="BF143" i="80"/>
  <c r="AA860" i="81" s="1"/>
  <c r="BC164" i="80"/>
  <c r="BC62" i="80"/>
  <c r="BE72" i="80"/>
  <c r="BF80" i="80"/>
  <c r="AA797" i="81" s="1"/>
  <c r="BC87" i="80"/>
  <c r="BE103" i="80"/>
  <c r="BF119" i="80"/>
  <c r="AA836" i="81" s="1"/>
  <c r="BC134" i="80"/>
  <c r="BE148" i="80"/>
  <c r="AA411" i="81" s="1"/>
  <c r="BF167" i="80"/>
  <c r="BF79" i="80"/>
  <c r="BE102" i="80"/>
  <c r="BC133" i="80"/>
  <c r="BC169" i="80"/>
  <c r="BC67" i="80"/>
  <c r="BE75" i="80"/>
  <c r="AA338" i="81" s="1"/>
  <c r="BF82" i="80"/>
  <c r="AA799" i="81" s="1"/>
  <c r="BC100" i="80"/>
  <c r="BE113" i="80"/>
  <c r="AA376" i="81" s="1"/>
  <c r="BF124" i="80"/>
  <c r="AA841" i="81" s="1"/>
  <c r="BC139" i="80"/>
  <c r="BE155" i="80"/>
  <c r="AA418" i="81" s="1"/>
  <c r="BD48" i="80"/>
  <c r="AA179" i="81" s="1"/>
  <c r="BD67" i="80"/>
  <c r="AA197" i="81" s="1"/>
  <c r="BD73" i="80"/>
  <c r="AA203" i="81" s="1"/>
  <c r="BD80" i="80"/>
  <c r="BD84" i="80"/>
  <c r="BD100" i="80"/>
  <c r="AA230" i="81" s="1"/>
  <c r="BD104" i="80"/>
  <c r="AA234" i="81" s="1"/>
  <c r="BD119" i="80"/>
  <c r="AA249" i="81" s="1"/>
  <c r="BD129" i="80"/>
  <c r="AA259" i="81" s="1"/>
  <c r="BD139" i="80"/>
  <c r="AA269" i="81" s="1"/>
  <c r="BD149" i="80"/>
  <c r="AA279" i="81" s="1"/>
  <c r="BD167" i="80"/>
  <c r="AA297" i="81" s="1"/>
  <c r="BE67" i="80"/>
  <c r="AA330" i="81" s="1"/>
  <c r="BF48" i="80"/>
  <c r="BF95" i="80"/>
  <c r="BC43" i="80"/>
  <c r="BD51" i="80"/>
  <c r="BD41" i="80"/>
  <c r="AA173" i="81" s="1"/>
  <c r="BE49" i="80"/>
  <c r="BF72" i="80"/>
  <c r="BF59" i="80"/>
  <c r="BC72" i="80"/>
  <c r="BE80" i="80"/>
  <c r="AA343" i="81" s="1"/>
  <c r="BF86" i="80"/>
  <c r="AA803" i="81" s="1"/>
  <c r="BC103" i="80"/>
  <c r="BE119" i="80"/>
  <c r="AA382" i="81" s="1"/>
  <c r="BF133" i="80"/>
  <c r="AA850" i="81" s="1"/>
  <c r="BC148" i="80"/>
  <c r="BE167" i="80"/>
  <c r="BE66" i="80"/>
  <c r="AA329" i="81" s="1"/>
  <c r="BE95" i="80"/>
  <c r="BE138" i="80"/>
  <c r="AA401" i="81" s="1"/>
  <c r="BF66" i="80"/>
  <c r="AA783" i="81" s="1"/>
  <c r="BF138" i="80"/>
  <c r="AA855" i="81" s="1"/>
  <c r="BF38" i="80"/>
  <c r="BE69" i="80"/>
  <c r="BF76" i="80"/>
  <c r="AA793" i="81" s="1"/>
  <c r="BC84" i="80"/>
  <c r="BE101" i="80"/>
  <c r="BF114" i="80"/>
  <c r="AA831" i="81" s="1"/>
  <c r="BC129" i="80"/>
  <c r="BE143" i="80"/>
  <c r="AA406" i="81" s="1"/>
  <c r="BF156" i="80"/>
  <c r="AA873" i="81" s="1"/>
  <c r="BD69" i="80"/>
  <c r="AA199" i="81" s="1"/>
  <c r="BD75" i="80"/>
  <c r="AA205" i="81" s="1"/>
  <c r="BD81" i="80"/>
  <c r="BD86" i="80"/>
  <c r="BD101" i="80"/>
  <c r="AA231" i="81" s="1"/>
  <c r="BD113" i="80"/>
  <c r="AA243" i="81" s="1"/>
  <c r="BD123" i="80"/>
  <c r="AA253" i="81" s="1"/>
  <c r="BD133" i="80"/>
  <c r="AA263" i="81" s="1"/>
  <c r="BD143" i="80"/>
  <c r="AA273" i="81" s="1"/>
  <c r="BD155" i="80"/>
  <c r="BD169" i="80"/>
  <c r="BE39" i="80"/>
  <c r="BF45" i="80"/>
  <c r="BD52" i="80"/>
  <c r="AA183" i="81" s="1"/>
  <c r="BC45" i="80"/>
  <c r="BE42" i="80"/>
  <c r="BE50" i="80"/>
  <c r="BC41" i="80"/>
  <c r="BF42" i="80"/>
  <c r="BF50" i="80"/>
  <c r="BC38" i="80"/>
  <c r="BF41" i="80"/>
  <c r="BC50" i="80"/>
  <c r="BC59" i="80"/>
  <c r="BE76" i="80"/>
  <c r="AA339" i="81" s="1"/>
  <c r="BC101" i="80"/>
  <c r="BF128" i="80"/>
  <c r="AA845" i="81" s="1"/>
  <c r="BC155" i="80"/>
  <c r="BC66" i="80"/>
  <c r="BE73" i="80"/>
  <c r="BF81" i="80"/>
  <c r="BC95" i="80"/>
  <c r="BE104" i="80"/>
  <c r="BF123" i="80"/>
  <c r="AA840" i="81" s="1"/>
  <c r="BC138" i="80"/>
  <c r="BE149" i="80"/>
  <c r="AA412" i="81" s="1"/>
  <c r="BF169" i="80"/>
  <c r="BF67" i="80"/>
  <c r="AA784" i="81" s="1"/>
  <c r="BC76" i="80"/>
  <c r="BE83" i="80"/>
  <c r="AA346" i="81" s="1"/>
  <c r="BF100" i="80"/>
  <c r="BC114" i="80"/>
  <c r="BE128" i="80"/>
  <c r="AA391" i="81" s="1"/>
  <c r="BF139" i="80"/>
  <c r="AA856" i="81" s="1"/>
  <c r="BC156" i="80"/>
  <c r="BE70" i="80"/>
  <c r="BC86" i="80"/>
  <c r="BF118" i="80"/>
  <c r="AA835" i="81" s="1"/>
  <c r="BF148" i="80"/>
  <c r="AA865" i="81" s="1"/>
  <c r="BD59" i="80"/>
  <c r="AA189" i="81" s="1"/>
  <c r="BF70" i="80"/>
  <c r="BC80" i="80"/>
  <c r="BE86" i="80"/>
  <c r="AA349" i="81" s="1"/>
  <c r="BF102" i="80"/>
  <c r="BC119" i="80"/>
  <c r="BE133" i="80"/>
  <c r="AA396" i="81" s="1"/>
  <c r="BF144" i="80"/>
  <c r="AA861" i="81" s="1"/>
  <c r="BC167" i="80"/>
  <c r="BD62" i="80"/>
  <c r="AA192" i="81" s="1"/>
  <c r="BD70" i="80"/>
  <c r="AA200" i="81" s="1"/>
  <c r="BD76" i="80"/>
  <c r="AA206" i="81" s="1"/>
  <c r="BD82" i="80"/>
  <c r="BD87" i="80"/>
  <c r="BD102" i="80"/>
  <c r="AA232" i="81" s="1"/>
  <c r="BD114" i="80"/>
  <c r="AA244" i="81" s="1"/>
  <c r="BD124" i="80"/>
  <c r="AA254" i="81" s="1"/>
  <c r="BD134" i="80"/>
  <c r="AA264" i="81" s="1"/>
  <c r="BD144" i="80"/>
  <c r="AA274" i="81" s="1"/>
  <c r="BD156" i="80"/>
  <c r="AB72" i="81"/>
  <c r="AC72" i="81" s="1"/>
  <c r="E31" i="83"/>
  <c r="AA2" i="42"/>
  <c r="W2" i="42"/>
  <c r="S2" i="42"/>
  <c r="O2" i="42"/>
  <c r="K2" i="42"/>
  <c r="G2" i="42"/>
  <c r="C2" i="42"/>
  <c r="E24" i="83"/>
  <c r="E21" i="83"/>
  <c r="AA11" i="81"/>
  <c r="E16" i="83" s="1"/>
  <c r="AA10" i="81"/>
  <c r="E15" i="83" s="1"/>
  <c r="AA9" i="81"/>
  <c r="E14" i="83" s="1"/>
  <c r="AA8" i="81"/>
  <c r="E13" i="83" s="1"/>
  <c r="AA7" i="81"/>
  <c r="E12" i="83" s="1"/>
  <c r="AC6" i="81"/>
  <c r="A4" i="80"/>
  <c r="A5" i="80" s="1"/>
  <c r="AA180" i="81" l="1"/>
  <c r="AA216" i="81"/>
  <c r="E317" i="83" s="1"/>
  <c r="AA217" i="81"/>
  <c r="E319" i="83" s="1"/>
  <c r="AA211" i="81"/>
  <c r="E313" i="83" s="1"/>
  <c r="AA225" i="81"/>
  <c r="E325" i="83" s="1"/>
  <c r="AA212" i="81"/>
  <c r="E314" i="83" s="1"/>
  <c r="AA214" i="81"/>
  <c r="E316" i="83" s="1"/>
  <c r="AA213" i="81"/>
  <c r="E315" i="83" s="1"/>
  <c r="AA210" i="81"/>
  <c r="E312" i="83" s="1"/>
  <c r="AB26" i="81"/>
  <c r="AC26" i="81" s="1"/>
  <c r="E41" i="83"/>
  <c r="AB29" i="81"/>
  <c r="AC29" i="81" s="1"/>
  <c r="E46" i="83"/>
  <c r="AB33" i="81"/>
  <c r="AC33" i="81" s="1"/>
  <c r="E51" i="83"/>
  <c r="AB264" i="81"/>
  <c r="AC264" i="81" s="1"/>
  <c r="E362" i="83"/>
  <c r="AB391" i="81"/>
  <c r="AC391" i="81" s="1"/>
  <c r="E487" i="83"/>
  <c r="AB845" i="81"/>
  <c r="AC845" i="81" s="1"/>
  <c r="E883" i="83"/>
  <c r="AB406" i="81"/>
  <c r="AC406" i="81" s="1"/>
  <c r="E502" i="83"/>
  <c r="AB855" i="81"/>
  <c r="AC855" i="81" s="1"/>
  <c r="E893" i="83"/>
  <c r="AB173" i="81"/>
  <c r="AC173" i="81" s="1"/>
  <c r="E276" i="83"/>
  <c r="AB269" i="81"/>
  <c r="AC269" i="81" s="1"/>
  <c r="E367" i="83"/>
  <c r="AB197" i="81"/>
  <c r="AC197" i="81" s="1"/>
  <c r="E301" i="83"/>
  <c r="AB338" i="81"/>
  <c r="AC338" i="81" s="1"/>
  <c r="E439" i="83"/>
  <c r="AB381" i="81"/>
  <c r="AC381" i="81" s="1"/>
  <c r="E477" i="83"/>
  <c r="AB386" i="81"/>
  <c r="AC386" i="81" s="1"/>
  <c r="E482" i="83"/>
  <c r="AB830" i="81"/>
  <c r="AC830" i="81" s="1"/>
  <c r="E868" i="83"/>
  <c r="AB38" i="81"/>
  <c r="AC38" i="81" s="1"/>
  <c r="E57" i="83"/>
  <c r="AB784" i="81"/>
  <c r="AC784" i="81" s="1"/>
  <c r="E828" i="83"/>
  <c r="AB840" i="81"/>
  <c r="AC840" i="81" s="1"/>
  <c r="E878" i="83"/>
  <c r="AB243" i="81"/>
  <c r="AC243" i="81" s="1"/>
  <c r="E341" i="83"/>
  <c r="AB783" i="81"/>
  <c r="AC783" i="81" s="1"/>
  <c r="E827" i="83"/>
  <c r="AB330" i="81"/>
  <c r="AC330" i="81" s="1"/>
  <c r="E432" i="83"/>
  <c r="AB259" i="81"/>
  <c r="AC259" i="81" s="1"/>
  <c r="E357" i="83"/>
  <c r="AB836" i="81"/>
  <c r="AC836" i="81" s="1"/>
  <c r="E874" i="83"/>
  <c r="AB392" i="81"/>
  <c r="AC392" i="81" s="1"/>
  <c r="E488" i="83"/>
  <c r="AB377" i="81"/>
  <c r="AC377" i="81" s="1"/>
  <c r="E473" i="83"/>
  <c r="AB170" i="81"/>
  <c r="AC170" i="81" s="1"/>
  <c r="E273" i="83"/>
  <c r="H21" i="83"/>
  <c r="AB24" i="81"/>
  <c r="AC24" i="81" s="1"/>
  <c r="E39" i="83"/>
  <c r="AB27" i="81"/>
  <c r="AC27" i="81" s="1"/>
  <c r="E43" i="83"/>
  <c r="AB31" i="81"/>
  <c r="AC31" i="81" s="1"/>
  <c r="E49" i="83"/>
  <c r="AB35" i="81"/>
  <c r="AC35" i="81" s="1"/>
  <c r="E53" i="83"/>
  <c r="AB39" i="81"/>
  <c r="AC39" i="81" s="1"/>
  <c r="E63" i="83"/>
  <c r="AB43" i="81"/>
  <c r="AC43" i="81" s="1"/>
  <c r="E69" i="83"/>
  <c r="AB244" i="81"/>
  <c r="AC244" i="81" s="1"/>
  <c r="E342" i="83"/>
  <c r="AB206" i="81"/>
  <c r="AC206" i="81" s="1"/>
  <c r="E309" i="83"/>
  <c r="AB861" i="81"/>
  <c r="AC861" i="81" s="1"/>
  <c r="E899" i="83"/>
  <c r="AB865" i="81"/>
  <c r="AC865" i="81" s="1"/>
  <c r="E903" i="83"/>
  <c r="AB339" i="81"/>
  <c r="AC339" i="81" s="1"/>
  <c r="E440" i="83"/>
  <c r="AB273" i="81"/>
  <c r="AC273" i="81" s="1"/>
  <c r="E371" i="83"/>
  <c r="AB831" i="81"/>
  <c r="AC831" i="81" s="1"/>
  <c r="E869" i="83"/>
  <c r="AB401" i="81"/>
  <c r="AC401" i="81" s="1"/>
  <c r="E497" i="83"/>
  <c r="AB803" i="81"/>
  <c r="AC803" i="81" s="1"/>
  <c r="E844" i="83"/>
  <c r="AB297" i="81"/>
  <c r="AC297" i="81" s="1"/>
  <c r="E395" i="83"/>
  <c r="AB249" i="81"/>
  <c r="AC249" i="81" s="1"/>
  <c r="E347" i="83"/>
  <c r="AB418" i="81"/>
  <c r="AC418" i="81" s="1"/>
  <c r="E514" i="83"/>
  <c r="AB800" i="81"/>
  <c r="AC800" i="81" s="1"/>
  <c r="E842" i="83"/>
  <c r="AB171" i="81"/>
  <c r="AC171" i="81" s="1"/>
  <c r="E274" i="83"/>
  <c r="AB402" i="81"/>
  <c r="AC402" i="81" s="1"/>
  <c r="E498" i="83"/>
  <c r="AB248" i="81"/>
  <c r="AC248" i="81" s="1"/>
  <c r="E346" i="83"/>
  <c r="AB209" i="81"/>
  <c r="AC209" i="81" s="1"/>
  <c r="E311" i="83"/>
  <c r="AB419" i="81"/>
  <c r="AC419" i="81" s="1"/>
  <c r="E515" i="83"/>
  <c r="AB801" i="81"/>
  <c r="AC801" i="81" s="1"/>
  <c r="E843" i="83"/>
  <c r="AB397" i="81"/>
  <c r="AC397" i="81" s="1"/>
  <c r="E493" i="83"/>
  <c r="AB866" i="81"/>
  <c r="AC866" i="81" s="1"/>
  <c r="E904" i="83"/>
  <c r="AB22" i="81"/>
  <c r="AC22" i="81" s="1"/>
  <c r="E34" i="83"/>
  <c r="AB37" i="81"/>
  <c r="AC37" i="81" s="1"/>
  <c r="E55" i="83"/>
  <c r="AB41" i="81"/>
  <c r="AC41" i="81" s="1"/>
  <c r="E67" i="83"/>
  <c r="AB253" i="81"/>
  <c r="AC253" i="81" s="1"/>
  <c r="E351" i="83"/>
  <c r="AB329" i="81"/>
  <c r="AC329" i="81" s="1"/>
  <c r="E431" i="83"/>
  <c r="AB382" i="81"/>
  <c r="AC382" i="81" s="1"/>
  <c r="E478" i="83"/>
  <c r="AB230" i="81"/>
  <c r="AC230" i="81" s="1"/>
  <c r="E328" i="83"/>
  <c r="AB841" i="81"/>
  <c r="AC841" i="81" s="1"/>
  <c r="E879" i="83"/>
  <c r="AB797" i="81"/>
  <c r="AC797" i="81" s="1"/>
  <c r="E839" i="83"/>
  <c r="AB860" i="81"/>
  <c r="AC860" i="81" s="1"/>
  <c r="E898" i="83"/>
  <c r="AB268" i="81"/>
  <c r="AC268" i="81" s="1"/>
  <c r="E366" i="83"/>
  <c r="AB196" i="81"/>
  <c r="AC196" i="81" s="1"/>
  <c r="E300" i="83"/>
  <c r="AB25" i="81"/>
  <c r="AC25" i="81" s="1"/>
  <c r="E40" i="83"/>
  <c r="AB30" i="81"/>
  <c r="AC30" i="81" s="1"/>
  <c r="E47" i="83"/>
  <c r="AB34" i="81"/>
  <c r="AC34" i="81" s="1"/>
  <c r="E52" i="83"/>
  <c r="AB42" i="81"/>
  <c r="AC42" i="81" s="1"/>
  <c r="E68" i="83"/>
  <c r="AB254" i="81"/>
  <c r="AC254" i="81" s="1"/>
  <c r="E352" i="83"/>
  <c r="AB183" i="81"/>
  <c r="AC183" i="81" s="1"/>
  <c r="E286" i="83"/>
  <c r="AB205" i="81"/>
  <c r="AC205" i="81" s="1"/>
  <c r="E308" i="83"/>
  <c r="AB793" i="81"/>
  <c r="AC793" i="81" s="1"/>
  <c r="E836" i="83"/>
  <c r="AB179" i="81"/>
  <c r="AC179" i="81" s="1"/>
  <c r="E283" i="83"/>
  <c r="AB376" i="81"/>
  <c r="AC376" i="81" s="1"/>
  <c r="E472" i="83"/>
  <c r="AB172" i="81"/>
  <c r="AC172" i="81" s="1"/>
  <c r="E275" i="83"/>
  <c r="AB258" i="81"/>
  <c r="AC258" i="81" s="1"/>
  <c r="E356" i="83"/>
  <c r="AB846" i="81"/>
  <c r="AC846" i="81" s="1"/>
  <c r="E884" i="83"/>
  <c r="AB792" i="81"/>
  <c r="AC792" i="81" s="1"/>
  <c r="E835" i="83"/>
  <c r="AB175" i="81"/>
  <c r="AC175" i="81" s="1"/>
  <c r="E278" i="83"/>
  <c r="H24" i="83"/>
  <c r="AB23" i="81"/>
  <c r="AC23" i="81" s="1"/>
  <c r="E38" i="83"/>
  <c r="AB28" i="81"/>
  <c r="AC28" i="81" s="1"/>
  <c r="E44" i="83"/>
  <c r="AB32" i="81"/>
  <c r="AC32" i="81" s="1"/>
  <c r="E50" i="83"/>
  <c r="AB36" i="81"/>
  <c r="AC36" i="81" s="1"/>
  <c r="E54" i="83"/>
  <c r="AB40" i="81"/>
  <c r="AC40" i="81" s="1"/>
  <c r="E66" i="83"/>
  <c r="AB44" i="81"/>
  <c r="AC44" i="81" s="1"/>
  <c r="E70" i="83"/>
  <c r="AB274" i="81"/>
  <c r="AC274" i="81" s="1"/>
  <c r="E372" i="83"/>
  <c r="AB396" i="81"/>
  <c r="AC396" i="81" s="1"/>
  <c r="E492" i="83"/>
  <c r="AB835" i="81"/>
  <c r="AC835" i="81" s="1"/>
  <c r="E873" i="83"/>
  <c r="AB856" i="81"/>
  <c r="AC856" i="81" s="1"/>
  <c r="E894" i="83"/>
  <c r="AB412" i="81"/>
  <c r="AC412" i="81" s="1"/>
  <c r="E508" i="83"/>
  <c r="AB263" i="81"/>
  <c r="AC263" i="81" s="1"/>
  <c r="E361" i="83"/>
  <c r="AB873" i="81"/>
  <c r="AC873" i="81" s="1"/>
  <c r="E911" i="83"/>
  <c r="AB850" i="81"/>
  <c r="AC850" i="81" s="1"/>
  <c r="E888" i="83"/>
  <c r="AB279" i="81"/>
  <c r="AC279" i="81" s="1"/>
  <c r="E377" i="83"/>
  <c r="AB799" i="81"/>
  <c r="AC799" i="81" s="1"/>
  <c r="E841" i="83"/>
  <c r="AB411" i="81"/>
  <c r="AC411" i="81" s="1"/>
  <c r="E507" i="83"/>
  <c r="AB174" i="81"/>
  <c r="AC174" i="81" s="1"/>
  <c r="E277" i="83"/>
  <c r="AB278" i="81"/>
  <c r="AC278" i="81" s="1"/>
  <c r="E376" i="83"/>
  <c r="AB851" i="81"/>
  <c r="AC851" i="81" s="1"/>
  <c r="E889" i="83"/>
  <c r="AB387" i="81"/>
  <c r="AC387" i="81" s="1"/>
  <c r="E483" i="83"/>
  <c r="AB872" i="81"/>
  <c r="AC872" i="81" s="1"/>
  <c r="E910" i="83"/>
  <c r="AB407" i="81"/>
  <c r="AC407" i="81" s="1"/>
  <c r="E503" i="83"/>
  <c r="AC10" i="81"/>
  <c r="AB10" i="81"/>
  <c r="AC8" i="81"/>
  <c r="AB8" i="81"/>
  <c r="AC21" i="81"/>
  <c r="AB21" i="81"/>
  <c r="AC9" i="81"/>
  <c r="AB9" i="81"/>
  <c r="AB15" i="81"/>
  <c r="AC15" i="81"/>
  <c r="AC19" i="81"/>
  <c r="AB19" i="81"/>
  <c r="AC7" i="81"/>
  <c r="AB7" i="81"/>
  <c r="AC11" i="81"/>
  <c r="AB11" i="81"/>
  <c r="AC16" i="81"/>
  <c r="AB16" i="81"/>
  <c r="Y6" i="81"/>
  <c r="AB6" i="81"/>
  <c r="K46" i="13"/>
  <c r="J46" i="13"/>
  <c r="I46" i="13"/>
  <c r="H46" i="13"/>
  <c r="G46" i="13"/>
  <c r="F46" i="13"/>
  <c r="E46" i="13"/>
  <c r="F58" i="16"/>
  <c r="E58" i="16"/>
  <c r="D58" i="16"/>
  <c r="C58" i="16"/>
  <c r="F56" i="57"/>
  <c r="I57" i="16" s="1"/>
  <c r="H56" i="54"/>
  <c r="G57" i="16" s="1"/>
  <c r="H57" i="16" s="1"/>
  <c r="H43" i="52"/>
  <c r="N43" i="50"/>
  <c r="BN45" i="45"/>
  <c r="L43" i="13" l="1"/>
  <c r="M43" i="13" s="1"/>
  <c r="C39" i="66" s="1"/>
  <c r="M39" i="66" s="1"/>
  <c r="B37" i="11" s="1"/>
  <c r="AB214" i="81"/>
  <c r="AC214" i="81" s="1"/>
  <c r="AB225" i="81"/>
  <c r="AC225" i="81" s="1"/>
  <c r="AB217" i="81"/>
  <c r="AC217" i="81" s="1"/>
  <c r="AB212" i="81"/>
  <c r="AC212" i="81" s="1"/>
  <c r="AB216" i="81"/>
  <c r="AC216" i="81" s="1"/>
  <c r="AB210" i="81"/>
  <c r="AC210" i="81" s="1"/>
  <c r="AB211" i="81"/>
  <c r="AC211" i="81" s="1"/>
  <c r="AB213" i="81"/>
  <c r="AC213" i="81" s="1"/>
  <c r="Y452" i="81"/>
  <c r="Y537" i="81"/>
  <c r="Y451" i="81"/>
  <c r="Y536" i="81"/>
  <c r="H77" i="83"/>
  <c r="AB347" i="81"/>
  <c r="AC347" i="81" s="1"/>
  <c r="E447" i="83"/>
  <c r="AB349" i="81"/>
  <c r="AC349" i="81" s="1"/>
  <c r="E448" i="83"/>
  <c r="AB180" i="81"/>
  <c r="AC180" i="81" s="1"/>
  <c r="E284" i="83"/>
  <c r="H286" i="83" s="1"/>
  <c r="AB343" i="81"/>
  <c r="AC343" i="81" s="1"/>
  <c r="E443" i="83"/>
  <c r="AB345" i="81"/>
  <c r="AC345" i="81" s="1"/>
  <c r="E445" i="83"/>
  <c r="H283" i="83"/>
  <c r="AB346" i="81"/>
  <c r="AC346" i="81" s="1"/>
  <c r="E446" i="83"/>
  <c r="Y883" i="81"/>
  <c r="Y879" i="81"/>
  <c r="Y875" i="81"/>
  <c r="Y871" i="81"/>
  <c r="Y867" i="81"/>
  <c r="Y863" i="81"/>
  <c r="Y859" i="81"/>
  <c r="Y855" i="81"/>
  <c r="Y851" i="81"/>
  <c r="Y847" i="81"/>
  <c r="Y843" i="81"/>
  <c r="Y839" i="81"/>
  <c r="Y835" i="81"/>
  <c r="Y831" i="81"/>
  <c r="Y827" i="81"/>
  <c r="Y823" i="81"/>
  <c r="Y819" i="81"/>
  <c r="Y815" i="81"/>
  <c r="Y811" i="81"/>
  <c r="Y807" i="81"/>
  <c r="Y803" i="81"/>
  <c r="Y799" i="81"/>
  <c r="Y795" i="81"/>
  <c r="Y791" i="81"/>
  <c r="Y787" i="81"/>
  <c r="Y783" i="81"/>
  <c r="Y779" i="81"/>
  <c r="Y775" i="81"/>
  <c r="Y771" i="81"/>
  <c r="Y767" i="81"/>
  <c r="Y763" i="81"/>
  <c r="Y759" i="81"/>
  <c r="Y755" i="81"/>
  <c r="Y751" i="81"/>
  <c r="Y747" i="81"/>
  <c r="Y743" i="81"/>
  <c r="Y739" i="81"/>
  <c r="Y735" i="81"/>
  <c r="Y731" i="81"/>
  <c r="Y727" i="81"/>
  <c r="Y723" i="81"/>
  <c r="Y719" i="81"/>
  <c r="Y715" i="81"/>
  <c r="Y711" i="81"/>
  <c r="Y707" i="81"/>
  <c r="Y703" i="81"/>
  <c r="Y699" i="81"/>
  <c r="Y695" i="81"/>
  <c r="Y691" i="81"/>
  <c r="Y687" i="81"/>
  <c r="Y683" i="81"/>
  <c r="Y679" i="81"/>
  <c r="Y675" i="81"/>
  <c r="Y671" i="81"/>
  <c r="Y667" i="81"/>
  <c r="Y663" i="81"/>
  <c r="Y659" i="81"/>
  <c r="Y655" i="81"/>
  <c r="Y651" i="81"/>
  <c r="Y647" i="81"/>
  <c r="Y643" i="81"/>
  <c r="Y639" i="81"/>
  <c r="Y635" i="81"/>
  <c r="Y631" i="81"/>
  <c r="Y627" i="81"/>
  <c r="Y623" i="81"/>
  <c r="Y619" i="81"/>
  <c r="Y615" i="81"/>
  <c r="Y611" i="81"/>
  <c r="Y607" i="81"/>
  <c r="Y603" i="81"/>
  <c r="Y599" i="81"/>
  <c r="Y595" i="81"/>
  <c r="Y591" i="81"/>
  <c r="Y587" i="81"/>
  <c r="Y583" i="81"/>
  <c r="Y579" i="81"/>
  <c r="Y575" i="81"/>
  <c r="Y571" i="81"/>
  <c r="Y567" i="81"/>
  <c r="Y563" i="81"/>
  <c r="Y559" i="81"/>
  <c r="Y555" i="81"/>
  <c r="Y551" i="81"/>
  <c r="Y547" i="81"/>
  <c r="Y882" i="81"/>
  <c r="Y877" i="81"/>
  <c r="Y872" i="81"/>
  <c r="Y866" i="81"/>
  <c r="Y861" i="81"/>
  <c r="Y856" i="81"/>
  <c r="Y850" i="81"/>
  <c r="Y845" i="81"/>
  <c r="Y840" i="81"/>
  <c r="Y834" i="81"/>
  <c r="Y829" i="81"/>
  <c r="Y824" i="81"/>
  <c r="Y818" i="81"/>
  <c r="Y813" i="81"/>
  <c r="Y808" i="81"/>
  <c r="Y802" i="81"/>
  <c r="Y797" i="81"/>
  <c r="Y792" i="81"/>
  <c r="Y786" i="81"/>
  <c r="Y781" i="81"/>
  <c r="Y776" i="81"/>
  <c r="Y770" i="81"/>
  <c r="Y765" i="81"/>
  <c r="Y760" i="81"/>
  <c r="Y754" i="81"/>
  <c r="Y749" i="81"/>
  <c r="Y744" i="81"/>
  <c r="Y738" i="81"/>
  <c r="Y733" i="81"/>
  <c r="Y728" i="81"/>
  <c r="Y722" i="81"/>
  <c r="Y717" i="81"/>
  <c r="Y712" i="81"/>
  <c r="Y706" i="81"/>
  <c r="Y701" i="81"/>
  <c r="Y696" i="81"/>
  <c r="Y690" i="81"/>
  <c r="Y685" i="81"/>
  <c r="Y680" i="81"/>
  <c r="Y674" i="81"/>
  <c r="Y669" i="81"/>
  <c r="Y664" i="81"/>
  <c r="Y658" i="81"/>
  <c r="Y653" i="81"/>
  <c r="Y648" i="81"/>
  <c r="Y642" i="81"/>
  <c r="Y637" i="81"/>
  <c r="Y632" i="81"/>
  <c r="Y626" i="81"/>
  <c r="Y621" i="81"/>
  <c r="Y616" i="81"/>
  <c r="Y610" i="81"/>
  <c r="Y605" i="81"/>
  <c r="Y600" i="81"/>
  <c r="Y594" i="81"/>
  <c r="Y589" i="81"/>
  <c r="Y584" i="81"/>
  <c r="Y578" i="81"/>
  <c r="Y573" i="81"/>
  <c r="Y568" i="81"/>
  <c r="Y562" i="81"/>
  <c r="Y557" i="81"/>
  <c r="Y552" i="81"/>
  <c r="Y546" i="81"/>
  <c r="Y542" i="81"/>
  <c r="Y538" i="81"/>
  <c r="Y532" i="81"/>
  <c r="Y528" i="81"/>
  <c r="Y524" i="81"/>
  <c r="Y520" i="81"/>
  <c r="Y516" i="81"/>
  <c r="Y512" i="81"/>
  <c r="Y508" i="81"/>
  <c r="Y504" i="81"/>
  <c r="Y500" i="81"/>
  <c r="Y496" i="81"/>
  <c r="Y492" i="81"/>
  <c r="Y488" i="81"/>
  <c r="Y484" i="81"/>
  <c r="Y480" i="81"/>
  <c r="Y476" i="81"/>
  <c r="Y472" i="81"/>
  <c r="Y468" i="81"/>
  <c r="Y464" i="81"/>
  <c r="Y460" i="81"/>
  <c r="Y456" i="81"/>
  <c r="Y450" i="81"/>
  <c r="Y446" i="81"/>
  <c r="Y442" i="81"/>
  <c r="Y438" i="81"/>
  <c r="Y434" i="81"/>
  <c r="Y430" i="81"/>
  <c r="Y426" i="81"/>
  <c r="Y422" i="81"/>
  <c r="Y418" i="81"/>
  <c r="Y414" i="81"/>
  <c r="Y410" i="81"/>
  <c r="Y406" i="81"/>
  <c r="Y402" i="81"/>
  <c r="Y398" i="81"/>
  <c r="Y394" i="81"/>
  <c r="Y390" i="81"/>
  <c r="Y386" i="81"/>
  <c r="Y382" i="81"/>
  <c r="Y378" i="81"/>
  <c r="Y374" i="81"/>
  <c r="Y370" i="81"/>
  <c r="Y366" i="81"/>
  <c r="Y362" i="81"/>
  <c r="Y358" i="81"/>
  <c r="Y354" i="81"/>
  <c r="Y350" i="81"/>
  <c r="Y346" i="81"/>
  <c r="Y342" i="81"/>
  <c r="Y338" i="81"/>
  <c r="Y334" i="81"/>
  <c r="Y330" i="81"/>
  <c r="Y326" i="81"/>
  <c r="Y322" i="81"/>
  <c r="Y318" i="81"/>
  <c r="Y314" i="81"/>
  <c r="Y310" i="81"/>
  <c r="Y306" i="81"/>
  <c r="Y302" i="81"/>
  <c r="Y298" i="81"/>
  <c r="Y294" i="81"/>
  <c r="Y290" i="81"/>
  <c r="Y286" i="81"/>
  <c r="Y282" i="81"/>
  <c r="Y278" i="81"/>
  <c r="Y274" i="81"/>
  <c r="Y270" i="81"/>
  <c r="Y266" i="81"/>
  <c r="Y262" i="81"/>
  <c r="Y258" i="81"/>
  <c r="Y254" i="81"/>
  <c r="Y250" i="81"/>
  <c r="Y246" i="81"/>
  <c r="Y242" i="81"/>
  <c r="Y238" i="81"/>
  <c r="Y234" i="81"/>
  <c r="Y230" i="81"/>
  <c r="Y226" i="81"/>
  <c r="Y222" i="81"/>
  <c r="Y218" i="81"/>
  <c r="Y214" i="81"/>
  <c r="Y210" i="81"/>
  <c r="Y206" i="81"/>
  <c r="Y202" i="81"/>
  <c r="Y198" i="81"/>
  <c r="Y194" i="81"/>
  <c r="Y190" i="81"/>
  <c r="Y186" i="81"/>
  <c r="Y182" i="81"/>
  <c r="Y178" i="81"/>
  <c r="Y174" i="81"/>
  <c r="Y170" i="81"/>
  <c r="Y166" i="81"/>
  <c r="Y162" i="81"/>
  <c r="Y158" i="81"/>
  <c r="Y154" i="81"/>
  <c r="Y150" i="81"/>
  <c r="Y146" i="81"/>
  <c r="Y142" i="81"/>
  <c r="Y138" i="81"/>
  <c r="Y134" i="81"/>
  <c r="Y130" i="81"/>
  <c r="Y126" i="81"/>
  <c r="Y122" i="81"/>
  <c r="Y118" i="81"/>
  <c r="Y881" i="81"/>
  <c r="Y874" i="81"/>
  <c r="Y868" i="81"/>
  <c r="Y860" i="81"/>
  <c r="Y853" i="81"/>
  <c r="Y846" i="81"/>
  <c r="Y838" i="81"/>
  <c r="Y832" i="81"/>
  <c r="Y825" i="81"/>
  <c r="Y817" i="81"/>
  <c r="Y810" i="81"/>
  <c r="Y804" i="81"/>
  <c r="Y796" i="81"/>
  <c r="Y789" i="81"/>
  <c r="Y782" i="81"/>
  <c r="Y774" i="81"/>
  <c r="Y768" i="81"/>
  <c r="Y761" i="81"/>
  <c r="Y753" i="81"/>
  <c r="Y746" i="81"/>
  <c r="Y740" i="81"/>
  <c r="Y732" i="81"/>
  <c r="Y725" i="81"/>
  <c r="Y718" i="81"/>
  <c r="Y710" i="81"/>
  <c r="Y704" i="81"/>
  <c r="Y697" i="81"/>
  <c r="Y689" i="81"/>
  <c r="Y682" i="81"/>
  <c r="Y676" i="81"/>
  <c r="Y668" i="81"/>
  <c r="Y661" i="81"/>
  <c r="Y654" i="81"/>
  <c r="Y646" i="81"/>
  <c r="Y640" i="81"/>
  <c r="Y633" i="81"/>
  <c r="Y625" i="81"/>
  <c r="Y618" i="81"/>
  <c r="Y612" i="81"/>
  <c r="Y604" i="81"/>
  <c r="Y597" i="81"/>
  <c r="Y590" i="81"/>
  <c r="Y582" i="81"/>
  <c r="Y576" i="81"/>
  <c r="Y569" i="81"/>
  <c r="Y561" i="81"/>
  <c r="Y554" i="81"/>
  <c r="Y548" i="81"/>
  <c r="Y541" i="81"/>
  <c r="Y534" i="81"/>
  <c r="Y529" i="81"/>
  <c r="Y523" i="81"/>
  <c r="Y518" i="81"/>
  <c r="Y513" i="81"/>
  <c r="Y507" i="81"/>
  <c r="Y502" i="81"/>
  <c r="Y497" i="81"/>
  <c r="Y491" i="81"/>
  <c r="Y486" i="81"/>
  <c r="Y481" i="81"/>
  <c r="Y475" i="81"/>
  <c r="Y470" i="81"/>
  <c r="Y465" i="81"/>
  <c r="Y459" i="81"/>
  <c r="Y454" i="81"/>
  <c r="Y447" i="81"/>
  <c r="Y441" i="81"/>
  <c r="Y436" i="81"/>
  <c r="Y431" i="81"/>
  <c r="Y425" i="81"/>
  <c r="Y420" i="81"/>
  <c r="Y415" i="81"/>
  <c r="Y409" i="81"/>
  <c r="Y404" i="81"/>
  <c r="Y399" i="81"/>
  <c r="Y393" i="81"/>
  <c r="Y388" i="81"/>
  <c r="Y383" i="81"/>
  <c r="Y377" i="81"/>
  <c r="Y372" i="81"/>
  <c r="Y367" i="81"/>
  <c r="Y361" i="81"/>
  <c r="Y356" i="81"/>
  <c r="Y351" i="81"/>
  <c r="Y345" i="81"/>
  <c r="Y340" i="81"/>
  <c r="Y335" i="81"/>
  <c r="Y329" i="81"/>
  <c r="Y324" i="81"/>
  <c r="Y319" i="81"/>
  <c r="Y313" i="81"/>
  <c r="Y308" i="81"/>
  <c r="Y303" i="81"/>
  <c r="Y297" i="81"/>
  <c r="Y292" i="81"/>
  <c r="Y287" i="81"/>
  <c r="Y281" i="81"/>
  <c r="Y276" i="81"/>
  <c r="Y271" i="81"/>
  <c r="Y265" i="81"/>
  <c r="Y260" i="81"/>
  <c r="Y255" i="81"/>
  <c r="Y249" i="81"/>
  <c r="Y244" i="81"/>
  <c r="Y239" i="81"/>
  <c r="Y233" i="81"/>
  <c r="Y228" i="81"/>
  <c r="Y223" i="81"/>
  <c r="Y217" i="81"/>
  <c r="Y212" i="81"/>
  <c r="Y207" i="81"/>
  <c r="Y201" i="81"/>
  <c r="Y196" i="81"/>
  <c r="Y191" i="81"/>
  <c r="Y185" i="81"/>
  <c r="Y180" i="81"/>
  <c r="Y175" i="81"/>
  <c r="Y169" i="81"/>
  <c r="Y164" i="81"/>
  <c r="Y159" i="81"/>
  <c r="Y153" i="81"/>
  <c r="Y148" i="81"/>
  <c r="Y143" i="81"/>
  <c r="Y137" i="81"/>
  <c r="Y132" i="81"/>
  <c r="Y127" i="81"/>
  <c r="Y121" i="81"/>
  <c r="Y116" i="81"/>
  <c r="Y112" i="81"/>
  <c r="Y108" i="81"/>
  <c r="Y104" i="81"/>
  <c r="Y100" i="81"/>
  <c r="Y96" i="81"/>
  <c r="Y92" i="81"/>
  <c r="Y88" i="81"/>
  <c r="Y84" i="81"/>
  <c r="Y80" i="81"/>
  <c r="Y76" i="81"/>
  <c r="Y72" i="81"/>
  <c r="Y68" i="81"/>
  <c r="Y64" i="81"/>
  <c r="Y60" i="81"/>
  <c r="Y56" i="81"/>
  <c r="Y52" i="81"/>
  <c r="Y48" i="81"/>
  <c r="Y44" i="81"/>
  <c r="Y40" i="81"/>
  <c r="Y36" i="81"/>
  <c r="Y32" i="81"/>
  <c r="Y28" i="81"/>
  <c r="Y24" i="81"/>
  <c r="Y20" i="81"/>
  <c r="Y16" i="81"/>
  <c r="Y12" i="81"/>
  <c r="Y8" i="81"/>
  <c r="Y880" i="81"/>
  <c r="Y873" i="81"/>
  <c r="Y865" i="81"/>
  <c r="Y858" i="81"/>
  <c r="Y852" i="81"/>
  <c r="Y844" i="81"/>
  <c r="Y837" i="81"/>
  <c r="Y830" i="81"/>
  <c r="Y822" i="81"/>
  <c r="Y816" i="81"/>
  <c r="Y809" i="81"/>
  <c r="Y801" i="81"/>
  <c r="Y794" i="81"/>
  <c r="Y788" i="81"/>
  <c r="Y780" i="81"/>
  <c r="Y773" i="81"/>
  <c r="Y766" i="81"/>
  <c r="Y758" i="81"/>
  <c r="Y752" i="81"/>
  <c r="Y745" i="81"/>
  <c r="Y737" i="81"/>
  <c r="Y730" i="81"/>
  <c r="Y724" i="81"/>
  <c r="Y716" i="81"/>
  <c r="Y709" i="81"/>
  <c r="Y702" i="81"/>
  <c r="Y694" i="81"/>
  <c r="Y688" i="81"/>
  <c r="Y681" i="81"/>
  <c r="Y673" i="81"/>
  <c r="Y666" i="81"/>
  <c r="Y660" i="81"/>
  <c r="Y652" i="81"/>
  <c r="Y645" i="81"/>
  <c r="Y638" i="81"/>
  <c r="Y630" i="81"/>
  <c r="Y624" i="81"/>
  <c r="Y617" i="81"/>
  <c r="Y609" i="81"/>
  <c r="Y602" i="81"/>
  <c r="Y596" i="81"/>
  <c r="Y588" i="81"/>
  <c r="Y581" i="81"/>
  <c r="Y574" i="81"/>
  <c r="Y566" i="81"/>
  <c r="Y560" i="81"/>
  <c r="Y553" i="81"/>
  <c r="Y545" i="81"/>
  <c r="Y540" i="81"/>
  <c r="Y533" i="81"/>
  <c r="Y527" i="81"/>
  <c r="Y522" i="81"/>
  <c r="Y517" i="81"/>
  <c r="Y511" i="81"/>
  <c r="Y506" i="81"/>
  <c r="Y501" i="81"/>
  <c r="Y495" i="81"/>
  <c r="Y490" i="81"/>
  <c r="Y485" i="81"/>
  <c r="Y479" i="81"/>
  <c r="Y474" i="81"/>
  <c r="Y469" i="81"/>
  <c r="Y463" i="81"/>
  <c r="Y458" i="81"/>
  <c r="Y453" i="81"/>
  <c r="Y445" i="81"/>
  <c r="Y440" i="81"/>
  <c r="Y435" i="81"/>
  <c r="Y429" i="81"/>
  <c r="Y424" i="81"/>
  <c r="Y419" i="81"/>
  <c r="Y413" i="81"/>
  <c r="Y408" i="81"/>
  <c r="Y403" i="81"/>
  <c r="Y397" i="81"/>
  <c r="Y392" i="81"/>
  <c r="Y387" i="81"/>
  <c r="Y381" i="81"/>
  <c r="Y376" i="81"/>
  <c r="Y371" i="81"/>
  <c r="Y365" i="81"/>
  <c r="Y360" i="81"/>
  <c r="Y355" i="81"/>
  <c r="Y349" i="81"/>
  <c r="Y344" i="81"/>
  <c r="Y339" i="81"/>
  <c r="Y333" i="81"/>
  <c r="Y328" i="81"/>
  <c r="Y323" i="81"/>
  <c r="Y317" i="81"/>
  <c r="Y312" i="81"/>
  <c r="Y307" i="81"/>
  <c r="Y301" i="81"/>
  <c r="Y296" i="81"/>
  <c r="Y291" i="81"/>
  <c r="Y285" i="81"/>
  <c r="Y280" i="81"/>
  <c r="Y275" i="81"/>
  <c r="Y269" i="81"/>
  <c r="Y264" i="81"/>
  <c r="Y259" i="81"/>
  <c r="Y253" i="81"/>
  <c r="Y248" i="81"/>
  <c r="Y243" i="81"/>
  <c r="Y237" i="81"/>
  <c r="Y232" i="81"/>
  <c r="Y227" i="81"/>
  <c r="Y221" i="81"/>
  <c r="Y216" i="81"/>
  <c r="Y211" i="81"/>
  <c r="Y205" i="81"/>
  <c r="Y200" i="81"/>
  <c r="Y195" i="81"/>
  <c r="Y189" i="81"/>
  <c r="Y184" i="81"/>
  <c r="Y179" i="81"/>
  <c r="Y173" i="81"/>
  <c r="Y168" i="81"/>
  <c r="Y163" i="81"/>
  <c r="Y157" i="81"/>
  <c r="Y152" i="81"/>
  <c r="Y147" i="81"/>
  <c r="Y141" i="81"/>
  <c r="Y136" i="81"/>
  <c r="Y131" i="81"/>
  <c r="Y125" i="81"/>
  <c r="Y120" i="81"/>
  <c r="Y115" i="81"/>
  <c r="Y111" i="81"/>
  <c r="Y107" i="81"/>
  <c r="Y103" i="81"/>
  <c r="Y99" i="81"/>
  <c r="Y95" i="81"/>
  <c r="Y91" i="81"/>
  <c r="Y87" i="81"/>
  <c r="Y83" i="81"/>
  <c r="Y79" i="81"/>
  <c r="Y75" i="81"/>
  <c r="Y71" i="81"/>
  <c r="Y67" i="81"/>
  <c r="Y63" i="81"/>
  <c r="Y59" i="81"/>
  <c r="Y55" i="81"/>
  <c r="Y51" i="81"/>
  <c r="Y47" i="81"/>
  <c r="Y43" i="81"/>
  <c r="Y39" i="81"/>
  <c r="Y35" i="81"/>
  <c r="Y31" i="81"/>
  <c r="Y27" i="81"/>
  <c r="Y23" i="81"/>
  <c r="Y19" i="81"/>
  <c r="Y15" i="81"/>
  <c r="Y11" i="81"/>
  <c r="Y7" i="81"/>
  <c r="Y885" i="81"/>
  <c r="Y878" i="81"/>
  <c r="Y870" i="81"/>
  <c r="Y864" i="81"/>
  <c r="Y857" i="81"/>
  <c r="Y849" i="81"/>
  <c r="Y842" i="81"/>
  <c r="Y836" i="81"/>
  <c r="Y828" i="81"/>
  <c r="Y821" i="81"/>
  <c r="Y814" i="81"/>
  <c r="Y806" i="81"/>
  <c r="Y800" i="81"/>
  <c r="Y793" i="81"/>
  <c r="Y785" i="81"/>
  <c r="Y778" i="81"/>
  <c r="Y772" i="81"/>
  <c r="Y764" i="81"/>
  <c r="Y757" i="81"/>
  <c r="Y750" i="81"/>
  <c r="Y742" i="81"/>
  <c r="Y736" i="81"/>
  <c r="Y729" i="81"/>
  <c r="Y721" i="81"/>
  <c r="Y714" i="81"/>
  <c r="Y708" i="81"/>
  <c r="Y700" i="81"/>
  <c r="Y693" i="81"/>
  <c r="Y686" i="81"/>
  <c r="Y678" i="81"/>
  <c r="Y672" i="81"/>
  <c r="Y869" i="81"/>
  <c r="Y841" i="81"/>
  <c r="Y812" i="81"/>
  <c r="Y784" i="81"/>
  <c r="Y756" i="81"/>
  <c r="Y726" i="81"/>
  <c r="Y698" i="81"/>
  <c r="Y670" i="81"/>
  <c r="Y656" i="81"/>
  <c r="Y641" i="81"/>
  <c r="Y628" i="81"/>
  <c r="Y613" i="81"/>
  <c r="Y598" i="81"/>
  <c r="Y585" i="81"/>
  <c r="Y570" i="81"/>
  <c r="Y556" i="81"/>
  <c r="Y543" i="81"/>
  <c r="Y530" i="81"/>
  <c r="Y519" i="81"/>
  <c r="Y509" i="81"/>
  <c r="Y498" i="81"/>
  <c r="Y487" i="81"/>
  <c r="Y477" i="81"/>
  <c r="Y466" i="81"/>
  <c r="Y455" i="81"/>
  <c r="Y443" i="81"/>
  <c r="Y432" i="81"/>
  <c r="Y421" i="81"/>
  <c r="Y411" i="81"/>
  <c r="Y400" i="81"/>
  <c r="Y389" i="81"/>
  <c r="Y379" i="81"/>
  <c r="Y368" i="81"/>
  <c r="Y357" i="81"/>
  <c r="Y347" i="81"/>
  <c r="Y336" i="81"/>
  <c r="Y325" i="81"/>
  <c r="Y315" i="81"/>
  <c r="Y304" i="81"/>
  <c r="Y293" i="81"/>
  <c r="Y283" i="81"/>
  <c r="Y272" i="81"/>
  <c r="Y261" i="81"/>
  <c r="Y251" i="81"/>
  <c r="Y240" i="81"/>
  <c r="Y229" i="81"/>
  <c r="Y219" i="81"/>
  <c r="Y208" i="81"/>
  <c r="Y197" i="81"/>
  <c r="Y187" i="81"/>
  <c r="Y176" i="81"/>
  <c r="Y165" i="81"/>
  <c r="Y155" i="81"/>
  <c r="Y144" i="81"/>
  <c r="Y133" i="81"/>
  <c r="Y123" i="81"/>
  <c r="Y113" i="81"/>
  <c r="Y105" i="81"/>
  <c r="Y97" i="81"/>
  <c r="Y89" i="81"/>
  <c r="Y81" i="81"/>
  <c r="Y73" i="81"/>
  <c r="Y65" i="81"/>
  <c r="Y57" i="81"/>
  <c r="Y49" i="81"/>
  <c r="Y41" i="81"/>
  <c r="Y33" i="81"/>
  <c r="Y25" i="81"/>
  <c r="Y17" i="81"/>
  <c r="Y9" i="81"/>
  <c r="Y862" i="81"/>
  <c r="Y833" i="81"/>
  <c r="Y805" i="81"/>
  <c r="Y777" i="81"/>
  <c r="Y748" i="81"/>
  <c r="Y720" i="81"/>
  <c r="Y692" i="81"/>
  <c r="Y665" i="81"/>
  <c r="Y650" i="81"/>
  <c r="Y636" i="81"/>
  <c r="Y622" i="81"/>
  <c r="Y608" i="81"/>
  <c r="Y593" i="81"/>
  <c r="Y580" i="81"/>
  <c r="Y565" i="81"/>
  <c r="Y550" i="81"/>
  <c r="Y539" i="81"/>
  <c r="Y526" i="81"/>
  <c r="Y515" i="81"/>
  <c r="Y505" i="81"/>
  <c r="Y494" i="81"/>
  <c r="Y483" i="81"/>
  <c r="Y473" i="81"/>
  <c r="Y462" i="81"/>
  <c r="Y449" i="81"/>
  <c r="Y439" i="81"/>
  <c r="Y428" i="81"/>
  <c r="Y417" i="81"/>
  <c r="Y407" i="81"/>
  <c r="Y396" i="81"/>
  <c r="Y385" i="81"/>
  <c r="Y375" i="81"/>
  <c r="Y364" i="81"/>
  <c r="Y353" i="81"/>
  <c r="Y343" i="81"/>
  <c r="Y332" i="81"/>
  <c r="Y321" i="81"/>
  <c r="Y311" i="81"/>
  <c r="Y300" i="81"/>
  <c r="Y289" i="81"/>
  <c r="Y279" i="81"/>
  <c r="Y268" i="81"/>
  <c r="Y257" i="81"/>
  <c r="Y247" i="81"/>
  <c r="Y236" i="81"/>
  <c r="Y225" i="81"/>
  <c r="Y215" i="81"/>
  <c r="Y204" i="81"/>
  <c r="Y193" i="81"/>
  <c r="Y183" i="81"/>
  <c r="Y172" i="81"/>
  <c r="Y161" i="81"/>
  <c r="Y151" i="81"/>
  <c r="Y140" i="81"/>
  <c r="Y129" i="81"/>
  <c r="Y119" i="81"/>
  <c r="Y110" i="81"/>
  <c r="Y102" i="81"/>
  <c r="Y94" i="81"/>
  <c r="Y86" i="81"/>
  <c r="Y78" i="81"/>
  <c r="Y70" i="81"/>
  <c r="Y62" i="81"/>
  <c r="Y54" i="81"/>
  <c r="Y46" i="81"/>
  <c r="Y38" i="81"/>
  <c r="Y30" i="81"/>
  <c r="Y22" i="81"/>
  <c r="Y14" i="81"/>
  <c r="Y884" i="81"/>
  <c r="Y854" i="81"/>
  <c r="Y826" i="81"/>
  <c r="Y798" i="81"/>
  <c r="Y769" i="81"/>
  <c r="Y741" i="81"/>
  <c r="Y713" i="81"/>
  <c r="Y684" i="81"/>
  <c r="Y662" i="81"/>
  <c r="Y649" i="81"/>
  <c r="Y634" i="81"/>
  <c r="Y620" i="81"/>
  <c r="Y606" i="81"/>
  <c r="Y592" i="81"/>
  <c r="Y577" i="81"/>
  <c r="Y564" i="81"/>
  <c r="Y549" i="81"/>
  <c r="Y535" i="81"/>
  <c r="Y525" i="81"/>
  <c r="Y514" i="81"/>
  <c r="Y503" i="81"/>
  <c r="Y493" i="81"/>
  <c r="Y482" i="81"/>
  <c r="Y471" i="81"/>
  <c r="Y461" i="81"/>
  <c r="Y448" i="81"/>
  <c r="Y437" i="81"/>
  <c r="Y427" i="81"/>
  <c r="Y416" i="81"/>
  <c r="Y405" i="81"/>
  <c r="Y395" i="81"/>
  <c r="Y384" i="81"/>
  <c r="Y373" i="81"/>
  <c r="Y363" i="81"/>
  <c r="Y352" i="81"/>
  <c r="Y341" i="81"/>
  <c r="Y331" i="81"/>
  <c r="Y320" i="81"/>
  <c r="Y309" i="81"/>
  <c r="Y299" i="81"/>
  <c r="Y288" i="81"/>
  <c r="Y277" i="81"/>
  <c r="Y267" i="81"/>
  <c r="Y256" i="81"/>
  <c r="Y245" i="81"/>
  <c r="Y235" i="81"/>
  <c r="Y224" i="81"/>
  <c r="Y213" i="81"/>
  <c r="Y203" i="81"/>
  <c r="Y192" i="81"/>
  <c r="Y181" i="81"/>
  <c r="Y171" i="81"/>
  <c r="Y160" i="81"/>
  <c r="Y149" i="81"/>
  <c r="Y139" i="81"/>
  <c r="Y128" i="81"/>
  <c r="Y117" i="81"/>
  <c r="Y109" i="81"/>
  <c r="Y101" i="81"/>
  <c r="Y93" i="81"/>
  <c r="Y85" i="81"/>
  <c r="Y77" i="81"/>
  <c r="Y69" i="81"/>
  <c r="Y61" i="81"/>
  <c r="Y53" i="81"/>
  <c r="Y45" i="81"/>
  <c r="Y37" i="81"/>
  <c r="Y29" i="81"/>
  <c r="Y21" i="81"/>
  <c r="Y13" i="81"/>
  <c r="Y876" i="81"/>
  <c r="Y848" i="81"/>
  <c r="Y820" i="81"/>
  <c r="Y790" i="81"/>
  <c r="Y762" i="81"/>
  <c r="Y734" i="81"/>
  <c r="Y705" i="81"/>
  <c r="Y677" i="81"/>
  <c r="Y657" i="81"/>
  <c r="Y644" i="81"/>
  <c r="Y629" i="81"/>
  <c r="Y614" i="81"/>
  <c r="Y601" i="81"/>
  <c r="Y586" i="81"/>
  <c r="Y572" i="81"/>
  <c r="Y558" i="81"/>
  <c r="Y544" i="81"/>
  <c r="Y531" i="81"/>
  <c r="Y521" i="81"/>
  <c r="Y510" i="81"/>
  <c r="Y499" i="81"/>
  <c r="Y489" i="81"/>
  <c r="Y478" i="81"/>
  <c r="Y467" i="81"/>
  <c r="Y457" i="81"/>
  <c r="Y444" i="81"/>
  <c r="Y433" i="81"/>
  <c r="Y423" i="81"/>
  <c r="Y412" i="81"/>
  <c r="Y401" i="81"/>
  <c r="Y391" i="81"/>
  <c r="Y380" i="81"/>
  <c r="Y369" i="81"/>
  <c r="Y359" i="81"/>
  <c r="Y348" i="81"/>
  <c r="Y337" i="81"/>
  <c r="Y327" i="81"/>
  <c r="Y316" i="81"/>
  <c r="Y305" i="81"/>
  <c r="Y295" i="81"/>
  <c r="Y284" i="81"/>
  <c r="Y273" i="81"/>
  <c r="Y263" i="81"/>
  <c r="Y252" i="81"/>
  <c r="Y241" i="81"/>
  <c r="Y231" i="81"/>
  <c r="Y220" i="81"/>
  <c r="Y209" i="81"/>
  <c r="Y199" i="81"/>
  <c r="Y188" i="81"/>
  <c r="Y177" i="81"/>
  <c r="Y167" i="81"/>
  <c r="Y156" i="81"/>
  <c r="Y145" i="81"/>
  <c r="Y135" i="81"/>
  <c r="Y124" i="81"/>
  <c r="Y114" i="81"/>
  <c r="Y106" i="81"/>
  <c r="Y98" i="81"/>
  <c r="Y90" i="81"/>
  <c r="Y82" i="81"/>
  <c r="Y74" i="81"/>
  <c r="Y66" i="81"/>
  <c r="Y58" i="81"/>
  <c r="Y50" i="81"/>
  <c r="Y42" i="81"/>
  <c r="Y34" i="81"/>
  <c r="Y26" i="81"/>
  <c r="Y18" i="81"/>
  <c r="Y10" i="81"/>
  <c r="C37" i="11"/>
  <c r="D37" i="11" s="1"/>
  <c r="F26" i="61"/>
  <c r="F25" i="61"/>
  <c r="C31" i="48" l="1"/>
  <c r="F73" i="57" l="1"/>
  <c r="I74" i="16" s="1"/>
  <c r="F72" i="57"/>
  <c r="I73" i="16" s="1"/>
  <c r="E74" i="57"/>
  <c r="D74" i="57"/>
  <c r="C74" i="57"/>
  <c r="F42" i="57"/>
  <c r="I43" i="16" s="1"/>
  <c r="F41" i="57"/>
  <c r="I42" i="16" s="1"/>
  <c r="E43" i="57"/>
  <c r="D43" i="57"/>
  <c r="C43" i="57"/>
  <c r="H73" i="54"/>
  <c r="G74" i="16" s="1"/>
  <c r="H72" i="54"/>
  <c r="H74" i="54" s="1"/>
  <c r="G74" i="54"/>
  <c r="F74" i="54"/>
  <c r="E74" i="54"/>
  <c r="D74" i="54"/>
  <c r="H42" i="54"/>
  <c r="G43" i="16" s="1"/>
  <c r="H43" i="16" s="1"/>
  <c r="C30" i="11" s="1"/>
  <c r="H41" i="54"/>
  <c r="G42" i="16" s="1"/>
  <c r="H42" i="16" s="1"/>
  <c r="C29" i="11" s="1"/>
  <c r="G43" i="54"/>
  <c r="F43" i="54"/>
  <c r="E43" i="54"/>
  <c r="D43" i="54"/>
  <c r="F75" i="16"/>
  <c r="E75" i="16"/>
  <c r="D75" i="16"/>
  <c r="C75" i="16"/>
  <c r="F44" i="16"/>
  <c r="E44" i="16"/>
  <c r="D44" i="16"/>
  <c r="C44" i="16"/>
  <c r="G48" i="11"/>
  <c r="F48" i="11"/>
  <c r="G31" i="11"/>
  <c r="F31" i="11"/>
  <c r="L30" i="66"/>
  <c r="K30" i="66"/>
  <c r="J30" i="66"/>
  <c r="I30" i="66"/>
  <c r="H30" i="66"/>
  <c r="G30" i="66"/>
  <c r="F30" i="66"/>
  <c r="E30" i="66"/>
  <c r="L51" i="66"/>
  <c r="K51" i="66"/>
  <c r="J51" i="66"/>
  <c r="I51" i="66"/>
  <c r="H51" i="66"/>
  <c r="G51" i="66"/>
  <c r="F51" i="66"/>
  <c r="E51" i="66"/>
  <c r="E64" i="66" l="1"/>
  <c r="H43" i="54"/>
  <c r="I44" i="16"/>
  <c r="I75" i="16"/>
  <c r="C31" i="11"/>
  <c r="G73" i="16"/>
  <c r="H73" i="16" s="1"/>
  <c r="C46" i="11" s="1"/>
  <c r="F74" i="57"/>
  <c r="AA534" i="81" s="1"/>
  <c r="F43" i="57"/>
  <c r="AA530" i="81" s="1"/>
  <c r="H74" i="16"/>
  <c r="C47" i="11" s="1"/>
  <c r="H44" i="16"/>
  <c r="AA445" i="81" s="1"/>
  <c r="G44" i="16"/>
  <c r="AB530" i="81" l="1"/>
  <c r="AC530" i="81" s="1"/>
  <c r="E626" i="83"/>
  <c r="H628" i="83" s="1"/>
  <c r="AB534" i="81"/>
  <c r="AC534" i="81" s="1"/>
  <c r="E630" i="83"/>
  <c r="H631" i="83" s="1"/>
  <c r="G75" i="16"/>
  <c r="AB445" i="81"/>
  <c r="AC445" i="81" s="1"/>
  <c r="E543" i="83"/>
  <c r="H546" i="83" s="1"/>
  <c r="C48" i="11"/>
  <c r="H75" i="16"/>
  <c r="AA449" i="81" s="1"/>
  <c r="AB449" i="81" l="1"/>
  <c r="AC449" i="81" s="1"/>
  <c r="E547" i="83"/>
  <c r="H549" i="83" s="1"/>
  <c r="N49" i="50"/>
  <c r="N48" i="50"/>
  <c r="C50" i="50"/>
  <c r="M50" i="50"/>
  <c r="L50" i="50"/>
  <c r="K50" i="50"/>
  <c r="J50" i="50"/>
  <c r="I50" i="50"/>
  <c r="H50" i="50"/>
  <c r="G50" i="50"/>
  <c r="F50" i="50"/>
  <c r="E50" i="50"/>
  <c r="D50" i="50"/>
  <c r="N30" i="50"/>
  <c r="N29" i="50"/>
  <c r="M31" i="50"/>
  <c r="L31" i="50"/>
  <c r="K31" i="50"/>
  <c r="J31" i="50"/>
  <c r="I31" i="50"/>
  <c r="H31" i="50"/>
  <c r="G31" i="50"/>
  <c r="F31" i="50"/>
  <c r="E31" i="50"/>
  <c r="D31" i="50"/>
  <c r="C31" i="50"/>
  <c r="H50" i="48"/>
  <c r="G50" i="48"/>
  <c r="F50" i="48"/>
  <c r="E50" i="48"/>
  <c r="D50" i="48"/>
  <c r="C50" i="48"/>
  <c r="H31" i="48"/>
  <c r="G31" i="48"/>
  <c r="F31" i="48"/>
  <c r="E31" i="48"/>
  <c r="D31" i="48"/>
  <c r="BN51" i="45"/>
  <c r="BN50" i="45"/>
  <c r="C33" i="45"/>
  <c r="BM52" i="45"/>
  <c r="BL52" i="45"/>
  <c r="BK52" i="45"/>
  <c r="BJ52" i="45"/>
  <c r="BI52" i="45"/>
  <c r="BH52" i="45"/>
  <c r="BG52" i="45"/>
  <c r="BF52" i="45"/>
  <c r="BE52" i="45"/>
  <c r="BD52" i="45"/>
  <c r="BC52" i="45"/>
  <c r="BB52" i="45"/>
  <c r="BA52" i="45"/>
  <c r="AZ52" i="45"/>
  <c r="AY52"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P52" i="45"/>
  <c r="O52" i="45"/>
  <c r="N52" i="45"/>
  <c r="M52" i="45"/>
  <c r="L52" i="45"/>
  <c r="K52" i="45"/>
  <c r="J52" i="45"/>
  <c r="I52" i="45"/>
  <c r="H52" i="45"/>
  <c r="G52" i="45"/>
  <c r="F52" i="45"/>
  <c r="E52" i="45"/>
  <c r="D52" i="45"/>
  <c r="C52" i="45"/>
  <c r="BN32" i="45"/>
  <c r="BN31"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P33" i="45"/>
  <c r="O33" i="45"/>
  <c r="N33" i="45"/>
  <c r="M33" i="45"/>
  <c r="L33" i="45"/>
  <c r="K33" i="45"/>
  <c r="J33" i="45"/>
  <c r="I33" i="45"/>
  <c r="H33" i="45"/>
  <c r="G33" i="45"/>
  <c r="F33" i="45"/>
  <c r="E33" i="45"/>
  <c r="D33" i="45"/>
  <c r="K50" i="13"/>
  <c r="J50" i="13"/>
  <c r="I50" i="13"/>
  <c r="H50" i="13"/>
  <c r="AC51" i="80" s="1"/>
  <c r="BE51" i="80" s="1"/>
  <c r="G50" i="13"/>
  <c r="T51" i="80" s="1"/>
  <c r="F50" i="13"/>
  <c r="M51" i="80" s="1"/>
  <c r="E50" i="13"/>
  <c r="F51" i="80" s="1"/>
  <c r="D50" i="13"/>
  <c r="AA18" i="81" s="1"/>
  <c r="K31" i="13"/>
  <c r="J31" i="13"/>
  <c r="I31" i="13"/>
  <c r="H31" i="13"/>
  <c r="AC47" i="80" s="1"/>
  <c r="BE47" i="80" s="1"/>
  <c r="G31" i="13"/>
  <c r="T47" i="80" s="1"/>
  <c r="F31" i="13"/>
  <c r="M47" i="80" s="1"/>
  <c r="E31" i="13"/>
  <c r="D31" i="13"/>
  <c r="AA14" i="81" s="1"/>
  <c r="E19" i="83" s="1"/>
  <c r="H22" i="83" s="1"/>
  <c r="H48" i="52"/>
  <c r="H49" i="52"/>
  <c r="G50" i="52"/>
  <c r="F50" i="52"/>
  <c r="E50" i="52"/>
  <c r="D50" i="52"/>
  <c r="C50" i="52"/>
  <c r="H30" i="52"/>
  <c r="H29" i="52"/>
  <c r="G31" i="52"/>
  <c r="F31" i="52"/>
  <c r="E31" i="52"/>
  <c r="D31" i="52"/>
  <c r="C31" i="52"/>
  <c r="N31" i="50" l="1"/>
  <c r="AA311" i="81" s="1"/>
  <c r="AB311" i="81" s="1"/>
  <c r="AC311" i="81" s="1"/>
  <c r="BC51" i="80"/>
  <c r="E412" i="83"/>
  <c r="H415" i="83" s="1"/>
  <c r="BN52" i="45"/>
  <c r="AC14" i="81"/>
  <c r="AB14" i="81"/>
  <c r="G47" i="80"/>
  <c r="BD47" i="80" s="1"/>
  <c r="F47" i="80"/>
  <c r="BC47" i="80" s="1"/>
  <c r="N50" i="50"/>
  <c r="AA315" i="81" s="1"/>
  <c r="M31" i="48"/>
  <c r="L29" i="13"/>
  <c r="M29" i="13" s="1"/>
  <c r="C28" i="66" s="1"/>
  <c r="BN33" i="45"/>
  <c r="H50" i="52"/>
  <c r="AA768" i="81" s="1"/>
  <c r="L49" i="13"/>
  <c r="M49" i="13" s="1"/>
  <c r="C50" i="66" s="1"/>
  <c r="M50" i="48"/>
  <c r="AA182" i="81" s="1"/>
  <c r="L48" i="13"/>
  <c r="L30" i="13"/>
  <c r="M30" i="13" s="1"/>
  <c r="C29" i="66" s="1"/>
  <c r="M29" i="66" s="1"/>
  <c r="B30" i="11" s="1"/>
  <c r="D30" i="11" s="1"/>
  <c r="H31" i="52"/>
  <c r="AA764" i="81" s="1"/>
  <c r="AA85" i="81" l="1"/>
  <c r="AB85" i="81" s="1"/>
  <c r="AC85" i="81" s="1"/>
  <c r="E808" i="83"/>
  <c r="H808" i="83" s="1"/>
  <c r="AB764" i="81"/>
  <c r="AC764" i="81" s="1"/>
  <c r="AB768" i="81"/>
  <c r="AC768" i="81" s="1"/>
  <c r="E812" i="83"/>
  <c r="H811" i="83" s="1"/>
  <c r="AB315" i="81"/>
  <c r="AC315" i="81" s="1"/>
  <c r="E416" i="83"/>
  <c r="H418" i="83" s="1"/>
  <c r="AB18" i="81"/>
  <c r="E23" i="83"/>
  <c r="H25" i="83" s="1"/>
  <c r="AB182" i="81"/>
  <c r="AC182" i="81" s="1"/>
  <c r="E285" i="83"/>
  <c r="H287" i="83" s="1"/>
  <c r="AC18" i="81"/>
  <c r="AA178" i="81"/>
  <c r="AA81" i="81"/>
  <c r="M50" i="66"/>
  <c r="B47" i="11" s="1"/>
  <c r="D47" i="11" s="1"/>
  <c r="D11" i="67"/>
  <c r="C30" i="66"/>
  <c r="M28" i="66"/>
  <c r="M31" i="13"/>
  <c r="M48" i="13"/>
  <c r="L50" i="13"/>
  <c r="L31" i="13"/>
  <c r="A8" i="3"/>
  <c r="A7" i="3"/>
  <c r="A6" i="3"/>
  <c r="A2" i="3"/>
  <c r="E154" i="83" l="1"/>
  <c r="H156" i="83" s="1"/>
  <c r="AB81" i="81"/>
  <c r="AC81" i="81" s="1"/>
  <c r="E150" i="83"/>
  <c r="H153" i="83" s="1"/>
  <c r="AB178" i="81"/>
  <c r="AC178" i="81" s="1"/>
  <c r="E281" i="83"/>
  <c r="H284" i="83" s="1"/>
  <c r="M30" i="66"/>
  <c r="B29" i="11"/>
  <c r="M50" i="13"/>
  <c r="M80" i="13" s="1"/>
  <c r="C49" i="66"/>
  <c r="AA1" i="42"/>
  <c r="W1" i="42"/>
  <c r="S1" i="42"/>
  <c r="O1" i="42"/>
  <c r="K1" i="42"/>
  <c r="G1" i="42"/>
  <c r="C1" i="42"/>
  <c r="D29" i="11" l="1"/>
  <c r="D31" i="11" s="1"/>
  <c r="B31" i="11"/>
  <c r="M49" i="66"/>
  <c r="C51" i="66"/>
  <c r="I31" i="28"/>
  <c r="I30" i="28"/>
  <c r="I29" i="28"/>
  <c r="I28" i="28"/>
  <c r="N29" i="68"/>
  <c r="N26" i="68"/>
  <c r="H46" i="12" s="1"/>
  <c r="J46" i="12" s="1"/>
  <c r="N20" i="68"/>
  <c r="N19" i="68"/>
  <c r="N18" i="68"/>
  <c r="N17" i="68"/>
  <c r="N16" i="68"/>
  <c r="N15" i="68"/>
  <c r="N14" i="68"/>
  <c r="N13" i="68"/>
  <c r="N12" i="68"/>
  <c r="N11" i="68"/>
  <c r="G34" i="58"/>
  <c r="AA585" i="81" s="1"/>
  <c r="H34" i="55"/>
  <c r="G34" i="17" s="1"/>
  <c r="H34" i="17" s="1"/>
  <c r="AA500" i="81" s="1"/>
  <c r="M22" i="68"/>
  <c r="G39" i="58"/>
  <c r="I39" i="17" s="1"/>
  <c r="G38" i="58"/>
  <c r="G37" i="58"/>
  <c r="G36" i="58"/>
  <c r="H38" i="55"/>
  <c r="G38" i="17" s="1"/>
  <c r="H38" i="17" s="1"/>
  <c r="H37" i="55"/>
  <c r="G37" i="17" s="1"/>
  <c r="H37" i="17" s="1"/>
  <c r="H36" i="55"/>
  <c r="G36" i="17" s="1"/>
  <c r="H36" i="17" s="1"/>
  <c r="H46" i="53"/>
  <c r="H45" i="53"/>
  <c r="H44" i="53"/>
  <c r="H43" i="53"/>
  <c r="AA820" i="81" s="1"/>
  <c r="AW46" i="51"/>
  <c r="AV46" i="51"/>
  <c r="AU46" i="51"/>
  <c r="AT46" i="51"/>
  <c r="AW45" i="51"/>
  <c r="AV45" i="51"/>
  <c r="AU45" i="51"/>
  <c r="AT45" i="51"/>
  <c r="AW44" i="51"/>
  <c r="AA367" i="81" s="1"/>
  <c r="AV44" i="51"/>
  <c r="AU44" i="51"/>
  <c r="AT44" i="51"/>
  <c r="AW43" i="51"/>
  <c r="AA366" i="81" s="1"/>
  <c r="AV43" i="51"/>
  <c r="AU43" i="51"/>
  <c r="AT43" i="51"/>
  <c r="AP46" i="51"/>
  <c r="AP45" i="51"/>
  <c r="AP44" i="51"/>
  <c r="AP43" i="51"/>
  <c r="AL46" i="51"/>
  <c r="AL45" i="51"/>
  <c r="AL44" i="51"/>
  <c r="AL43" i="51"/>
  <c r="AH46" i="51"/>
  <c r="AH45" i="51"/>
  <c r="AH44" i="51"/>
  <c r="AH43" i="51"/>
  <c r="AD46" i="51"/>
  <c r="AD45" i="51"/>
  <c r="AD44" i="51"/>
  <c r="AD43" i="51"/>
  <c r="Z46" i="51"/>
  <c r="Z45" i="51"/>
  <c r="Z44" i="51"/>
  <c r="Z43" i="51"/>
  <c r="V46" i="51"/>
  <c r="V45" i="51"/>
  <c r="V44" i="51"/>
  <c r="V43" i="51"/>
  <c r="R46" i="51"/>
  <c r="R45" i="51"/>
  <c r="R44" i="51"/>
  <c r="R43" i="51"/>
  <c r="N46" i="51"/>
  <c r="N45" i="51"/>
  <c r="N44" i="51"/>
  <c r="N43" i="51"/>
  <c r="J46" i="51"/>
  <c r="J45" i="51"/>
  <c r="J44" i="51"/>
  <c r="J43" i="51"/>
  <c r="F46" i="51"/>
  <c r="F45" i="51"/>
  <c r="F44" i="51"/>
  <c r="F43" i="51"/>
  <c r="AX43" i="51" s="1"/>
  <c r="IS51" i="47"/>
  <c r="IR51" i="47"/>
  <c r="IQ51" i="47"/>
  <c r="IS50" i="47"/>
  <c r="AA112" i="81" s="1"/>
  <c r="IR50" i="47"/>
  <c r="IQ50" i="47"/>
  <c r="IS49" i="47"/>
  <c r="AA111" i="81" s="1"/>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IT51" i="47" s="1"/>
  <c r="F50" i="47"/>
  <c r="IT50" i="47" s="1"/>
  <c r="F49" i="47"/>
  <c r="IT49" i="47" s="1"/>
  <c r="F48" i="47"/>
  <c r="IT48" i="47" s="1"/>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61" i="11"/>
  <c r="D63" i="11"/>
  <c r="D55" i="11"/>
  <c r="M64" i="13"/>
  <c r="M62" i="13"/>
  <c r="F124" i="77"/>
  <c r="E124" i="77"/>
  <c r="D124" i="77"/>
  <c r="C124" i="77"/>
  <c r="F119" i="77"/>
  <c r="E119" i="77"/>
  <c r="D119" i="77"/>
  <c r="C119" i="77"/>
  <c r="C84" i="77"/>
  <c r="C69" i="77"/>
  <c r="C65" i="77"/>
  <c r="C61" i="77"/>
  <c r="L47" i="37"/>
  <c r="L35" i="37"/>
  <c r="L22" i="37"/>
  <c r="L36" i="37"/>
  <c r="L34" i="37"/>
  <c r="L33" i="37"/>
  <c r="L32" i="37"/>
  <c r="L31" i="37"/>
  <c r="L30" i="37"/>
  <c r="L28" i="37"/>
  <c r="L23" i="37"/>
  <c r="L21" i="37"/>
  <c r="L20" i="37"/>
  <c r="L19" i="37"/>
  <c r="L18" i="37"/>
  <c r="L15" i="37"/>
  <c r="L13" i="37"/>
  <c r="L14" i="37"/>
  <c r="L42" i="37"/>
  <c r="L43" i="37"/>
  <c r="L44" i="37"/>
  <c r="L45" i="37"/>
  <c r="L46" i="37"/>
  <c r="L52" i="37"/>
  <c r="H53" i="52"/>
  <c r="N53" i="50"/>
  <c r="M70" i="13"/>
  <c r="M69" i="13"/>
  <c r="M68" i="13"/>
  <c r="M66" i="13"/>
  <c r="M65" i="13"/>
  <c r="M63" i="13"/>
  <c r="M60" i="13"/>
  <c r="M59" i="13"/>
  <c r="M58" i="13"/>
  <c r="M57" i="13"/>
  <c r="M56" i="13"/>
  <c r="M54" i="13"/>
  <c r="BN58" i="45"/>
  <c r="BN56" i="45"/>
  <c r="BN55" i="45"/>
  <c r="F26" i="66"/>
  <c r="I3" i="75"/>
  <c r="E75" i="65"/>
  <c r="G10" i="55"/>
  <c r="E8" i="56" s="1"/>
  <c r="G9" i="55"/>
  <c r="E7" i="56" s="1"/>
  <c r="F10" i="55"/>
  <c r="D8" i="56" s="1"/>
  <c r="F9" i="55"/>
  <c r="D7" i="56" s="1"/>
  <c r="E10" i="55"/>
  <c r="C8" i="56" s="1"/>
  <c r="E9" i="55"/>
  <c r="C7" i="56" s="1"/>
  <c r="D10" i="55"/>
  <c r="B8" i="56" s="1"/>
  <c r="D9" i="55"/>
  <c r="B7" i="56" s="1"/>
  <c r="E44" i="18"/>
  <c r="D44" i="18"/>
  <c r="D56" i="18" s="1"/>
  <c r="C44" i="18"/>
  <c r="C56" i="18" s="1"/>
  <c r="B44" i="18"/>
  <c r="B56" i="18" s="1"/>
  <c r="E35" i="18"/>
  <c r="D35" i="18"/>
  <c r="C35" i="18"/>
  <c r="C36" i="18" s="1"/>
  <c r="B35" i="18"/>
  <c r="B36" i="18" s="1"/>
  <c r="E28" i="18"/>
  <c r="D28" i="18"/>
  <c r="C28" i="18"/>
  <c r="B28" i="18"/>
  <c r="E25" i="18"/>
  <c r="D25" i="18"/>
  <c r="D31" i="18" s="1"/>
  <c r="C25" i="18"/>
  <c r="C31" i="18" s="1"/>
  <c r="E21" i="18"/>
  <c r="D21" i="18"/>
  <c r="C21" i="18"/>
  <c r="B21" i="18"/>
  <c r="B22" i="18" s="1"/>
  <c r="E19" i="18"/>
  <c r="E22" i="18" s="1"/>
  <c r="D19" i="18"/>
  <c r="C22" i="18"/>
  <c r="E14" i="18"/>
  <c r="E13" i="18"/>
  <c r="D14" i="18"/>
  <c r="D13" i="18"/>
  <c r="C14" i="18"/>
  <c r="C13" i="18"/>
  <c r="B13" i="18"/>
  <c r="B14" i="18"/>
  <c r="B3" i="12"/>
  <c r="A4" i="66" s="1"/>
  <c r="A4" i="4"/>
  <c r="A3" i="11" s="1"/>
  <c r="A3" i="61" s="1"/>
  <c r="A1" i="4"/>
  <c r="E10" i="18"/>
  <c r="E9" i="18"/>
  <c r="D10" i="18"/>
  <c r="D9" i="18"/>
  <c r="C10" i="18"/>
  <c r="C9" i="18"/>
  <c r="B10" i="18"/>
  <c r="B9" i="18"/>
  <c r="H65" i="54"/>
  <c r="G66" i="16" s="1"/>
  <c r="H66" i="16" s="1"/>
  <c r="AA452" i="81" s="1"/>
  <c r="F10" i="58"/>
  <c r="D8" i="59" s="1"/>
  <c r="F9" i="58"/>
  <c r="D7" i="59" s="1"/>
  <c r="E10" i="58"/>
  <c r="C8" i="59" s="1"/>
  <c r="E9" i="58"/>
  <c r="C7" i="59" s="1"/>
  <c r="D10" i="58"/>
  <c r="B8" i="59" s="1"/>
  <c r="D9" i="58"/>
  <c r="B7" i="59" s="1"/>
  <c r="H23" i="55"/>
  <c r="G23" i="17" s="1"/>
  <c r="F9" i="70"/>
  <c r="G15" i="75"/>
  <c r="I15" i="75" s="1"/>
  <c r="M15" i="75" s="1"/>
  <c r="O15" i="75" s="1"/>
  <c r="Q15" i="75" s="1"/>
  <c r="G14" i="75"/>
  <c r="I14" i="75" s="1"/>
  <c r="M14" i="75" s="1"/>
  <c r="G13" i="75"/>
  <c r="I13" i="75" s="1"/>
  <c r="M13" i="75" s="1"/>
  <c r="O13" i="75" s="1"/>
  <c r="Q13" i="75" s="1"/>
  <c r="G12" i="75"/>
  <c r="I12" i="75"/>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F10" i="17"/>
  <c r="F9" i="17"/>
  <c r="E10" i="17"/>
  <c r="E9" i="17"/>
  <c r="D10" i="17"/>
  <c r="D9" i="17"/>
  <c r="C10" i="17"/>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J20" i="29"/>
  <c r="J19" i="29"/>
  <c r="J18" i="29"/>
  <c r="J17" i="29"/>
  <c r="J16" i="29"/>
  <c r="J15" i="29"/>
  <c r="J14" i="29"/>
  <c r="J13" i="29"/>
  <c r="J12" i="29"/>
  <c r="J40" i="30"/>
  <c r="M32" i="38" s="1"/>
  <c r="J24" i="30"/>
  <c r="F21" i="30"/>
  <c r="A49" i="7"/>
  <c r="H11" i="69"/>
  <c r="B23" i="11" s="1"/>
  <c r="H12" i="69"/>
  <c r="B24" i="11" s="1"/>
  <c r="H13" i="69"/>
  <c r="H19" i="69"/>
  <c r="H22" i="69"/>
  <c r="H25" i="69"/>
  <c r="H16" i="69"/>
  <c r="H14" i="69"/>
  <c r="H20" i="69"/>
  <c r="H23" i="69"/>
  <c r="H26" i="69"/>
  <c r="H17" i="69"/>
  <c r="M28" i="28" s="1"/>
  <c r="F20" i="70"/>
  <c r="F21" i="70"/>
  <c r="F22" i="70"/>
  <c r="F23" i="70"/>
  <c r="F24" i="70"/>
  <c r="F25" i="70"/>
  <c r="F26" i="70"/>
  <c r="F27" i="70"/>
  <c r="F28" i="70"/>
  <c r="F29" i="70"/>
  <c r="F30" i="70"/>
  <c r="F31" i="70"/>
  <c r="F32" i="70"/>
  <c r="F33" i="70"/>
  <c r="F34" i="70"/>
  <c r="F35" i="70"/>
  <c r="F36" i="70"/>
  <c r="F37" i="70"/>
  <c r="F39" i="70"/>
  <c r="F40" i="70"/>
  <c r="F41" i="70"/>
  <c r="M44" i="66"/>
  <c r="B40" i="11" s="1"/>
  <c r="L47" i="66"/>
  <c r="L68" i="66"/>
  <c r="K47" i="66"/>
  <c r="K68" i="66"/>
  <c r="J47" i="66"/>
  <c r="J68" i="66"/>
  <c r="I47" i="66"/>
  <c r="H47" i="66"/>
  <c r="E47" i="66"/>
  <c r="E68" i="66"/>
  <c r="L26" i="66"/>
  <c r="K26" i="66"/>
  <c r="J26" i="66"/>
  <c r="G26" i="66"/>
  <c r="E26" i="66"/>
  <c r="M63" i="66"/>
  <c r="M65" i="66"/>
  <c r="M66" i="66"/>
  <c r="BN43" i="45"/>
  <c r="N41" i="50"/>
  <c r="H41" i="52"/>
  <c r="BN12" i="45"/>
  <c r="N10" i="50"/>
  <c r="H10" i="52"/>
  <c r="BN13" i="45"/>
  <c r="N11" i="50"/>
  <c r="H11" i="52"/>
  <c r="BN41" i="45"/>
  <c r="N39" i="50"/>
  <c r="H39" i="52"/>
  <c r="BN44" i="45"/>
  <c r="N42" i="50"/>
  <c r="H42" i="52"/>
  <c r="BN37" i="45"/>
  <c r="N35" i="50"/>
  <c r="H35" i="52"/>
  <c r="BN57" i="45"/>
  <c r="N54" i="50"/>
  <c r="N55" i="50"/>
  <c r="M60" i="66"/>
  <c r="N56"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AA75" i="81" s="1"/>
  <c r="N19" i="50"/>
  <c r="AA305" i="81" s="1"/>
  <c r="H19" i="52"/>
  <c r="AA757" i="81" s="1"/>
  <c r="BN22" i="45"/>
  <c r="N20" i="50"/>
  <c r="AA306" i="81" s="1"/>
  <c r="H20" i="52"/>
  <c r="BN23" i="45"/>
  <c r="N21" i="50"/>
  <c r="H21" i="52"/>
  <c r="BN24" i="45"/>
  <c r="N22" i="50"/>
  <c r="H22" i="52"/>
  <c r="BN25" i="45"/>
  <c r="AA77" i="81" s="1"/>
  <c r="N23" i="50"/>
  <c r="AA307" i="81" s="1"/>
  <c r="H23" i="52"/>
  <c r="AA759" i="81" s="1"/>
  <c r="BN26" i="45"/>
  <c r="AA78" i="81" s="1"/>
  <c r="N24" i="50"/>
  <c r="AA308" i="81" s="1"/>
  <c r="H24" i="52"/>
  <c r="AA760" i="81" s="1"/>
  <c r="BN27" i="45"/>
  <c r="AA80" i="81" s="1"/>
  <c r="AB80" i="81" s="1"/>
  <c r="AC80" i="81" s="1"/>
  <c r="N25" i="50"/>
  <c r="AA310" i="81" s="1"/>
  <c r="AB310" i="81" s="1"/>
  <c r="AC310" i="81" s="1"/>
  <c r="H25" i="52"/>
  <c r="AA762" i="81" s="1"/>
  <c r="H54" i="52"/>
  <c r="M61" i="66"/>
  <c r="H55" i="52"/>
  <c r="H56" i="52"/>
  <c r="N57" i="50"/>
  <c r="H57" i="52"/>
  <c r="BN36" i="45"/>
  <c r="N34" i="50"/>
  <c r="H34" i="52"/>
  <c r="BN39" i="45"/>
  <c r="N37" i="50"/>
  <c r="H37" i="52"/>
  <c r="BN42" i="45"/>
  <c r="AA83" i="81" s="1"/>
  <c r="N40" i="50"/>
  <c r="H40" i="52"/>
  <c r="AA766" i="81" s="1"/>
  <c r="BN40" i="45"/>
  <c r="N38" i="50"/>
  <c r="H38" i="52"/>
  <c r="BN46" i="45"/>
  <c r="AA86" i="81" s="1"/>
  <c r="N44" i="50"/>
  <c r="AA316" i="81" s="1"/>
  <c r="H44" i="52"/>
  <c r="AA769" i="81" s="1"/>
  <c r="N36" i="50"/>
  <c r="M45" i="50"/>
  <c r="L45" i="50"/>
  <c r="K45" i="50"/>
  <c r="J45" i="50"/>
  <c r="I45" i="50"/>
  <c r="H45" i="50"/>
  <c r="H59" i="50" s="1"/>
  <c r="G45" i="50"/>
  <c r="G59" i="50" s="1"/>
  <c r="F45" i="50"/>
  <c r="E45" i="50"/>
  <c r="D45" i="50"/>
  <c r="D59" i="50" s="1"/>
  <c r="M58" i="50"/>
  <c r="L58" i="50"/>
  <c r="K58" i="50"/>
  <c r="J58" i="50"/>
  <c r="I58" i="50"/>
  <c r="H58" i="50"/>
  <c r="G58" i="50"/>
  <c r="F58" i="50"/>
  <c r="E58" i="50"/>
  <c r="D58" i="50"/>
  <c r="M26" i="50"/>
  <c r="L26" i="50"/>
  <c r="K26" i="50"/>
  <c r="J26" i="50"/>
  <c r="I26" i="50"/>
  <c r="H26" i="50"/>
  <c r="G26" i="50"/>
  <c r="F26" i="50"/>
  <c r="E26" i="50"/>
  <c r="D26" i="50"/>
  <c r="C45" i="50"/>
  <c r="C58" i="50"/>
  <c r="C26" i="50"/>
  <c r="H45" i="48"/>
  <c r="G45" i="48"/>
  <c r="F45" i="48"/>
  <c r="E45" i="48"/>
  <c r="D45" i="48"/>
  <c r="C45" i="48"/>
  <c r="H26" i="48"/>
  <c r="G26" i="48"/>
  <c r="G57" i="48" s="1"/>
  <c r="G58" i="48" s="1"/>
  <c r="F26" i="48"/>
  <c r="E26" i="48"/>
  <c r="E57" i="48" s="1"/>
  <c r="E58" i="48" s="1"/>
  <c r="D26" i="48"/>
  <c r="C26" i="48"/>
  <c r="C57" i="48" s="1"/>
  <c r="BN38" i="45"/>
  <c r="BM47" i="45"/>
  <c r="BM60" i="45"/>
  <c r="BL47" i="45"/>
  <c r="BK47" i="45"/>
  <c r="BM28" i="45"/>
  <c r="BL28" i="45"/>
  <c r="BK28" i="45"/>
  <c r="BK59" i="45" s="1"/>
  <c r="BK60" i="45" s="1"/>
  <c r="BK61" i="45" s="1"/>
  <c r="BJ47" i="45"/>
  <c r="BI47" i="45"/>
  <c r="BH47" i="45"/>
  <c r="BG47" i="45"/>
  <c r="BJ28" i="45"/>
  <c r="BI28" i="45"/>
  <c r="BI59" i="45" s="1"/>
  <c r="BI60" i="45" s="1"/>
  <c r="BI61" i="45" s="1"/>
  <c r="BH28" i="45"/>
  <c r="BG28" i="45"/>
  <c r="BG59" i="45" s="1"/>
  <c r="BG60" i="45" s="1"/>
  <c r="BG61" i="45" s="1"/>
  <c r="BF47" i="45"/>
  <c r="BE47" i="45"/>
  <c r="BD47" i="45"/>
  <c r="BC47" i="45"/>
  <c r="BF28" i="45"/>
  <c r="BF59" i="45" s="1"/>
  <c r="BF60" i="45" s="1"/>
  <c r="BF61" i="45" s="1"/>
  <c r="BE28" i="45"/>
  <c r="BE59" i="45" s="1"/>
  <c r="BE60" i="45" s="1"/>
  <c r="BE61" i="45" s="1"/>
  <c r="BD28" i="45"/>
  <c r="BC28" i="45"/>
  <c r="BC59" i="45" s="1"/>
  <c r="BC60" i="45" s="1"/>
  <c r="BC61" i="45" s="1"/>
  <c r="BB47" i="45"/>
  <c r="BB28" i="45"/>
  <c r="BA47" i="45"/>
  <c r="AZ47" i="45"/>
  <c r="AY47" i="45"/>
  <c r="AX47" i="45"/>
  <c r="BA28" i="45"/>
  <c r="BA59" i="45" s="1"/>
  <c r="BA60" i="45" s="1"/>
  <c r="BA61" i="45" s="1"/>
  <c r="AZ28" i="45"/>
  <c r="AY28" i="45"/>
  <c r="AY59" i="45" s="1"/>
  <c r="AY60" i="45" s="1"/>
  <c r="AY61" i="45" s="1"/>
  <c r="AX28" i="45"/>
  <c r="AW47" i="45"/>
  <c r="AV47" i="45"/>
  <c r="AU47" i="45"/>
  <c r="AW28" i="45"/>
  <c r="AW59" i="45" s="1"/>
  <c r="AW60" i="45" s="1"/>
  <c r="AW61" i="45" s="1"/>
  <c r="AV28" i="45"/>
  <c r="AU28" i="45"/>
  <c r="AU59" i="45" s="1"/>
  <c r="AU60" i="45" s="1"/>
  <c r="AU61" i="45" s="1"/>
  <c r="AT47" i="45"/>
  <c r="AT28" i="45"/>
  <c r="AS47" i="45"/>
  <c r="AS28" i="45"/>
  <c r="AS59" i="45" s="1"/>
  <c r="AS60" i="45" s="1"/>
  <c r="AS61" i="45" s="1"/>
  <c r="AR47" i="45"/>
  <c r="AR28" i="45"/>
  <c r="AR59" i="45" s="1"/>
  <c r="AR60" i="45" s="1"/>
  <c r="AR61" i="45" s="1"/>
  <c r="AQ47" i="45"/>
  <c r="AQ28" i="45"/>
  <c r="AP47" i="45"/>
  <c r="AP28" i="45"/>
  <c r="AO47" i="45"/>
  <c r="AO28" i="45"/>
  <c r="AO59" i="45" s="1"/>
  <c r="AO60" i="45" s="1"/>
  <c r="AO61" i="45" s="1"/>
  <c r="AN47" i="45"/>
  <c r="AN28" i="45"/>
  <c r="AN59" i="45" s="1"/>
  <c r="AN60" i="45" s="1"/>
  <c r="AN61" i="45" s="1"/>
  <c r="AM47" i="45"/>
  <c r="AM28" i="45"/>
  <c r="AL47" i="45"/>
  <c r="AL28" i="45"/>
  <c r="AK47" i="45"/>
  <c r="AJ47" i="45"/>
  <c r="AI47" i="45"/>
  <c r="AH60" i="45"/>
  <c r="AH61" i="45" s="1"/>
  <c r="AH47" i="45"/>
  <c r="AG47" i="45"/>
  <c r="AF47" i="45"/>
  <c r="AE47" i="45"/>
  <c r="AD47" i="45"/>
  <c r="AC47" i="45"/>
  <c r="AB47" i="45"/>
  <c r="AA47" i="45"/>
  <c r="Z60" i="45"/>
  <c r="Z61" i="45" s="1"/>
  <c r="Z47" i="45"/>
  <c r="Y47" i="45"/>
  <c r="X47" i="45"/>
  <c r="W47" i="45"/>
  <c r="V47" i="45"/>
  <c r="U47" i="45"/>
  <c r="T47" i="45"/>
  <c r="S47" i="45"/>
  <c r="R60" i="45"/>
  <c r="R61" i="45" s="1"/>
  <c r="R47" i="45"/>
  <c r="Q47" i="45"/>
  <c r="P47" i="45"/>
  <c r="O47" i="45"/>
  <c r="N47" i="45"/>
  <c r="M47" i="45"/>
  <c r="L47" i="45"/>
  <c r="K47" i="45"/>
  <c r="J47" i="45"/>
  <c r="I47" i="45"/>
  <c r="H47" i="45"/>
  <c r="G47" i="45"/>
  <c r="F47" i="45"/>
  <c r="E47" i="45"/>
  <c r="D47" i="45"/>
  <c r="C47" i="45"/>
  <c r="AK28" i="45"/>
  <c r="AK59" i="45" s="1"/>
  <c r="AK60" i="45" s="1"/>
  <c r="AK61" i="45" s="1"/>
  <c r="AJ28" i="45"/>
  <c r="AI28" i="45"/>
  <c r="AH28" i="45"/>
  <c r="AH59" i="45" s="1"/>
  <c r="AG28" i="45"/>
  <c r="AG59" i="45" s="1"/>
  <c r="AG60" i="45" s="1"/>
  <c r="AG61" i="45" s="1"/>
  <c r="AF28" i="45"/>
  <c r="AF59" i="45" s="1"/>
  <c r="AF60" i="45" s="1"/>
  <c r="AF61" i="45" s="1"/>
  <c r="AE28" i="45"/>
  <c r="AD28" i="45"/>
  <c r="AC28" i="45"/>
  <c r="AC59" i="45" s="1"/>
  <c r="AC60" i="45" s="1"/>
  <c r="AC61" i="45" s="1"/>
  <c r="AB28" i="45"/>
  <c r="AA28" i="45"/>
  <c r="Z28" i="45"/>
  <c r="Z59" i="45" s="1"/>
  <c r="Y28" i="45"/>
  <c r="Y59" i="45" s="1"/>
  <c r="Y60" i="45" s="1"/>
  <c r="Y61" i="45" s="1"/>
  <c r="X28" i="45"/>
  <c r="X59" i="45" s="1"/>
  <c r="X60" i="45" s="1"/>
  <c r="X61" i="45" s="1"/>
  <c r="W28" i="45"/>
  <c r="V28" i="45"/>
  <c r="U28" i="45"/>
  <c r="U59" i="45" s="1"/>
  <c r="U60" i="45" s="1"/>
  <c r="U61" i="45" s="1"/>
  <c r="T28" i="45"/>
  <c r="S28" i="45"/>
  <c r="R28" i="45"/>
  <c r="R59" i="45" s="1"/>
  <c r="Q28" i="45"/>
  <c r="Q59" i="45" s="1"/>
  <c r="Q60" i="45" s="1"/>
  <c r="Q61" i="45" s="1"/>
  <c r="P28" i="45"/>
  <c r="P59" i="45" s="1"/>
  <c r="P60" i="45" s="1"/>
  <c r="P61" i="45" s="1"/>
  <c r="O28" i="45"/>
  <c r="N28" i="45"/>
  <c r="M28" i="45"/>
  <c r="M59" i="45" s="1"/>
  <c r="M60" i="45" s="1"/>
  <c r="M61" i="45" s="1"/>
  <c r="L28" i="45"/>
  <c r="L59" i="45" s="1"/>
  <c r="L60" i="45" s="1"/>
  <c r="L61" i="45" s="1"/>
  <c r="K28" i="45"/>
  <c r="J28" i="45"/>
  <c r="J59" i="45" s="1"/>
  <c r="J60" i="45" s="1"/>
  <c r="J61" i="45" s="1"/>
  <c r="I28" i="45"/>
  <c r="I59" i="45" s="1"/>
  <c r="I60" i="45" s="1"/>
  <c r="I61" i="45" s="1"/>
  <c r="H28" i="45"/>
  <c r="H59" i="45" s="1"/>
  <c r="H60" i="45" s="1"/>
  <c r="H61" i="45" s="1"/>
  <c r="G28" i="45"/>
  <c r="F28" i="45"/>
  <c r="F59" i="45" s="1"/>
  <c r="F60" i="45" s="1"/>
  <c r="F61" i="45" s="1"/>
  <c r="E28" i="45"/>
  <c r="E59" i="45" s="1"/>
  <c r="E60" i="45" s="1"/>
  <c r="E61" i="45" s="1"/>
  <c r="D28" i="45"/>
  <c r="D59" i="45" s="1"/>
  <c r="D60" i="45" s="1"/>
  <c r="D61" i="45" s="1"/>
  <c r="C28" i="45"/>
  <c r="H36" i="52"/>
  <c r="G58" i="52"/>
  <c r="G45" i="52"/>
  <c r="F58" i="52"/>
  <c r="F45" i="52"/>
  <c r="E58" i="52"/>
  <c r="E45" i="52"/>
  <c r="D58" i="52"/>
  <c r="D45" i="52"/>
  <c r="H7" i="52"/>
  <c r="G26" i="52"/>
  <c r="F26" i="52"/>
  <c r="E26" i="52"/>
  <c r="D26" i="52"/>
  <c r="C45" i="52"/>
  <c r="C59" i="52" s="1"/>
  <c r="C58" i="52"/>
  <c r="C26" i="52"/>
  <c r="F34" i="61"/>
  <c r="F41" i="61"/>
  <c r="F40" i="61"/>
  <c r="F39" i="61"/>
  <c r="F38" i="61"/>
  <c r="F37" i="61"/>
  <c r="F36" i="61"/>
  <c r="F35" i="61"/>
  <c r="F7" i="61"/>
  <c r="F8" i="61"/>
  <c r="F9" i="61"/>
  <c r="F10" i="61"/>
  <c r="F11" i="61"/>
  <c r="F12" i="61"/>
  <c r="F13" i="61"/>
  <c r="F15" i="61"/>
  <c r="F16" i="61"/>
  <c r="F17" i="61"/>
  <c r="F18" i="61"/>
  <c r="F19" i="61"/>
  <c r="F20" i="61"/>
  <c r="F23" i="61"/>
  <c r="F24" i="61"/>
  <c r="F27" i="61"/>
  <c r="F28" i="61"/>
  <c r="F29" i="61"/>
  <c r="F30" i="61"/>
  <c r="F31" i="61"/>
  <c r="E14" i="61"/>
  <c r="E22" i="61" s="1"/>
  <c r="E33" i="61" s="1"/>
  <c r="E43" i="61" s="1"/>
  <c r="E21" i="61"/>
  <c r="E32" i="61"/>
  <c r="E42" i="61"/>
  <c r="D14" i="61"/>
  <c r="D21" i="61"/>
  <c r="D32" i="61"/>
  <c r="D42" i="61"/>
  <c r="C14" i="61"/>
  <c r="C21" i="61"/>
  <c r="C32" i="61"/>
  <c r="C42" i="61"/>
  <c r="B14" i="61"/>
  <c r="B21" i="61"/>
  <c r="B32" i="61"/>
  <c r="B42" i="61"/>
  <c r="F33" i="20"/>
  <c r="F19" i="20"/>
  <c r="F28" i="20"/>
  <c r="F30" i="20" s="1"/>
  <c r="E33" i="20"/>
  <c r="E19" i="20"/>
  <c r="E28" i="20"/>
  <c r="D19" i="20"/>
  <c r="B83" i="3" s="1"/>
  <c r="D28" i="20"/>
  <c r="AA732" i="81" s="1"/>
  <c r="E774" i="83" s="1"/>
  <c r="H771" i="83" s="1"/>
  <c r="D33" i="20"/>
  <c r="B47" i="17"/>
  <c r="C47" i="58" s="1"/>
  <c r="B45" i="17"/>
  <c r="C31" i="20" s="1"/>
  <c r="B48" i="17"/>
  <c r="C34" i="20" s="1"/>
  <c r="G46" i="58"/>
  <c r="I46" i="17" s="1"/>
  <c r="G45" i="58"/>
  <c r="I45" i="17" s="1"/>
  <c r="G43" i="58"/>
  <c r="G42" i="58"/>
  <c r="I42" i="17" s="1"/>
  <c r="G35" i="58"/>
  <c r="G33" i="58"/>
  <c r="G32" i="58"/>
  <c r="AA552" i="81" s="1"/>
  <c r="G31" i="58"/>
  <c r="G30" i="58"/>
  <c r="G25" i="58"/>
  <c r="G24" i="58"/>
  <c r="I24" i="17" s="1"/>
  <c r="G23" i="58"/>
  <c r="G22" i="58"/>
  <c r="G21" i="58"/>
  <c r="G20" i="58"/>
  <c r="G19" i="58"/>
  <c r="G14" i="58"/>
  <c r="G13" i="58"/>
  <c r="G12" i="58"/>
  <c r="H46" i="55"/>
  <c r="G46" i="17" s="1"/>
  <c r="H46" i="17" s="1"/>
  <c r="H45" i="55"/>
  <c r="H32" i="55"/>
  <c r="G32" i="17" s="1"/>
  <c r="H32" i="17" s="1"/>
  <c r="C83" i="77" s="1"/>
  <c r="H30" i="55"/>
  <c r="H33" i="55"/>
  <c r="G33" i="17"/>
  <c r="H33" i="17" s="1"/>
  <c r="H43" i="55"/>
  <c r="G43" i="17" s="1"/>
  <c r="H43" i="17" s="1"/>
  <c r="AA501" i="81" s="1"/>
  <c r="H20" i="55"/>
  <c r="G20" i="17" s="1"/>
  <c r="H19" i="55"/>
  <c r="G19" i="17"/>
  <c r="H21" i="55"/>
  <c r="G21" i="17" s="1"/>
  <c r="H21" i="17" s="1"/>
  <c r="AA514" i="81" s="1"/>
  <c r="H22" i="55"/>
  <c r="G22" i="17" s="1"/>
  <c r="H22" i="17" s="1"/>
  <c r="AA515" i="81" s="1"/>
  <c r="H23" i="17"/>
  <c r="AA516" i="81" s="1"/>
  <c r="H24" i="55"/>
  <c r="G24" i="17" s="1"/>
  <c r="H24" i="17" s="1"/>
  <c r="H25" i="55"/>
  <c r="G25" i="17" s="1"/>
  <c r="H25" i="17" s="1"/>
  <c r="H26" i="55"/>
  <c r="G26" i="17" s="1"/>
  <c r="H26" i="17" s="1"/>
  <c r="H12" i="55"/>
  <c r="H13" i="55"/>
  <c r="G13" i="17" s="1"/>
  <c r="H13" i="17" s="1"/>
  <c r="AA486" i="81" s="1"/>
  <c r="H14" i="55"/>
  <c r="G14" i="17" s="1"/>
  <c r="H14" i="17" s="1"/>
  <c r="AA489" i="81" s="1"/>
  <c r="H15" i="55"/>
  <c r="G15" i="17" s="1"/>
  <c r="H15" i="17" s="1"/>
  <c r="H31" i="55"/>
  <c r="G31" i="17" s="1"/>
  <c r="H31" i="17" s="1"/>
  <c r="H35" i="55"/>
  <c r="G35" i="17" s="1"/>
  <c r="H35" i="17" s="1"/>
  <c r="AA517" i="81" s="1"/>
  <c r="H39" i="55"/>
  <c r="G39" i="17" s="1"/>
  <c r="H39" i="17" s="1"/>
  <c r="H42" i="55"/>
  <c r="G42" i="17" s="1"/>
  <c r="H42" i="17" s="1"/>
  <c r="AA493" i="81" s="1"/>
  <c r="F47" i="17"/>
  <c r="F27" i="17"/>
  <c r="F16" i="17"/>
  <c r="F40" i="17"/>
  <c r="E47" i="17"/>
  <c r="E27" i="17"/>
  <c r="E16" i="17"/>
  <c r="D12" i="18" s="1"/>
  <c r="E40" i="17"/>
  <c r="D47" i="17"/>
  <c r="D27" i="17"/>
  <c r="D16" i="17"/>
  <c r="C12" i="18" s="1"/>
  <c r="D40" i="17"/>
  <c r="C27" i="17"/>
  <c r="C16" i="17"/>
  <c r="B12" i="18" s="1"/>
  <c r="C40" i="17"/>
  <c r="C47" i="17"/>
  <c r="D8" i="55"/>
  <c r="G47" i="55"/>
  <c r="G27" i="55"/>
  <c r="G16" i="55"/>
  <c r="E10" i="56" s="1"/>
  <c r="G40" i="55"/>
  <c r="F47" i="55"/>
  <c r="F27" i="55"/>
  <c r="F16" i="55"/>
  <c r="D10" i="56" s="1"/>
  <c r="D15" i="56" s="1"/>
  <c r="F40" i="55"/>
  <c r="E47" i="55"/>
  <c r="E27" i="55"/>
  <c r="E16" i="55"/>
  <c r="C10" i="56" s="1"/>
  <c r="C15" i="56" s="1"/>
  <c r="E40" i="55"/>
  <c r="D27" i="55"/>
  <c r="D16" i="55"/>
  <c r="B10" i="56" s="1"/>
  <c r="D40" i="55"/>
  <c r="D47" i="55"/>
  <c r="F47" i="58"/>
  <c r="E47" i="58"/>
  <c r="G16" i="58"/>
  <c r="F16" i="58"/>
  <c r="D10" i="59" s="1"/>
  <c r="F27" i="58"/>
  <c r="F28" i="58" s="1"/>
  <c r="D40" i="59" s="1"/>
  <c r="F40" i="58"/>
  <c r="E16" i="58"/>
  <c r="C10" i="59" s="1"/>
  <c r="C15" i="59" s="1"/>
  <c r="E27" i="58"/>
  <c r="E40" i="58"/>
  <c r="D16" i="58"/>
  <c r="D27" i="58"/>
  <c r="D40" i="58"/>
  <c r="D47" i="58"/>
  <c r="F52" i="57"/>
  <c r="I53" i="16" s="1"/>
  <c r="F54" i="57"/>
  <c r="I55" i="16" s="1"/>
  <c r="F35" i="57"/>
  <c r="I36" i="16" s="1"/>
  <c r="F34" i="57"/>
  <c r="F33" i="57"/>
  <c r="I34" i="16" s="1"/>
  <c r="F32" i="57"/>
  <c r="I33" i="16" s="1"/>
  <c r="F31" i="57"/>
  <c r="I32" i="16" s="1"/>
  <c r="F30" i="57"/>
  <c r="F29" i="57"/>
  <c r="I30" i="16" s="1"/>
  <c r="F18" i="57"/>
  <c r="I19" i="16" s="1"/>
  <c r="F77" i="57"/>
  <c r="F79" i="57"/>
  <c r="I80" i="16" s="1"/>
  <c r="F80" i="57"/>
  <c r="I81" i="16" s="1"/>
  <c r="F59" i="57"/>
  <c r="I60" i="16" s="1"/>
  <c r="F60" i="57"/>
  <c r="I61" i="16" s="1"/>
  <c r="F61" i="57"/>
  <c r="I62" i="16" s="1"/>
  <c r="F62" i="57"/>
  <c r="I63" i="16" s="1"/>
  <c r="F63" i="57"/>
  <c r="I64" i="16" s="1"/>
  <c r="F66" i="57"/>
  <c r="F47" i="57"/>
  <c r="F48" i="57"/>
  <c r="I49" i="16" s="1"/>
  <c r="F49" i="57"/>
  <c r="I50" i="16" s="1"/>
  <c r="F50" i="57"/>
  <c r="I51" i="16" s="1"/>
  <c r="F51" i="57"/>
  <c r="I52" i="16" s="1"/>
  <c r="F53" i="57"/>
  <c r="F55" i="57"/>
  <c r="I56" i="16" s="1"/>
  <c r="E67" i="57"/>
  <c r="E57" i="57"/>
  <c r="E69" i="57" s="1"/>
  <c r="D67" i="57"/>
  <c r="D57" i="57"/>
  <c r="F24" i="57"/>
  <c r="F25" i="57"/>
  <c r="I26" i="16" s="1"/>
  <c r="F26" i="57"/>
  <c r="I27" i="16" s="1"/>
  <c r="F27" i="57"/>
  <c r="AA528" i="81" s="1"/>
  <c r="F36" i="57"/>
  <c r="F12" i="57"/>
  <c r="I13" i="16" s="1"/>
  <c r="F13" i="57"/>
  <c r="F14" i="57"/>
  <c r="I15" i="16" s="1"/>
  <c r="F15" i="57"/>
  <c r="F16" i="57"/>
  <c r="F17" i="57"/>
  <c r="F19" i="57"/>
  <c r="F20" i="57"/>
  <c r="E21" i="57"/>
  <c r="D21" i="57"/>
  <c r="D38" i="57" s="1"/>
  <c r="C57" i="57"/>
  <c r="C67" i="57"/>
  <c r="C21" i="57"/>
  <c r="R14" i="71"/>
  <c r="G14" i="71"/>
  <c r="G16" i="71" s="1"/>
  <c r="R15" i="71"/>
  <c r="S15" i="71" s="1"/>
  <c r="S6" i="71"/>
  <c r="R9" i="71"/>
  <c r="S9" i="71" s="1"/>
  <c r="R10" i="71"/>
  <c r="S10" i="71" s="1"/>
  <c r="R19" i="71"/>
  <c r="S19" i="71" s="1"/>
  <c r="R20" i="71"/>
  <c r="R21" i="71"/>
  <c r="S21" i="71" s="1"/>
  <c r="R25" i="71"/>
  <c r="S25" i="71" s="1"/>
  <c r="R26" i="71"/>
  <c r="S26" i="71" s="1"/>
  <c r="R27" i="71"/>
  <c r="S27" i="71" s="1"/>
  <c r="S30" i="71"/>
  <c r="R31" i="71"/>
  <c r="S31" i="71" s="1"/>
  <c r="Q11" i="71"/>
  <c r="Q16" i="71"/>
  <c r="Q22" i="71"/>
  <c r="Q28" i="71"/>
  <c r="Q32" i="71"/>
  <c r="P11" i="71"/>
  <c r="P16" i="71"/>
  <c r="P22" i="71"/>
  <c r="P28" i="71"/>
  <c r="P32" i="71"/>
  <c r="O11" i="71"/>
  <c r="O16" i="71"/>
  <c r="O22" i="71"/>
  <c r="O28" i="71"/>
  <c r="O32" i="71"/>
  <c r="N11" i="71"/>
  <c r="N16" i="71"/>
  <c r="N22" i="71"/>
  <c r="N28" i="71"/>
  <c r="N32" i="71"/>
  <c r="M11" i="71"/>
  <c r="M16" i="71"/>
  <c r="M22" i="71"/>
  <c r="M28" i="71"/>
  <c r="M32" i="71"/>
  <c r="L11" i="71"/>
  <c r="L16" i="71"/>
  <c r="L22" i="71"/>
  <c r="L28" i="71"/>
  <c r="L32" i="71"/>
  <c r="K11" i="71"/>
  <c r="K16" i="71"/>
  <c r="K22" i="71"/>
  <c r="K28" i="71"/>
  <c r="K32" i="71"/>
  <c r="J11" i="71"/>
  <c r="J16" i="71"/>
  <c r="J22" i="71"/>
  <c r="J28" i="71"/>
  <c r="J32" i="71"/>
  <c r="I11" i="71"/>
  <c r="I16" i="71"/>
  <c r="I22" i="71"/>
  <c r="I28" i="71"/>
  <c r="I32" i="71"/>
  <c r="H11" i="71"/>
  <c r="H16" i="71"/>
  <c r="H22" i="71"/>
  <c r="H28" i="71"/>
  <c r="H32" i="71"/>
  <c r="G9" i="71"/>
  <c r="G11" i="71" s="1"/>
  <c r="G19" i="71"/>
  <c r="G22" i="71" s="1"/>
  <c r="G25" i="71"/>
  <c r="G28" i="71" s="1"/>
  <c r="E11" i="71"/>
  <c r="E16" i="71"/>
  <c r="E22" i="71"/>
  <c r="E28" i="71"/>
  <c r="E32" i="71"/>
  <c r="G15" i="71"/>
  <c r="G31" i="71"/>
  <c r="G32" i="71" s="1"/>
  <c r="G10" i="71"/>
  <c r="G21" i="71"/>
  <c r="G27" i="71"/>
  <c r="G26" i="71"/>
  <c r="G20" i="71"/>
  <c r="S33" i="71"/>
  <c r="R5" i="73"/>
  <c r="F14" i="73"/>
  <c r="F15" i="73" s="1"/>
  <c r="D8" i="73"/>
  <c r="G8" i="73"/>
  <c r="H8" i="73"/>
  <c r="I8" i="73"/>
  <c r="J8" i="73"/>
  <c r="K8" i="73"/>
  <c r="L8" i="73"/>
  <c r="M8" i="73"/>
  <c r="N8" i="73"/>
  <c r="O8" i="73"/>
  <c r="P8" i="73"/>
  <c r="D11" i="73"/>
  <c r="G11" i="73"/>
  <c r="H11" i="73"/>
  <c r="I11" i="73"/>
  <c r="J11" i="73"/>
  <c r="K11" i="73"/>
  <c r="L11" i="73"/>
  <c r="M11" i="73"/>
  <c r="N11" i="73"/>
  <c r="O11" i="73"/>
  <c r="P11" i="73"/>
  <c r="D15" i="73"/>
  <c r="G15" i="73"/>
  <c r="H15" i="73"/>
  <c r="I15" i="73"/>
  <c r="J15" i="73"/>
  <c r="K15" i="73"/>
  <c r="L15" i="73"/>
  <c r="M15" i="73"/>
  <c r="N15" i="73"/>
  <c r="O15" i="73"/>
  <c r="P15" i="73"/>
  <c r="D19" i="73"/>
  <c r="G19" i="73"/>
  <c r="H19" i="73"/>
  <c r="I19" i="73"/>
  <c r="J19" i="73"/>
  <c r="K19" i="73"/>
  <c r="L19" i="73"/>
  <c r="M19" i="73"/>
  <c r="N19" i="73"/>
  <c r="O19" i="73"/>
  <c r="P19" i="73"/>
  <c r="D22" i="73"/>
  <c r="G22" i="73"/>
  <c r="H22" i="73"/>
  <c r="I22" i="73"/>
  <c r="J22" i="73"/>
  <c r="K22" i="73"/>
  <c r="L22" i="73"/>
  <c r="M22" i="73"/>
  <c r="N22" i="73"/>
  <c r="O22" i="73"/>
  <c r="P22" i="73"/>
  <c r="D25" i="73"/>
  <c r="G25" i="73"/>
  <c r="H25" i="73"/>
  <c r="I25" i="73"/>
  <c r="J25" i="73"/>
  <c r="K25" i="73"/>
  <c r="L25" i="73"/>
  <c r="M25" i="73"/>
  <c r="N25" i="73"/>
  <c r="O25" i="73"/>
  <c r="P25" i="73"/>
  <c r="D28" i="73"/>
  <c r="G28" i="73"/>
  <c r="H28" i="73"/>
  <c r="I28" i="73"/>
  <c r="J28" i="73"/>
  <c r="K28" i="73"/>
  <c r="L28" i="73"/>
  <c r="M28" i="73"/>
  <c r="N28" i="73"/>
  <c r="O28" i="73"/>
  <c r="P28" i="73"/>
  <c r="D31" i="73"/>
  <c r="G31" i="73"/>
  <c r="H31" i="73"/>
  <c r="I31" i="73"/>
  <c r="J31" i="73"/>
  <c r="K31" i="73"/>
  <c r="L31" i="73"/>
  <c r="M31" i="73"/>
  <c r="N31" i="73"/>
  <c r="O31" i="73"/>
  <c r="P31" i="73"/>
  <c r="D34" i="73"/>
  <c r="G34" i="73"/>
  <c r="H34" i="73"/>
  <c r="I34" i="73"/>
  <c r="J34" i="73"/>
  <c r="K34" i="73"/>
  <c r="L34" i="73"/>
  <c r="M34" i="73"/>
  <c r="N34" i="73"/>
  <c r="O34" i="73"/>
  <c r="P34" i="73"/>
  <c r="F7" i="73"/>
  <c r="F8" i="73" s="1"/>
  <c r="F10" i="73"/>
  <c r="F11" i="73" s="1"/>
  <c r="F17" i="73"/>
  <c r="F19" i="73" s="1"/>
  <c r="F21" i="73"/>
  <c r="F22" i="73" s="1"/>
  <c r="F24" i="73"/>
  <c r="F25" i="73" s="1"/>
  <c r="F27" i="73"/>
  <c r="F28" i="73" s="1"/>
  <c r="F33" i="73"/>
  <c r="F34" i="73" s="1"/>
  <c r="Q10" i="73"/>
  <c r="R10" i="73" s="1"/>
  <c r="Q33" i="73"/>
  <c r="R33" i="73" s="1"/>
  <c r="F31" i="73"/>
  <c r="Q27" i="73"/>
  <c r="R27" i="73" s="1"/>
  <c r="Q24" i="73"/>
  <c r="R24" i="73" s="1"/>
  <c r="Q7" i="73"/>
  <c r="R7" i="73" s="1"/>
  <c r="Q14" i="73"/>
  <c r="R14" i="73" s="1"/>
  <c r="Q17" i="73"/>
  <c r="R17" i="73" s="1"/>
  <c r="F18" i="73"/>
  <c r="Q18" i="73"/>
  <c r="R18" i="73" s="1"/>
  <c r="Q21" i="73"/>
  <c r="R21" i="73" s="1"/>
  <c r="R5" i="74"/>
  <c r="D8" i="74"/>
  <c r="G8" i="74"/>
  <c r="H8" i="74"/>
  <c r="I8" i="74"/>
  <c r="J8" i="74"/>
  <c r="K8" i="74"/>
  <c r="L8" i="74"/>
  <c r="M8" i="74"/>
  <c r="N8" i="74"/>
  <c r="O8" i="74"/>
  <c r="P8" i="74"/>
  <c r="D12" i="74"/>
  <c r="G12" i="74"/>
  <c r="H12" i="74"/>
  <c r="I12" i="74"/>
  <c r="J12" i="74"/>
  <c r="K12" i="74"/>
  <c r="L12" i="74"/>
  <c r="M12" i="74"/>
  <c r="N12" i="74"/>
  <c r="O12" i="74"/>
  <c r="P12" i="74"/>
  <c r="D15" i="74"/>
  <c r="G15" i="74"/>
  <c r="H15" i="74"/>
  <c r="I15" i="74"/>
  <c r="J15" i="74"/>
  <c r="K15" i="74"/>
  <c r="L15" i="74"/>
  <c r="M15" i="74"/>
  <c r="N15" i="74"/>
  <c r="O15" i="74"/>
  <c r="P15" i="74"/>
  <c r="D19" i="74"/>
  <c r="G19" i="74"/>
  <c r="H19" i="74"/>
  <c r="I19" i="74"/>
  <c r="J19" i="74"/>
  <c r="K19" i="74"/>
  <c r="L19" i="74"/>
  <c r="M19" i="74"/>
  <c r="N19" i="74"/>
  <c r="O19" i="74"/>
  <c r="P19" i="74"/>
  <c r="D22" i="74"/>
  <c r="G22" i="74"/>
  <c r="H22" i="74"/>
  <c r="I22" i="74"/>
  <c r="J22" i="74"/>
  <c r="K22" i="74"/>
  <c r="L22" i="74"/>
  <c r="M22" i="74"/>
  <c r="N22" i="74"/>
  <c r="O22" i="74"/>
  <c r="P22" i="74"/>
  <c r="D25" i="74"/>
  <c r="G25" i="74"/>
  <c r="H25" i="74"/>
  <c r="I25" i="74"/>
  <c r="J25" i="74"/>
  <c r="K25" i="74"/>
  <c r="L25" i="74"/>
  <c r="M25" i="74"/>
  <c r="N25" i="74"/>
  <c r="O25" i="74"/>
  <c r="P25" i="74"/>
  <c r="D28" i="74"/>
  <c r="G28" i="74"/>
  <c r="H28" i="74"/>
  <c r="I28" i="74"/>
  <c r="J28" i="74"/>
  <c r="K28" i="74"/>
  <c r="L28" i="74"/>
  <c r="M28" i="74"/>
  <c r="N28" i="74"/>
  <c r="O28" i="74"/>
  <c r="P28" i="74"/>
  <c r="D31" i="74"/>
  <c r="G31" i="74"/>
  <c r="H31" i="74"/>
  <c r="I31" i="74"/>
  <c r="J31" i="74"/>
  <c r="K31" i="74"/>
  <c r="L31" i="74"/>
  <c r="M31" i="74"/>
  <c r="N31" i="74"/>
  <c r="O31" i="74"/>
  <c r="P31" i="74"/>
  <c r="D34" i="74"/>
  <c r="G34" i="74"/>
  <c r="H34" i="74"/>
  <c r="I34" i="74"/>
  <c r="J34" i="74"/>
  <c r="K34" i="74"/>
  <c r="L34" i="74"/>
  <c r="M34" i="74"/>
  <c r="N34" i="74"/>
  <c r="O34" i="74"/>
  <c r="P34" i="74"/>
  <c r="F7" i="74"/>
  <c r="F8" i="74" s="1"/>
  <c r="F11" i="74"/>
  <c r="F12" i="74" s="1"/>
  <c r="F14" i="74"/>
  <c r="F15" i="74" s="1"/>
  <c r="F17" i="74"/>
  <c r="F19" i="74" s="1"/>
  <c r="F21" i="74"/>
  <c r="F22" i="74" s="1"/>
  <c r="F24" i="74"/>
  <c r="F25" i="74" s="1"/>
  <c r="F27" i="74"/>
  <c r="F28" i="74" s="1"/>
  <c r="F30" i="74"/>
  <c r="F31" i="74" s="1"/>
  <c r="F33" i="74"/>
  <c r="F34" i="74" s="1"/>
  <c r="Q11" i="74"/>
  <c r="R11" i="74" s="1"/>
  <c r="Q33" i="74"/>
  <c r="R33" i="74" s="1"/>
  <c r="Q30" i="74"/>
  <c r="R30" i="74" s="1"/>
  <c r="Q27" i="74"/>
  <c r="R27" i="74" s="1"/>
  <c r="Q24" i="74"/>
  <c r="R24" i="74" s="1"/>
  <c r="Q7" i="74"/>
  <c r="R7" i="74" s="1"/>
  <c r="Q14" i="74"/>
  <c r="R14" i="74" s="1"/>
  <c r="Q17" i="74"/>
  <c r="R17" i="74" s="1"/>
  <c r="F18" i="74"/>
  <c r="Q18" i="74"/>
  <c r="R18" i="74" s="1"/>
  <c r="Q21" i="74"/>
  <c r="R21" i="74" s="1"/>
  <c r="R5" i="72"/>
  <c r="D9" i="72"/>
  <c r="G9" i="72"/>
  <c r="H9" i="72"/>
  <c r="I9" i="72"/>
  <c r="J9" i="72"/>
  <c r="K9" i="72"/>
  <c r="L9" i="72"/>
  <c r="M9" i="72"/>
  <c r="N9" i="72"/>
  <c r="O9" i="72"/>
  <c r="P9" i="72"/>
  <c r="D11" i="72"/>
  <c r="G11" i="72"/>
  <c r="H11" i="72"/>
  <c r="I11" i="72"/>
  <c r="J11" i="72"/>
  <c r="K11" i="72"/>
  <c r="L11" i="72"/>
  <c r="M11" i="72"/>
  <c r="N11" i="72"/>
  <c r="O11" i="72"/>
  <c r="P11" i="72"/>
  <c r="D13" i="72"/>
  <c r="G13" i="72"/>
  <c r="H13" i="72"/>
  <c r="I13" i="72"/>
  <c r="J13" i="72"/>
  <c r="K13" i="72"/>
  <c r="L13" i="72"/>
  <c r="M13" i="72"/>
  <c r="N13" i="72"/>
  <c r="O13" i="72"/>
  <c r="P13" i="72"/>
  <c r="D16" i="72"/>
  <c r="G16" i="72"/>
  <c r="H16" i="72"/>
  <c r="I16" i="72"/>
  <c r="J16" i="72"/>
  <c r="K16" i="72"/>
  <c r="L16" i="72"/>
  <c r="M16" i="72"/>
  <c r="N16" i="72"/>
  <c r="O16" i="72"/>
  <c r="P16" i="72"/>
  <c r="D21" i="72"/>
  <c r="G21" i="72"/>
  <c r="H21" i="72"/>
  <c r="I21" i="72"/>
  <c r="J21" i="72"/>
  <c r="K21" i="72"/>
  <c r="L21" i="72"/>
  <c r="M21" i="72"/>
  <c r="N21" i="72"/>
  <c r="O21" i="72"/>
  <c r="P21" i="72"/>
  <c r="D25" i="72"/>
  <c r="G25" i="72"/>
  <c r="H25" i="72"/>
  <c r="I25" i="72"/>
  <c r="J25" i="72"/>
  <c r="K25" i="72"/>
  <c r="L25" i="72"/>
  <c r="M25" i="72"/>
  <c r="N25" i="72"/>
  <c r="O25" i="72"/>
  <c r="P25" i="72"/>
  <c r="D29" i="72"/>
  <c r="G29" i="72"/>
  <c r="H29" i="72"/>
  <c r="I29" i="72"/>
  <c r="J29" i="72"/>
  <c r="K29" i="72"/>
  <c r="L29" i="72"/>
  <c r="M29" i="72"/>
  <c r="N29" i="72"/>
  <c r="O29" i="72"/>
  <c r="P29" i="72"/>
  <c r="D33" i="72"/>
  <c r="G33" i="72"/>
  <c r="H33" i="72"/>
  <c r="I33" i="72"/>
  <c r="J33" i="72"/>
  <c r="K33" i="72"/>
  <c r="L33" i="72"/>
  <c r="M33" i="72"/>
  <c r="N33" i="72"/>
  <c r="O33" i="72"/>
  <c r="P33" i="72"/>
  <c r="D37" i="72"/>
  <c r="G37" i="72"/>
  <c r="H37" i="72"/>
  <c r="I37" i="72"/>
  <c r="J37" i="72"/>
  <c r="K37" i="72"/>
  <c r="L37" i="72"/>
  <c r="M37" i="72"/>
  <c r="N37" i="72"/>
  <c r="O37" i="72"/>
  <c r="P37" i="72"/>
  <c r="F7" i="72"/>
  <c r="F9" i="72" s="1"/>
  <c r="F11" i="72"/>
  <c r="F13" i="72"/>
  <c r="F15" i="72"/>
  <c r="F16" i="72" s="1"/>
  <c r="F19" i="72"/>
  <c r="F21" i="72" s="1"/>
  <c r="F24" i="72"/>
  <c r="F25" i="72" s="1"/>
  <c r="F29" i="72"/>
  <c r="F32" i="72"/>
  <c r="F33" i="72" s="1"/>
  <c r="F37" i="72"/>
  <c r="Q32" i="72"/>
  <c r="R32" i="72" s="1"/>
  <c r="Q24" i="72"/>
  <c r="R24" i="72" s="1"/>
  <c r="Q7" i="72"/>
  <c r="R7" i="72" s="1"/>
  <c r="Q8" i="72"/>
  <c r="R8" i="72" s="1"/>
  <c r="Q15" i="72"/>
  <c r="R15" i="72" s="1"/>
  <c r="Q19" i="72"/>
  <c r="R19" i="72" s="1"/>
  <c r="Q20" i="72"/>
  <c r="R20" i="72" s="1"/>
  <c r="D22" i="60"/>
  <c r="D35" i="60"/>
  <c r="D45" i="60"/>
  <c r="D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298" i="40"/>
  <c r="B52" i="51" s="1"/>
  <c r="B297" i="40"/>
  <c r="B51" i="51" s="1"/>
  <c r="B295" i="40"/>
  <c r="B56" i="42" s="1"/>
  <c r="E297" i="40"/>
  <c r="E42" i="40"/>
  <c r="E279" i="40"/>
  <c r="E293" i="40"/>
  <c r="H45" i="63"/>
  <c r="D28" i="69"/>
  <c r="D45" i="69" s="1"/>
  <c r="D47" i="69" s="1"/>
  <c r="G28" i="69"/>
  <c r="G45" i="69" s="1"/>
  <c r="G47" i="69" s="1"/>
  <c r="F28" i="69"/>
  <c r="E45" i="69" s="1"/>
  <c r="E47" i="69" s="1"/>
  <c r="E28" i="69"/>
  <c r="F45" i="69" s="1"/>
  <c r="F47" i="69" s="1"/>
  <c r="E41" i="69"/>
  <c r="D41" i="69"/>
  <c r="F41" i="69"/>
  <c r="G41" i="69"/>
  <c r="H39" i="69"/>
  <c r="H38" i="69"/>
  <c r="H37" i="69"/>
  <c r="H36" i="69"/>
  <c r="H35" i="69"/>
  <c r="H34" i="69"/>
  <c r="H33" i="69"/>
  <c r="H32" i="69"/>
  <c r="H31" i="69"/>
  <c r="F7" i="70"/>
  <c r="C7" i="70"/>
  <c r="F15" i="70"/>
  <c r="F14" i="70"/>
  <c r="F13" i="70"/>
  <c r="F12" i="70"/>
  <c r="F11" i="70"/>
  <c r="F10" i="70"/>
  <c r="D16" i="70"/>
  <c r="D42" i="70"/>
  <c r="E42" i="70"/>
  <c r="C42" i="70"/>
  <c r="E16" i="70"/>
  <c r="C16" i="70"/>
  <c r="D11" i="14"/>
  <c r="IS11" i="46"/>
  <c r="AA88" i="81" s="1"/>
  <c r="IS12" i="46"/>
  <c r="AA89" i="81" s="1"/>
  <c r="AW11" i="51"/>
  <c r="AA325" i="81" s="1"/>
  <c r="H11" i="53"/>
  <c r="AA779" i="81" s="1"/>
  <c r="D12" i="14"/>
  <c r="IS14" i="46"/>
  <c r="IS15" i="46"/>
  <c r="IS16" i="46"/>
  <c r="IS17" i="46"/>
  <c r="IS18" i="46"/>
  <c r="D13" i="14"/>
  <c r="IS20" i="46"/>
  <c r="AA92" i="81" s="1"/>
  <c r="IS21" i="46"/>
  <c r="AA93" i="81" s="1"/>
  <c r="IS22" i="46"/>
  <c r="AA94" i="81" s="1"/>
  <c r="IS23" i="46"/>
  <c r="AA95" i="81" s="1"/>
  <c r="AW13" i="51"/>
  <c r="AW15" i="51"/>
  <c r="AA333" i="81" s="1"/>
  <c r="AW16" i="51"/>
  <c r="AA335" i="81" s="1"/>
  <c r="AW17" i="51"/>
  <c r="AW18" i="51"/>
  <c r="AA336" i="81" s="1"/>
  <c r="H13" i="53"/>
  <c r="H14" i="53"/>
  <c r="H15" i="53"/>
  <c r="AA787" i="81" s="1"/>
  <c r="H16" i="53"/>
  <c r="H17" i="53"/>
  <c r="H18" i="53"/>
  <c r="AA790" i="81" s="1"/>
  <c r="IS24" i="46"/>
  <c r="AA96" i="81" s="1"/>
  <c r="IS25" i="46"/>
  <c r="AA97" i="81" s="1"/>
  <c r="D14" i="14"/>
  <c r="AB208" i="81"/>
  <c r="AC208" i="81" s="1"/>
  <c r="AW20" i="51"/>
  <c r="AA342" i="81" s="1"/>
  <c r="AW21" i="51"/>
  <c r="AW22" i="51"/>
  <c r="AA344" i="81" s="1"/>
  <c r="H20" i="53"/>
  <c r="H21" i="53"/>
  <c r="H22" i="53"/>
  <c r="AA798" i="81" s="1"/>
  <c r="IS27" i="46"/>
  <c r="AA98" i="81" s="1"/>
  <c r="IS28" i="46"/>
  <c r="AA99" i="81" s="1"/>
  <c r="IS29" i="46"/>
  <c r="AA100" i="81" s="1"/>
  <c r="IS30" i="46"/>
  <c r="AA101" i="81" s="1"/>
  <c r="IS31" i="46"/>
  <c r="AA102" i="81" s="1"/>
  <c r="IS32" i="46"/>
  <c r="AA103" i="81" s="1"/>
  <c r="D15" i="14"/>
  <c r="IS34" i="46"/>
  <c r="IS35" i="46"/>
  <c r="IS36" i="46"/>
  <c r="D16" i="14"/>
  <c r="IS37" i="46"/>
  <c r="AA106" i="81" s="1"/>
  <c r="AW24" i="51"/>
  <c r="AA351" i="81" s="1"/>
  <c r="AW25" i="51"/>
  <c r="AA352" i="81" s="1"/>
  <c r="AW26" i="51"/>
  <c r="AA354" i="81" s="1"/>
  <c r="H24" i="53"/>
  <c r="AA805" i="81" s="1"/>
  <c r="H25" i="53"/>
  <c r="H26" i="53"/>
  <c r="AA808" i="81" s="1"/>
  <c r="D17" i="14"/>
  <c r="IS38" i="46"/>
  <c r="AA107" i="81" s="1"/>
  <c r="AW27" i="51"/>
  <c r="AA358" i="81" s="1"/>
  <c r="H27" i="53"/>
  <c r="AA812" i="81" s="1"/>
  <c r="IS11" i="47"/>
  <c r="AA113" i="81" s="1"/>
  <c r="IS12" i="47"/>
  <c r="AA114" i="81" s="1"/>
  <c r="D24" i="14"/>
  <c r="IS14" i="47"/>
  <c r="AA115" i="81" s="1"/>
  <c r="IS15" i="47"/>
  <c r="AA116" i="81" s="1"/>
  <c r="L24" i="14"/>
  <c r="D25" i="14"/>
  <c r="IS17" i="47"/>
  <c r="AA120" i="81" s="1"/>
  <c r="IS18" i="47"/>
  <c r="AA121" i="81" s="1"/>
  <c r="L25" i="14"/>
  <c r="D26" i="14"/>
  <c r="IS20" i="47"/>
  <c r="AA125" i="81" s="1"/>
  <c r="IS21" i="47"/>
  <c r="AA126" i="81" s="1"/>
  <c r="D27" i="14"/>
  <c r="IS23" i="47"/>
  <c r="AA130" i="81" s="1"/>
  <c r="IS24" i="47"/>
  <c r="AA131" i="81" s="1"/>
  <c r="D28" i="14"/>
  <c r="IS26" i="47"/>
  <c r="AA135" i="81" s="1"/>
  <c r="IS27" i="47"/>
  <c r="AA136" i="81" s="1"/>
  <c r="D29" i="14"/>
  <c r="IS29" i="47"/>
  <c r="AA140" i="81" s="1"/>
  <c r="IS30" i="47"/>
  <c r="AA141" i="81" s="1"/>
  <c r="D30" i="14"/>
  <c r="IS32" i="47"/>
  <c r="AA145" i="81" s="1"/>
  <c r="IS33" i="47"/>
  <c r="AA146" i="81" s="1"/>
  <c r="D32" i="14"/>
  <c r="IS36" i="47"/>
  <c r="AA152" i="81" s="1"/>
  <c r="AA285" i="81"/>
  <c r="D33" i="14"/>
  <c r="IS37" i="47"/>
  <c r="AA153" i="81" s="1"/>
  <c r="AA286" i="81"/>
  <c r="D35" i="14"/>
  <c r="IS34" i="47"/>
  <c r="AW33" i="51"/>
  <c r="AA430" i="81" s="1"/>
  <c r="H33" i="53"/>
  <c r="AA884" i="81" s="1"/>
  <c r="D37" i="14"/>
  <c r="IS38" i="47"/>
  <c r="AW32" i="51"/>
  <c r="AA427" i="81" s="1"/>
  <c r="H32" i="53"/>
  <c r="D41" i="14"/>
  <c r="IS42" i="47"/>
  <c r="AW37" i="51"/>
  <c r="H37" i="53"/>
  <c r="D42" i="14"/>
  <c r="IS43" i="47"/>
  <c r="AW38" i="51"/>
  <c r="H38" i="53"/>
  <c r="L42" i="14" s="1"/>
  <c r="D43" i="14"/>
  <c r="IS44" i="47"/>
  <c r="L43" i="14" s="1"/>
  <c r="D44" i="14"/>
  <c r="IS45" i="47"/>
  <c r="AW39" i="51"/>
  <c r="H39" i="53"/>
  <c r="D45" i="14"/>
  <c r="IS46" i="47"/>
  <c r="AA109" i="81" s="1"/>
  <c r="AW40" i="51"/>
  <c r="AA364" i="81" s="1"/>
  <c r="H40" i="53"/>
  <c r="AA818" i="81" s="1"/>
  <c r="D46" i="14"/>
  <c r="IS47" i="47"/>
  <c r="AW41" i="51"/>
  <c r="AA365" i="81" s="1"/>
  <c r="H41" i="53"/>
  <c r="AA819" i="81" s="1"/>
  <c r="D47" i="14"/>
  <c r="IS52" i="47"/>
  <c r="AW42" i="51"/>
  <c r="AA432" i="81" s="1"/>
  <c r="H42" i="53"/>
  <c r="AA885" i="81" s="1"/>
  <c r="IS57" i="47"/>
  <c r="AW50" i="51"/>
  <c r="H50" i="53"/>
  <c r="D55" i="14"/>
  <c r="IS56" i="47"/>
  <c r="AW49" i="51"/>
  <c r="H49" i="53"/>
  <c r="D54" i="14"/>
  <c r="K19" i="14"/>
  <c r="K38" i="14"/>
  <c r="K52" i="14"/>
  <c r="K56" i="14"/>
  <c r="J19" i="14"/>
  <c r="J38" i="14"/>
  <c r="J52" i="14"/>
  <c r="J56" i="14"/>
  <c r="I19" i="14"/>
  <c r="I38" i="14"/>
  <c r="I52" i="14"/>
  <c r="I56" i="14"/>
  <c r="H19" i="14"/>
  <c r="H38" i="14"/>
  <c r="H52" i="14"/>
  <c r="H56" i="14"/>
  <c r="E19" i="14"/>
  <c r="E38" i="14"/>
  <c r="E52" i="14"/>
  <c r="F19" i="14"/>
  <c r="F38" i="14"/>
  <c r="F52" i="14"/>
  <c r="G19" i="14"/>
  <c r="G38" i="14"/>
  <c r="G52" i="14"/>
  <c r="G56" i="14"/>
  <c r="M18" i="14"/>
  <c r="M34" i="14"/>
  <c r="M36" i="14"/>
  <c r="F56" i="14"/>
  <c r="E56" i="14"/>
  <c r="D46" i="13"/>
  <c r="L87" i="13"/>
  <c r="K27" i="13"/>
  <c r="K71" i="13" s="1"/>
  <c r="J53" i="37" s="1"/>
  <c r="J54" i="37" s="1"/>
  <c r="J27" i="13"/>
  <c r="J71" i="13" s="1"/>
  <c r="I53" i="37" s="1"/>
  <c r="I54" i="37" s="1"/>
  <c r="I27" i="13"/>
  <c r="H27" i="13"/>
  <c r="H71" i="13" s="1"/>
  <c r="G53" i="37" s="1"/>
  <c r="G54" i="37" s="1"/>
  <c r="G27" i="13"/>
  <c r="G71" i="13" s="1"/>
  <c r="F53" i="37" s="1"/>
  <c r="F54" i="37" s="1"/>
  <c r="F27" i="13"/>
  <c r="F71" i="13" s="1"/>
  <c r="E53" i="37" s="1"/>
  <c r="E54" i="37" s="1"/>
  <c r="E27" i="13"/>
  <c r="E71" i="13" s="1"/>
  <c r="D53" i="37" s="1"/>
  <c r="D54" i="37" s="1"/>
  <c r="D27" i="13"/>
  <c r="H49" i="12"/>
  <c r="J49" i="12" s="1"/>
  <c r="E22" i="12"/>
  <c r="F22" i="12"/>
  <c r="E20" i="12"/>
  <c r="F20" i="12"/>
  <c r="E13" i="12"/>
  <c r="F13" i="12"/>
  <c r="E14" i="12"/>
  <c r="F14" i="12"/>
  <c r="E15" i="12"/>
  <c r="F15" i="12"/>
  <c r="E16" i="12"/>
  <c r="F16" i="12"/>
  <c r="E17" i="12"/>
  <c r="F17" i="12"/>
  <c r="E18" i="12"/>
  <c r="F18" i="12"/>
  <c r="E19" i="12"/>
  <c r="F19" i="12"/>
  <c r="D21" i="12"/>
  <c r="E21" i="12"/>
  <c r="F21" i="12"/>
  <c r="I33" i="12"/>
  <c r="J33" i="12" s="1"/>
  <c r="I32" i="12"/>
  <c r="J32" i="12" s="1"/>
  <c r="I30" i="12"/>
  <c r="J30" i="12" s="1"/>
  <c r="I29" i="12"/>
  <c r="J29" i="12" s="1"/>
  <c r="I28" i="12"/>
  <c r="J28" i="12" s="1"/>
  <c r="I27" i="12"/>
  <c r="J27" i="12" s="1"/>
  <c r="M56" i="12"/>
  <c r="L56" i="12"/>
  <c r="M42" i="12"/>
  <c r="L42" i="12"/>
  <c r="F42" i="12"/>
  <c r="E42" i="12"/>
  <c r="D42" i="12"/>
  <c r="C42" i="12"/>
  <c r="F35" i="12"/>
  <c r="E35" i="12"/>
  <c r="H35" i="12"/>
  <c r="I31" i="12"/>
  <c r="J31" i="12" s="1"/>
  <c r="D35" i="12"/>
  <c r="C35" i="12"/>
  <c r="E19" i="67"/>
  <c r="E54" i="67" s="1"/>
  <c r="E56" i="67" s="1"/>
  <c r="F54" i="67"/>
  <c r="F56" i="67" s="1"/>
  <c r="K30" i="67"/>
  <c r="K24" i="67"/>
  <c r="K25" i="67"/>
  <c r="K26" i="67"/>
  <c r="K27" i="67"/>
  <c r="K28" i="67"/>
  <c r="K29" i="67"/>
  <c r="K34" i="67"/>
  <c r="Q34" i="67" s="1"/>
  <c r="C23" i="12" s="1"/>
  <c r="H23" i="12" s="1"/>
  <c r="J23" i="12" s="1"/>
  <c r="K23" i="67"/>
  <c r="D53" i="11"/>
  <c r="D59" i="11"/>
  <c r="D58" i="11"/>
  <c r="G67" i="11"/>
  <c r="F67" i="11"/>
  <c r="G26" i="11"/>
  <c r="F26" i="11"/>
  <c r="D60" i="11"/>
  <c r="D56" i="11"/>
  <c r="D57" i="11"/>
  <c r="H30" i="54"/>
  <c r="G31" i="16" s="1"/>
  <c r="H31" i="16" s="1"/>
  <c r="C24" i="11" s="1"/>
  <c r="H29" i="54"/>
  <c r="G30" i="16" s="1"/>
  <c r="H30" i="16" s="1"/>
  <c r="C23" i="11" s="1"/>
  <c r="H79" i="54"/>
  <c r="G80" i="16" s="1"/>
  <c r="H80" i="16" s="1"/>
  <c r="H80" i="54"/>
  <c r="G81" i="16" s="1"/>
  <c r="H81" i="16" s="1"/>
  <c r="H81" i="54"/>
  <c r="G82" i="16" s="1"/>
  <c r="H82" i="16" s="1"/>
  <c r="H82" i="54"/>
  <c r="G83" i="16" s="1"/>
  <c r="H83" i="16" s="1"/>
  <c r="H50" i="54"/>
  <c r="G51" i="16" s="1"/>
  <c r="H51" i="16" s="1"/>
  <c r="C35" i="11" s="1"/>
  <c r="H53" i="54"/>
  <c r="G54" i="16" s="1"/>
  <c r="H54" i="16" s="1"/>
  <c r="H54" i="54"/>
  <c r="G55" i="16" s="1"/>
  <c r="H55" i="16" s="1"/>
  <c r="C36" i="11" s="1"/>
  <c r="H49" i="54"/>
  <c r="G50" i="16" s="1"/>
  <c r="H50" i="16" s="1"/>
  <c r="C38" i="11" s="1"/>
  <c r="H60" i="54"/>
  <c r="G61" i="16" s="1"/>
  <c r="H47" i="54"/>
  <c r="H48" i="54"/>
  <c r="H55" i="54"/>
  <c r="G56" i="16" s="1"/>
  <c r="H56" i="16" s="1"/>
  <c r="H51" i="54"/>
  <c r="G52" i="16" s="1"/>
  <c r="H52" i="16" s="1"/>
  <c r="H52" i="54"/>
  <c r="G53" i="16" s="1"/>
  <c r="H53" i="16" s="1"/>
  <c r="H61" i="54"/>
  <c r="G62" i="16" s="1"/>
  <c r="H62" i="16" s="1"/>
  <c r="H62" i="54"/>
  <c r="G63" i="16" s="1"/>
  <c r="H63" i="16" s="1"/>
  <c r="H63" i="54"/>
  <c r="G64" i="16" s="1"/>
  <c r="H64" i="16" s="1"/>
  <c r="H66" i="54"/>
  <c r="G67" i="16" s="1"/>
  <c r="H67" i="16" s="1"/>
  <c r="H14" i="54"/>
  <c r="G15" i="16" s="1"/>
  <c r="H15" i="16" s="1"/>
  <c r="C10" i="11" s="1"/>
  <c r="H13" i="54"/>
  <c r="G14" i="16" s="1"/>
  <c r="H14" i="16" s="1"/>
  <c r="C11" i="11" s="1"/>
  <c r="H15" i="54"/>
  <c r="G16" i="16" s="1"/>
  <c r="H16" i="16" s="1"/>
  <c r="H16" i="54"/>
  <c r="G17" i="16" s="1"/>
  <c r="H17" i="16" s="1"/>
  <c r="H17" i="54"/>
  <c r="G18" i="16" s="1"/>
  <c r="H18" i="16" s="1"/>
  <c r="H20" i="54"/>
  <c r="G21" i="16" s="1"/>
  <c r="H21" i="16" s="1"/>
  <c r="H19" i="54"/>
  <c r="G20" i="16" s="1"/>
  <c r="H20" i="16" s="1"/>
  <c r="H18" i="54"/>
  <c r="G19" i="16" s="1"/>
  <c r="H19" i="16" s="1"/>
  <c r="C18" i="11" s="1"/>
  <c r="H24" i="54"/>
  <c r="G25" i="16" s="1"/>
  <c r="H25" i="16" s="1"/>
  <c r="C13" i="11" s="1"/>
  <c r="H25" i="54"/>
  <c r="G26" i="16" s="1"/>
  <c r="H26" i="16" s="1"/>
  <c r="C14" i="11" s="1"/>
  <c r="H26" i="54"/>
  <c r="G27" i="16" s="1"/>
  <c r="H27" i="54"/>
  <c r="G28" i="16" s="1"/>
  <c r="H28" i="16" s="1"/>
  <c r="H31" i="54"/>
  <c r="G32" i="16" s="1"/>
  <c r="H32" i="16" s="1"/>
  <c r="H32" i="54"/>
  <c r="G33" i="16" s="1"/>
  <c r="H33" i="16" s="1"/>
  <c r="H33" i="54"/>
  <c r="G34" i="16" s="1"/>
  <c r="H34" i="16" s="1"/>
  <c r="H34" i="54"/>
  <c r="G35" i="16" s="1"/>
  <c r="H35" i="16" s="1"/>
  <c r="H35" i="54"/>
  <c r="G36" i="16" s="1"/>
  <c r="H36" i="16" s="1"/>
  <c r="H12" i="54"/>
  <c r="G13" i="16" s="1"/>
  <c r="F19" i="19"/>
  <c r="F31" i="19"/>
  <c r="E19" i="19"/>
  <c r="E31" i="19"/>
  <c r="D19" i="19"/>
  <c r="D31" i="19"/>
  <c r="G31" i="19"/>
  <c r="G19" i="19"/>
  <c r="D36" i="54"/>
  <c r="D77" i="54" s="1"/>
  <c r="E36" i="54"/>
  <c r="E77" i="54" s="1"/>
  <c r="F36" i="54"/>
  <c r="F77" i="54" s="1"/>
  <c r="G36" i="54"/>
  <c r="G77" i="54" s="1"/>
  <c r="G37" i="54"/>
  <c r="F37" i="54"/>
  <c r="E37" i="54"/>
  <c r="D37" i="54"/>
  <c r="H59" i="54"/>
  <c r="G67" i="54"/>
  <c r="G57" i="54"/>
  <c r="F67" i="54"/>
  <c r="F57" i="54"/>
  <c r="E67" i="54"/>
  <c r="E57" i="54"/>
  <c r="G21" i="54"/>
  <c r="F21" i="54"/>
  <c r="E21" i="54"/>
  <c r="D21" i="54"/>
  <c r="D57" i="54"/>
  <c r="D67" i="54"/>
  <c r="I78" i="16"/>
  <c r="I54" i="16"/>
  <c r="I35" i="16"/>
  <c r="I31" i="16"/>
  <c r="I28" i="16"/>
  <c r="C37" i="16"/>
  <c r="C78" i="16" s="1"/>
  <c r="D37" i="16"/>
  <c r="D78" i="16" s="1"/>
  <c r="E37" i="16"/>
  <c r="E78" i="16" s="1"/>
  <c r="F37" i="16"/>
  <c r="F78" i="16" s="1"/>
  <c r="F38" i="16"/>
  <c r="E38" i="16"/>
  <c r="D38" i="16"/>
  <c r="C38" i="16"/>
  <c r="F68" i="16"/>
  <c r="E68" i="16"/>
  <c r="D68" i="16"/>
  <c r="F22" i="16"/>
  <c r="E22" i="16"/>
  <c r="D22" i="16"/>
  <c r="C22" i="16"/>
  <c r="C68" i="16"/>
  <c r="A37" i="56"/>
  <c r="A36" i="56"/>
  <c r="C54" i="56"/>
  <c r="B54" i="56"/>
  <c r="F14" i="56"/>
  <c r="F34" i="56"/>
  <c r="D20" i="56"/>
  <c r="D29" i="56"/>
  <c r="D34" i="56"/>
  <c r="C20" i="56"/>
  <c r="C29" i="56"/>
  <c r="C34" i="56"/>
  <c r="D54" i="56"/>
  <c r="B15" i="56"/>
  <c r="B20" i="56"/>
  <c r="B29" i="56"/>
  <c r="B34" i="56"/>
  <c r="I27" i="28"/>
  <c r="K31" i="28"/>
  <c r="K30" i="28"/>
  <c r="K29" i="28"/>
  <c r="K28" i="28"/>
  <c r="K27" i="28"/>
  <c r="I23" i="28"/>
  <c r="I22" i="28"/>
  <c r="I21" i="28"/>
  <c r="I20" i="28"/>
  <c r="I19" i="28"/>
  <c r="I15" i="28"/>
  <c r="I14" i="28"/>
  <c r="M46" i="28"/>
  <c r="M58" i="28"/>
  <c r="G28" i="28"/>
  <c r="M20" i="28"/>
  <c r="K20" i="28"/>
  <c r="G20" i="28"/>
  <c r="M53" i="28"/>
  <c r="M65" i="28"/>
  <c r="M64" i="28"/>
  <c r="M63" i="28"/>
  <c r="M62" i="28"/>
  <c r="M61" i="28"/>
  <c r="M60" i="28"/>
  <c r="M59" i="28"/>
  <c r="M57" i="28"/>
  <c r="M52" i="28"/>
  <c r="M51" i="28"/>
  <c r="M50" i="28"/>
  <c r="M49" i="28"/>
  <c r="M48" i="28"/>
  <c r="M47" i="28"/>
  <c r="M45" i="28"/>
  <c r="M41" i="28"/>
  <c r="M40" i="28"/>
  <c r="M39" i="28"/>
  <c r="K42" i="28"/>
  <c r="K54" i="28"/>
  <c r="K66" i="28"/>
  <c r="I42" i="28"/>
  <c r="I54" i="28"/>
  <c r="I66" i="28"/>
  <c r="G42" i="28"/>
  <c r="G54" i="28"/>
  <c r="G66" i="28"/>
  <c r="G19" i="28"/>
  <c r="K19" i="28"/>
  <c r="G21" i="28"/>
  <c r="K21" i="28"/>
  <c r="G22" i="28"/>
  <c r="K22" i="28"/>
  <c r="G23" i="28"/>
  <c r="K23" i="28"/>
  <c r="G27" i="28"/>
  <c r="G29" i="28"/>
  <c r="G30" i="28"/>
  <c r="G31" i="28"/>
  <c r="G14" i="28"/>
  <c r="K14" i="28"/>
  <c r="G15" i="28"/>
  <c r="K15" i="28"/>
  <c r="L59" i="29"/>
  <c r="J59" i="29"/>
  <c r="J46" i="29"/>
  <c r="J31" i="29"/>
  <c r="J47" i="30"/>
  <c r="L33" i="30"/>
  <c r="J33" i="30"/>
  <c r="L18" i="30"/>
  <c r="J18" i="30"/>
  <c r="F42" i="34"/>
  <c r="H32" i="67"/>
  <c r="H38" i="67" s="1"/>
  <c r="C36" i="67"/>
  <c r="Q36" i="67" s="1"/>
  <c r="Q18" i="67"/>
  <c r="P19" i="67"/>
  <c r="P38" i="67"/>
  <c r="P52" i="67"/>
  <c r="P56" i="67"/>
  <c r="O19" i="67"/>
  <c r="O38" i="67"/>
  <c r="O52" i="67"/>
  <c r="O56" i="67"/>
  <c r="I38" i="67"/>
  <c r="I19" i="67"/>
  <c r="I52" i="67"/>
  <c r="J38" i="67"/>
  <c r="J19" i="67"/>
  <c r="J39" i="67" s="1"/>
  <c r="J52" i="67"/>
  <c r="N52" i="67"/>
  <c r="N19" i="67"/>
  <c r="N38" i="67"/>
  <c r="N39" i="67" s="1"/>
  <c r="N56" i="67"/>
  <c r="M19" i="67"/>
  <c r="M38" i="67"/>
  <c r="C70" i="77" s="1"/>
  <c r="M52" i="67"/>
  <c r="M56" i="67"/>
  <c r="L19" i="67"/>
  <c r="L38" i="67"/>
  <c r="L39" i="67" s="1"/>
  <c r="L53" i="67" s="1"/>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C58"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40" i="42" s="1"/>
  <c r="Y54" i="42"/>
  <c r="Y58"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2" s="1"/>
  <c r="X55" i="42" s="1"/>
  <c r="X40" i="41"/>
  <c r="X54" i="42"/>
  <c r="W39" i="42"/>
  <c r="W40" i="41"/>
  <c r="W54" i="42"/>
  <c r="U39" i="42"/>
  <c r="U40" i="41"/>
  <c r="U54" i="42"/>
  <c r="U58"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40" i="42" s="1"/>
  <c r="T54" i="42"/>
  <c r="S39" i="42"/>
  <c r="S40" i="41"/>
  <c r="S54" i="42"/>
  <c r="Q39" i="42"/>
  <c r="Q40" i="41"/>
  <c r="Q54" i="42"/>
  <c r="Q58"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M58" i="42"/>
  <c r="I39" i="42"/>
  <c r="I40" i="41"/>
  <c r="I54" i="42"/>
  <c r="I58" i="42"/>
  <c r="E39" i="42"/>
  <c r="E40" i="41"/>
  <c r="E54" i="42"/>
  <c r="E58"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39" i="51"/>
  <c r="AT40" i="51"/>
  <c r="AT41" i="51"/>
  <c r="AT42" i="51"/>
  <c r="AS29" i="51"/>
  <c r="AS34" i="51"/>
  <c r="AS47" i="51"/>
  <c r="AR29" i="51"/>
  <c r="AR34" i="51"/>
  <c r="AR47" i="51"/>
  <c r="AQ29" i="51"/>
  <c r="AQ47" i="51"/>
  <c r="AP10" i="51"/>
  <c r="AP11" i="51"/>
  <c r="AP13" i="51"/>
  <c r="AP14" i="51"/>
  <c r="AP15" i="51"/>
  <c r="AP16" i="51"/>
  <c r="AP17" i="51"/>
  <c r="AP18" i="51"/>
  <c r="AP20" i="51"/>
  <c r="AP21" i="51"/>
  <c r="AP22" i="51"/>
  <c r="AP24" i="51"/>
  <c r="AP25" i="51"/>
  <c r="AP26" i="51"/>
  <c r="AP27" i="51"/>
  <c r="AP32" i="51"/>
  <c r="AP33" i="51"/>
  <c r="AP37" i="51"/>
  <c r="AP38" i="51"/>
  <c r="AP39" i="51"/>
  <c r="AP40" i="51"/>
  <c r="AP41" i="51"/>
  <c r="AP42" i="51"/>
  <c r="AO29" i="51"/>
  <c r="AO34" i="51"/>
  <c r="AO47" i="51"/>
  <c r="AN29" i="51"/>
  <c r="AN34" i="51"/>
  <c r="AN47" i="51"/>
  <c r="AM29" i="51"/>
  <c r="AM47" i="51"/>
  <c r="AL10" i="51"/>
  <c r="AL11" i="51"/>
  <c r="AL13" i="51"/>
  <c r="AL14" i="51"/>
  <c r="AL15" i="51"/>
  <c r="AL16" i="51"/>
  <c r="AL17" i="51"/>
  <c r="AL18" i="51"/>
  <c r="AL20" i="51"/>
  <c r="AL21" i="51"/>
  <c r="AL22" i="51"/>
  <c r="AL24" i="51"/>
  <c r="AL25" i="51"/>
  <c r="AL26" i="51"/>
  <c r="AL27" i="51"/>
  <c r="AL32" i="51"/>
  <c r="AL33" i="51"/>
  <c r="AL37" i="51"/>
  <c r="AL38" i="51"/>
  <c r="AL39" i="51"/>
  <c r="AL40" i="51"/>
  <c r="AL41" i="51"/>
  <c r="AL42" i="51"/>
  <c r="AK29" i="51"/>
  <c r="AK34" i="51"/>
  <c r="AK47" i="51"/>
  <c r="AJ29" i="51"/>
  <c r="AJ34" i="51"/>
  <c r="AJ47" i="51"/>
  <c r="AI29" i="51"/>
  <c r="AI35" i="51" s="1"/>
  <c r="AI47" i="51"/>
  <c r="AH10" i="51"/>
  <c r="AH11" i="51"/>
  <c r="AH13" i="51"/>
  <c r="AH14" i="51"/>
  <c r="AH15" i="51"/>
  <c r="AH16" i="51"/>
  <c r="AH17" i="51"/>
  <c r="AH18" i="51"/>
  <c r="AH20" i="51"/>
  <c r="AH21" i="51"/>
  <c r="AH22" i="51"/>
  <c r="AH24" i="51"/>
  <c r="AH25" i="51"/>
  <c r="AH26" i="51"/>
  <c r="AH27" i="51"/>
  <c r="AH32" i="51"/>
  <c r="AH33" i="51"/>
  <c r="AH37" i="51"/>
  <c r="AH38" i="51"/>
  <c r="AH39" i="51"/>
  <c r="AH40" i="51"/>
  <c r="AH41" i="51"/>
  <c r="AH42" i="51"/>
  <c r="AG29" i="51"/>
  <c r="AG34" i="51"/>
  <c r="AG47" i="51"/>
  <c r="AF29" i="51"/>
  <c r="AF34" i="51"/>
  <c r="AF47" i="51"/>
  <c r="AE29" i="51"/>
  <c r="AE47" i="51"/>
  <c r="AD10" i="51"/>
  <c r="AD29" i="51" s="1"/>
  <c r="AD11" i="51"/>
  <c r="AD13" i="51"/>
  <c r="AD14" i="51"/>
  <c r="AD15" i="51"/>
  <c r="AD16" i="51"/>
  <c r="AD17" i="51"/>
  <c r="AD18" i="51"/>
  <c r="AD20" i="51"/>
  <c r="AD21" i="51"/>
  <c r="AD22" i="51"/>
  <c r="AD24" i="51"/>
  <c r="AD25" i="51"/>
  <c r="AD26" i="51"/>
  <c r="AD27" i="51"/>
  <c r="AD32" i="51"/>
  <c r="AD33" i="51"/>
  <c r="AD37" i="51"/>
  <c r="AD38" i="51"/>
  <c r="AD39" i="51"/>
  <c r="AD40" i="51"/>
  <c r="AD41" i="51"/>
  <c r="AD42" i="51"/>
  <c r="AC29" i="51"/>
  <c r="AC34" i="51"/>
  <c r="AC47" i="51"/>
  <c r="AB29" i="51"/>
  <c r="AB34" i="51"/>
  <c r="AB47" i="51"/>
  <c r="AA29" i="51"/>
  <c r="AA47" i="51"/>
  <c r="Z10" i="51"/>
  <c r="Z11" i="51"/>
  <c r="Z13" i="51"/>
  <c r="Z14" i="51"/>
  <c r="Z15" i="51"/>
  <c r="Z16" i="51"/>
  <c r="Z17" i="51"/>
  <c r="Z18" i="51"/>
  <c r="Z20" i="51"/>
  <c r="Z21" i="51"/>
  <c r="Z22" i="51"/>
  <c r="Z24" i="51"/>
  <c r="Z25" i="51"/>
  <c r="Z26" i="51"/>
  <c r="Z27" i="51"/>
  <c r="Z32" i="51"/>
  <c r="Z33" i="51"/>
  <c r="Z37" i="51"/>
  <c r="Z38" i="51"/>
  <c r="Z39" i="51"/>
  <c r="Z40" i="51"/>
  <c r="Z41" i="51"/>
  <c r="Z42" i="51"/>
  <c r="Y29" i="51"/>
  <c r="Y34" i="51"/>
  <c r="Y47" i="51"/>
  <c r="X29" i="51"/>
  <c r="X34" i="51"/>
  <c r="X47" i="51"/>
  <c r="W29" i="51"/>
  <c r="W47" i="51"/>
  <c r="V10" i="51"/>
  <c r="V11" i="51"/>
  <c r="V13" i="51"/>
  <c r="V14" i="51"/>
  <c r="V15" i="51"/>
  <c r="V16" i="51"/>
  <c r="V17" i="51"/>
  <c r="V18" i="51"/>
  <c r="V20" i="51"/>
  <c r="V21" i="51"/>
  <c r="V22" i="51"/>
  <c r="V24" i="51"/>
  <c r="V25" i="51"/>
  <c r="V26" i="51"/>
  <c r="V27" i="51"/>
  <c r="V32" i="51"/>
  <c r="V33" i="51"/>
  <c r="V37" i="51"/>
  <c r="V38" i="51"/>
  <c r="V39" i="51"/>
  <c r="V40" i="51"/>
  <c r="V41" i="51"/>
  <c r="V42" i="51"/>
  <c r="U29" i="51"/>
  <c r="U35" i="51" s="1"/>
  <c r="U48" i="51" s="1"/>
  <c r="U34" i="51"/>
  <c r="U47" i="51"/>
  <c r="T29" i="51"/>
  <c r="T34" i="51"/>
  <c r="T47" i="51"/>
  <c r="S29" i="51"/>
  <c r="S47" i="51"/>
  <c r="R10" i="51"/>
  <c r="R29" i="51" s="1"/>
  <c r="R11" i="51"/>
  <c r="R13" i="51"/>
  <c r="R14" i="51"/>
  <c r="R15" i="51"/>
  <c r="R16" i="51"/>
  <c r="R17" i="51"/>
  <c r="R18" i="51"/>
  <c r="R20" i="51"/>
  <c r="R21" i="51"/>
  <c r="R22" i="51"/>
  <c r="R24" i="51"/>
  <c r="R25" i="51"/>
  <c r="R26" i="51"/>
  <c r="R27" i="51"/>
  <c r="R32" i="51"/>
  <c r="R33" i="51"/>
  <c r="R37" i="51"/>
  <c r="R38" i="51"/>
  <c r="R39" i="51"/>
  <c r="R40" i="51"/>
  <c r="R41" i="51"/>
  <c r="R42" i="51"/>
  <c r="Q29" i="51"/>
  <c r="Q34" i="51"/>
  <c r="Q47" i="51"/>
  <c r="P29" i="51"/>
  <c r="P34" i="51"/>
  <c r="P47" i="51"/>
  <c r="O29" i="51"/>
  <c r="O35" i="51" s="1"/>
  <c r="O47" i="51"/>
  <c r="N10" i="51"/>
  <c r="N11" i="51"/>
  <c r="N13" i="51"/>
  <c r="N14" i="51"/>
  <c r="N15" i="51"/>
  <c r="N16" i="51"/>
  <c r="N17" i="51"/>
  <c r="N18" i="51"/>
  <c r="N20" i="51"/>
  <c r="N21" i="51"/>
  <c r="N22" i="51"/>
  <c r="N24" i="51"/>
  <c r="N25" i="51"/>
  <c r="N26" i="51"/>
  <c r="N27" i="51"/>
  <c r="N32" i="51"/>
  <c r="N33" i="51"/>
  <c r="N37" i="51"/>
  <c r="N38" i="51"/>
  <c r="N39" i="51"/>
  <c r="N40" i="51"/>
  <c r="N41" i="51"/>
  <c r="N42" i="51"/>
  <c r="M29" i="51"/>
  <c r="M34" i="51"/>
  <c r="M47" i="51"/>
  <c r="L29" i="51"/>
  <c r="L34" i="51"/>
  <c r="L47" i="51"/>
  <c r="K29" i="51"/>
  <c r="K47" i="51"/>
  <c r="J10" i="51"/>
  <c r="J11" i="51"/>
  <c r="J13" i="51"/>
  <c r="J14" i="51"/>
  <c r="J15" i="51"/>
  <c r="J16" i="51"/>
  <c r="J17" i="51"/>
  <c r="J18" i="51"/>
  <c r="J20" i="51"/>
  <c r="J21" i="51"/>
  <c r="J22" i="51"/>
  <c r="J24" i="51"/>
  <c r="J25" i="51"/>
  <c r="J26" i="51"/>
  <c r="J27" i="51"/>
  <c r="J32" i="51"/>
  <c r="J33" i="51"/>
  <c r="J37" i="51"/>
  <c r="J38" i="51"/>
  <c r="J39" i="51"/>
  <c r="J40" i="51"/>
  <c r="J41" i="51"/>
  <c r="J42" i="51"/>
  <c r="I29" i="51"/>
  <c r="I35" i="51" s="1"/>
  <c r="I34" i="51"/>
  <c r="I47" i="51"/>
  <c r="H29" i="51"/>
  <c r="H34" i="51"/>
  <c r="H47" i="51"/>
  <c r="G29" i="51"/>
  <c r="G35" i="51" s="1"/>
  <c r="G47" i="51"/>
  <c r="F10" i="51"/>
  <c r="F11" i="51"/>
  <c r="F13" i="51"/>
  <c r="F14" i="51"/>
  <c r="F15" i="51"/>
  <c r="F16" i="51"/>
  <c r="F17" i="51"/>
  <c r="F18" i="51"/>
  <c r="F20" i="51"/>
  <c r="F21" i="51"/>
  <c r="F22" i="51"/>
  <c r="F24" i="51"/>
  <c r="F25" i="51"/>
  <c r="F26" i="51"/>
  <c r="F27" i="51"/>
  <c r="F32" i="51"/>
  <c r="F33" i="51"/>
  <c r="F37" i="51"/>
  <c r="F38" i="51"/>
  <c r="F39" i="51"/>
  <c r="F40" i="51"/>
  <c r="F41" i="51"/>
  <c r="F42" i="51"/>
  <c r="D29" i="51"/>
  <c r="D34" i="51"/>
  <c r="D47" i="51"/>
  <c r="C29" i="51"/>
  <c r="C47" i="51"/>
  <c r="AS51" i="51"/>
  <c r="AO51" i="51"/>
  <c r="AK51" i="51"/>
  <c r="AG51" i="51"/>
  <c r="AC51" i="51"/>
  <c r="Y51" i="51"/>
  <c r="U51" i="51"/>
  <c r="Q51" i="51"/>
  <c r="M51" i="51"/>
  <c r="I51" i="51"/>
  <c r="E29" i="51"/>
  <c r="E34" i="51"/>
  <c r="E47" i="51"/>
  <c r="E51" i="51"/>
  <c r="AV42" i="51"/>
  <c r="AV41" i="51"/>
  <c r="AV40" i="51"/>
  <c r="AV39" i="51"/>
  <c r="AV38" i="51"/>
  <c r="AV37" i="51"/>
  <c r="AV33" i="51"/>
  <c r="AV32" i="51"/>
  <c r="AV27" i="51"/>
  <c r="AV26" i="51"/>
  <c r="AV25" i="51"/>
  <c r="AV24" i="51"/>
  <c r="AV22" i="51"/>
  <c r="AV21" i="51"/>
  <c r="AV20" i="51"/>
  <c r="AV18" i="51"/>
  <c r="AV17" i="51"/>
  <c r="AV16" i="51"/>
  <c r="AV15" i="51"/>
  <c r="AW14" i="51"/>
  <c r="AV14" i="51"/>
  <c r="AV13" i="51"/>
  <c r="AV11" i="51"/>
  <c r="AU42" i="51"/>
  <c r="AU41" i="51"/>
  <c r="AU40" i="51"/>
  <c r="AU39" i="51"/>
  <c r="AU38" i="51"/>
  <c r="AU37" i="51"/>
  <c r="AU33" i="51"/>
  <c r="AU32" i="51"/>
  <c r="AU27" i="51"/>
  <c r="AU26" i="51"/>
  <c r="AU25" i="51"/>
  <c r="AU24" i="51"/>
  <c r="AU22" i="51"/>
  <c r="AU21" i="51"/>
  <c r="AU20" i="51"/>
  <c r="AU18" i="51"/>
  <c r="AU17" i="51"/>
  <c r="AU16" i="51"/>
  <c r="AU15" i="51"/>
  <c r="AU14" i="51"/>
  <c r="AU13" i="51"/>
  <c r="AU11" i="51"/>
  <c r="AW10" i="51"/>
  <c r="AA322" i="81" s="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5" i="49" s="1"/>
  <c r="T34" i="49"/>
  <c r="T44" i="49"/>
  <c r="X27" i="49"/>
  <c r="X34" i="49"/>
  <c r="X35" i="49" s="1"/>
  <c r="X44" i="49"/>
  <c r="Y27" i="49"/>
  <c r="Y34" i="49"/>
  <c r="Y44" i="49"/>
  <c r="U27" i="49"/>
  <c r="U34" i="49"/>
  <c r="U44" i="49"/>
  <c r="Q27" i="49"/>
  <c r="Q35" i="49" s="1"/>
  <c r="Q34" i="49"/>
  <c r="Q44" i="49"/>
  <c r="M27" i="49"/>
  <c r="M34" i="49"/>
  <c r="M44" i="49"/>
  <c r="I27" i="49"/>
  <c r="I34" i="49"/>
  <c r="I44" i="49"/>
  <c r="E27" i="49"/>
  <c r="E34" i="49"/>
  <c r="E44" i="49"/>
  <c r="Y48" i="49"/>
  <c r="U48" i="49"/>
  <c r="Q48" i="49"/>
  <c r="M48" i="49"/>
  <c r="I48" i="49"/>
  <c r="E48" i="49"/>
  <c r="BO40" i="46"/>
  <c r="BO39" i="47"/>
  <c r="BN11" i="47"/>
  <c r="E39" i="47"/>
  <c r="E40" i="46"/>
  <c r="E54" i="47"/>
  <c r="E58" i="47"/>
  <c r="I39" i="47"/>
  <c r="I40" i="46"/>
  <c r="I54" i="47"/>
  <c r="I58" i="47"/>
  <c r="M39" i="47"/>
  <c r="M40" i="46"/>
  <c r="M54" i="47"/>
  <c r="M58" i="47"/>
  <c r="Q39" i="47"/>
  <c r="Q40" i="46"/>
  <c r="Q40" i="47" s="1"/>
  <c r="Q54" i="47"/>
  <c r="Q58" i="47"/>
  <c r="U39" i="47"/>
  <c r="U40" i="46"/>
  <c r="U54" i="47"/>
  <c r="U58" i="47"/>
  <c r="Y39" i="47"/>
  <c r="Y40" i="46"/>
  <c r="Y54" i="47"/>
  <c r="Y58" i="47"/>
  <c r="AC39" i="47"/>
  <c r="AC40" i="46"/>
  <c r="AC54" i="47"/>
  <c r="AC58" i="47"/>
  <c r="AG39" i="47"/>
  <c r="AG40" i="46"/>
  <c r="AG54" i="47"/>
  <c r="AG58" i="47"/>
  <c r="AK39" i="47"/>
  <c r="AK40" i="47" s="1"/>
  <c r="AK40" i="46"/>
  <c r="AK54" i="47"/>
  <c r="AK58" i="47"/>
  <c r="AO39" i="47"/>
  <c r="AO40" i="46"/>
  <c r="AO40" i="47" s="1"/>
  <c r="AO55" i="47" s="1"/>
  <c r="AO54" i="47"/>
  <c r="AO58" i="47"/>
  <c r="AS39" i="47"/>
  <c r="AS40" i="46"/>
  <c r="AS54" i="47"/>
  <c r="AS58" i="47"/>
  <c r="AW39" i="47"/>
  <c r="AW40" i="46"/>
  <c r="AW40" i="47" s="1"/>
  <c r="AW55" i="47" s="1"/>
  <c r="AW54" i="47"/>
  <c r="AW58" i="47"/>
  <c r="BA39" i="47"/>
  <c r="BA40" i="46"/>
  <c r="BA54" i="47"/>
  <c r="BA58" i="47"/>
  <c r="BE39" i="47"/>
  <c r="BE40" i="46"/>
  <c r="BE54" i="47"/>
  <c r="BE58" i="47"/>
  <c r="BI39" i="47"/>
  <c r="BI40" i="46"/>
  <c r="BI54" i="47"/>
  <c r="BI58" i="47"/>
  <c r="BM39" i="47"/>
  <c r="BM40" i="46"/>
  <c r="BM54" i="47"/>
  <c r="BM58" i="47"/>
  <c r="BQ39" i="47"/>
  <c r="BQ40" i="46"/>
  <c r="BQ54" i="47"/>
  <c r="BQ58" i="47"/>
  <c r="BU39" i="47"/>
  <c r="BU40" i="46"/>
  <c r="BU40" i="47" s="1"/>
  <c r="BU54" i="47"/>
  <c r="BU58" i="47"/>
  <c r="BY39" i="47"/>
  <c r="BY40" i="46"/>
  <c r="BY54" i="47"/>
  <c r="BY58" i="47"/>
  <c r="CC39" i="47"/>
  <c r="CC40" i="46"/>
  <c r="CC40" i="47"/>
  <c r="CC55" i="47" s="1"/>
  <c r="CC59" i="47" s="1"/>
  <c r="CC54" i="47"/>
  <c r="CC58" i="47"/>
  <c r="CG39" i="47"/>
  <c r="CG40" i="46"/>
  <c r="CG54" i="47"/>
  <c r="CG58" i="47"/>
  <c r="CK39" i="47"/>
  <c r="CK40" i="46"/>
  <c r="CK54" i="47"/>
  <c r="CK58" i="47"/>
  <c r="CO39" i="47"/>
  <c r="CO40" i="46"/>
  <c r="CO54" i="47"/>
  <c r="CO58" i="47"/>
  <c r="CS39" i="47"/>
  <c r="CS40" i="46"/>
  <c r="CS54" i="47"/>
  <c r="CS58" i="47"/>
  <c r="CW39" i="47"/>
  <c r="CW40" i="46"/>
  <c r="CW40" i="47" s="1"/>
  <c r="CW54" i="47"/>
  <c r="CW58" i="47"/>
  <c r="DA39" i="47"/>
  <c r="DA40" i="46"/>
  <c r="DA54" i="47"/>
  <c r="DA58" i="47"/>
  <c r="DE39" i="47"/>
  <c r="DE40" i="46"/>
  <c r="DE54" i="47"/>
  <c r="DE58" i="47"/>
  <c r="DI39" i="47"/>
  <c r="DI40" i="46"/>
  <c r="DI40" i="47" s="1"/>
  <c r="DI54" i="47"/>
  <c r="DI58" i="47"/>
  <c r="DM39" i="47"/>
  <c r="DM40" i="46"/>
  <c r="DM54" i="47"/>
  <c r="DM58" i="47"/>
  <c r="DQ39" i="47"/>
  <c r="DQ40" i="46"/>
  <c r="DQ54" i="47"/>
  <c r="DQ58" i="47"/>
  <c r="DU39" i="47"/>
  <c r="DU40" i="46"/>
  <c r="DU54" i="47"/>
  <c r="DU58" i="47"/>
  <c r="DY39" i="47"/>
  <c r="DY40" i="46"/>
  <c r="DY54" i="47"/>
  <c r="DY58" i="47"/>
  <c r="EC39" i="47"/>
  <c r="EC40" i="47" s="1"/>
  <c r="EC40" i="46"/>
  <c r="EC54" i="47"/>
  <c r="EC58" i="47"/>
  <c r="EG39" i="47"/>
  <c r="EG40" i="46"/>
  <c r="EG40" i="47" s="1"/>
  <c r="EG55" i="47" s="1"/>
  <c r="EG54" i="47"/>
  <c r="EG58" i="47"/>
  <c r="EK39" i="47"/>
  <c r="EK40" i="46"/>
  <c r="EK54" i="47"/>
  <c r="EK58" i="47"/>
  <c r="EO39" i="47"/>
  <c r="EO40" i="46"/>
  <c r="EO54" i="47"/>
  <c r="EO58" i="47"/>
  <c r="ES39" i="47"/>
  <c r="ES40" i="46"/>
  <c r="ES54" i="47"/>
  <c r="ES58" i="47"/>
  <c r="EW39" i="47"/>
  <c r="EW40" i="46"/>
  <c r="EW54" i="47"/>
  <c r="EW58" i="47"/>
  <c r="FA39" i="47"/>
  <c r="FA40" i="46"/>
  <c r="FA40" i="47" s="1"/>
  <c r="FA54" i="47"/>
  <c r="FA58" i="47"/>
  <c r="FE39" i="47"/>
  <c r="FE40" i="46"/>
  <c r="FE54" i="47"/>
  <c r="FE58" i="47"/>
  <c r="FI39" i="47"/>
  <c r="FI40" i="46"/>
  <c r="FI54" i="47"/>
  <c r="FI58" i="47"/>
  <c r="FM39" i="47"/>
  <c r="FM40" i="46"/>
  <c r="FM40" i="47" s="1"/>
  <c r="FM54" i="47"/>
  <c r="FM58" i="47"/>
  <c r="FQ39" i="47"/>
  <c r="FQ40" i="46"/>
  <c r="FQ54" i="47"/>
  <c r="FQ58" i="47"/>
  <c r="FU39" i="47"/>
  <c r="FU40" i="46"/>
  <c r="FU54" i="47"/>
  <c r="FU58" i="47"/>
  <c r="FY39" i="47"/>
  <c r="FY40" i="46"/>
  <c r="FY54" i="47"/>
  <c r="FY58" i="47"/>
  <c r="GC39" i="47"/>
  <c r="GC40" i="46"/>
  <c r="GC54" i="47"/>
  <c r="GC58" i="47"/>
  <c r="GG39" i="47"/>
  <c r="GG40" i="46"/>
  <c r="GG54" i="47"/>
  <c r="GG58" i="47"/>
  <c r="GK39" i="47"/>
  <c r="GK40" i="46"/>
  <c r="GK54" i="47"/>
  <c r="GK58" i="47"/>
  <c r="GO39" i="47"/>
  <c r="GO40" i="46"/>
  <c r="GO54" i="47"/>
  <c r="GO58" i="47"/>
  <c r="GS39" i="47"/>
  <c r="GS40" i="46"/>
  <c r="GS40" i="47"/>
  <c r="GS54" i="47"/>
  <c r="GS58" i="47"/>
  <c r="GW39" i="47"/>
  <c r="GW40" i="46"/>
  <c r="GW40" i="47" s="1"/>
  <c r="GW55" i="47" s="1"/>
  <c r="GW54" i="47"/>
  <c r="GW58" i="47"/>
  <c r="HA39" i="47"/>
  <c r="HA40" i="46"/>
  <c r="HA54" i="47"/>
  <c r="HA58" i="47"/>
  <c r="HE39" i="47"/>
  <c r="HE40" i="46"/>
  <c r="HE54" i="47"/>
  <c r="HE58" i="47"/>
  <c r="HI39" i="47"/>
  <c r="HI40" i="46"/>
  <c r="HI54" i="47"/>
  <c r="HI58" i="47"/>
  <c r="HM39" i="47"/>
  <c r="HM40" i="46"/>
  <c r="HM54" i="47"/>
  <c r="HM58" i="47"/>
  <c r="HQ39" i="47"/>
  <c r="HQ40" i="46"/>
  <c r="HQ54" i="47"/>
  <c r="HQ58" i="47"/>
  <c r="HU39" i="47"/>
  <c r="HU40" i="46"/>
  <c r="HU54" i="47"/>
  <c r="HU58" i="47"/>
  <c r="HY39" i="47"/>
  <c r="HY40" i="46"/>
  <c r="HY54" i="47"/>
  <c r="HY58" i="47"/>
  <c r="IC39" i="47"/>
  <c r="IC40" i="46"/>
  <c r="IC40" i="47" s="1"/>
  <c r="IC54" i="47"/>
  <c r="IC58" i="47"/>
  <c r="IG39" i="47"/>
  <c r="IG40" i="46"/>
  <c r="IG54" i="47"/>
  <c r="IG58" i="47"/>
  <c r="IK39" i="47"/>
  <c r="IK40" i="46"/>
  <c r="IK54" i="47"/>
  <c r="IK58" i="47"/>
  <c r="IO39" i="47"/>
  <c r="IO40" i="46"/>
  <c r="IO54" i="47"/>
  <c r="IO58"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39"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IT47" i="47" s="1"/>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39" i="47" s="1"/>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40" i="47" s="1"/>
  <c r="AB55" i="47" s="1"/>
  <c r="AB54" i="47"/>
  <c r="AF39" i="47"/>
  <c r="AF40" i="47" s="1"/>
  <c r="AF55" i="47" s="1"/>
  <c r="AF40" i="46"/>
  <c r="AF54" i="47"/>
  <c r="AJ39" i="47"/>
  <c r="AJ40" i="46"/>
  <c r="AJ54" i="47"/>
  <c r="AN39" i="47"/>
  <c r="AN40" i="46"/>
  <c r="AN40" i="47" s="1"/>
  <c r="AN54" i="47"/>
  <c r="AR39" i="47"/>
  <c r="AR40" i="46"/>
  <c r="AR54" i="47"/>
  <c r="AV39" i="47"/>
  <c r="AV40" i="46"/>
  <c r="AV54" i="47"/>
  <c r="AZ39" i="47"/>
  <c r="AZ40" i="46"/>
  <c r="AZ54" i="47"/>
  <c r="BD39" i="47"/>
  <c r="BD40" i="46"/>
  <c r="BD54" i="47"/>
  <c r="BH39" i="47"/>
  <c r="BH40" i="46"/>
  <c r="BH40" i="47" s="1"/>
  <c r="BH54" i="47"/>
  <c r="BL39" i="47"/>
  <c r="BL40" i="47" s="1"/>
  <c r="BL40" i="46"/>
  <c r="BL54" i="47"/>
  <c r="BP39" i="47"/>
  <c r="BP40" i="46"/>
  <c r="BP54" i="47"/>
  <c r="BT39" i="47"/>
  <c r="BT40" i="46"/>
  <c r="BT54" i="47"/>
  <c r="BX39" i="47"/>
  <c r="BX40" i="46"/>
  <c r="BX54" i="47"/>
  <c r="CB39" i="47"/>
  <c r="CB40" i="46"/>
  <c r="CB54" i="47"/>
  <c r="CF39" i="47"/>
  <c r="CF40" i="46"/>
  <c r="CF54" i="47"/>
  <c r="CJ39" i="47"/>
  <c r="CJ40" i="46"/>
  <c r="CJ54" i="47"/>
  <c r="CN39" i="47"/>
  <c r="CN40" i="46"/>
  <c r="CN40" i="47" s="1"/>
  <c r="CN55" i="47" s="1"/>
  <c r="CN54" i="47"/>
  <c r="CR39" i="47"/>
  <c r="CR40" i="46"/>
  <c r="CR40" i="47"/>
  <c r="CR55" i="47" s="1"/>
  <c r="CR54" i="47"/>
  <c r="CV39" i="47"/>
  <c r="CV40" i="46"/>
  <c r="CV54" i="47"/>
  <c r="CZ39" i="47"/>
  <c r="CZ40" i="46"/>
  <c r="CZ40" i="47" s="1"/>
  <c r="CZ54" i="47"/>
  <c r="DD39" i="47"/>
  <c r="DD40" i="46"/>
  <c r="DD54" i="47"/>
  <c r="DH39" i="47"/>
  <c r="DH40" i="46"/>
  <c r="DH54" i="47"/>
  <c r="DL39" i="47"/>
  <c r="DL40" i="46"/>
  <c r="DL40" i="47" s="1"/>
  <c r="DL55" i="47" s="1"/>
  <c r="DL54" i="47"/>
  <c r="DP39" i="47"/>
  <c r="DP40" i="46"/>
  <c r="DP40" i="47"/>
  <c r="DP55" i="47" s="1"/>
  <c r="DP54" i="47"/>
  <c r="DT39" i="47"/>
  <c r="DT40" i="46"/>
  <c r="DT54" i="47"/>
  <c r="DX39" i="47"/>
  <c r="DX40" i="46"/>
  <c r="DX40" i="47" s="1"/>
  <c r="DX54" i="47"/>
  <c r="EB39" i="47"/>
  <c r="EB40" i="46"/>
  <c r="EB40" i="47" s="1"/>
  <c r="EB54" i="47"/>
  <c r="EF39" i="47"/>
  <c r="EF40" i="47" s="1"/>
  <c r="EF55" i="47" s="1"/>
  <c r="EF40" i="46"/>
  <c r="EF54" i="47"/>
  <c r="EJ39" i="47"/>
  <c r="EJ40" i="46"/>
  <c r="EJ54" i="47"/>
  <c r="EN39" i="47"/>
  <c r="EN40" i="46"/>
  <c r="EN54" i="47"/>
  <c r="ER39" i="47"/>
  <c r="ER40" i="46"/>
  <c r="ER40" i="47" s="1"/>
  <c r="ER54" i="47"/>
  <c r="EV39" i="47"/>
  <c r="EV40" i="47" s="1"/>
  <c r="EV40" i="46"/>
  <c r="EV54" i="47"/>
  <c r="EZ39" i="47"/>
  <c r="EZ40" i="46"/>
  <c r="EZ54" i="47"/>
  <c r="FD39" i="47"/>
  <c r="FD40" i="46"/>
  <c r="FD54" i="47"/>
  <c r="FH39" i="47"/>
  <c r="FH40" i="46"/>
  <c r="FH54" i="47"/>
  <c r="FL39" i="47"/>
  <c r="FL40" i="46"/>
  <c r="FL40" i="47" s="1"/>
  <c r="FL55" i="47" s="1"/>
  <c r="FL54" i="47"/>
  <c r="FP39" i="47"/>
  <c r="FP40" i="46"/>
  <c r="FP54" i="47"/>
  <c r="FT39" i="47"/>
  <c r="FT40" i="46"/>
  <c r="FT40" i="47" s="1"/>
  <c r="FT55" i="47" s="1"/>
  <c r="FT54" i="47"/>
  <c r="FX39" i="47"/>
  <c r="FX40" i="46"/>
  <c r="FX54" i="47"/>
  <c r="GB39" i="47"/>
  <c r="GB40" i="46"/>
  <c r="GB54" i="47"/>
  <c r="GF39" i="47"/>
  <c r="GF40" i="46"/>
  <c r="GF54" i="47"/>
  <c r="GJ39" i="47"/>
  <c r="GJ40" i="46"/>
  <c r="GJ40" i="47" s="1"/>
  <c r="GJ55" i="47" s="1"/>
  <c r="GJ54" i="47"/>
  <c r="GN39" i="47"/>
  <c r="GN40" i="46"/>
  <c r="GN54" i="47"/>
  <c r="GR39" i="47"/>
  <c r="GR40" i="46"/>
  <c r="GR40" i="47" s="1"/>
  <c r="GR55" i="47" s="1"/>
  <c r="GR54" i="47"/>
  <c r="GV39" i="47"/>
  <c r="GV40" i="46"/>
  <c r="GV54" i="47"/>
  <c r="GZ39" i="47"/>
  <c r="GZ40" i="46"/>
  <c r="GZ54" i="47"/>
  <c r="HD39" i="47"/>
  <c r="HD40" i="46"/>
  <c r="HD54" i="47"/>
  <c r="HH39" i="47"/>
  <c r="HH40" i="46"/>
  <c r="HH54" i="47"/>
  <c r="HL39" i="47"/>
  <c r="HL40" i="46"/>
  <c r="HL40" i="47" s="1"/>
  <c r="HL55" i="47" s="1"/>
  <c r="HL54" i="47"/>
  <c r="HP39" i="47"/>
  <c r="HP40" i="46"/>
  <c r="HP40" i="47" s="1"/>
  <c r="HP54" i="47"/>
  <c r="HT39" i="47"/>
  <c r="HT40" i="46"/>
  <c r="HT54" i="47"/>
  <c r="HX39" i="47"/>
  <c r="HX40" i="46"/>
  <c r="HX54" i="47"/>
  <c r="IB39" i="47"/>
  <c r="IB40" i="46"/>
  <c r="IB54" i="47"/>
  <c r="IF39" i="47"/>
  <c r="IF40" i="46"/>
  <c r="IF40" i="47" s="1"/>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7" s="1"/>
  <c r="AE40" i="46"/>
  <c r="AE54" i="47"/>
  <c r="AI39" i="47"/>
  <c r="AI40" i="46"/>
  <c r="AI54" i="47"/>
  <c r="AM39" i="47"/>
  <c r="AM40" i="46"/>
  <c r="AM54" i="47"/>
  <c r="AQ39" i="47"/>
  <c r="AQ40" i="46"/>
  <c r="AQ40" i="47" s="1"/>
  <c r="AQ54" i="47"/>
  <c r="AU39" i="47"/>
  <c r="AU40" i="46"/>
  <c r="AU40" i="47" s="1"/>
  <c r="AU54" i="47"/>
  <c r="AY39" i="47"/>
  <c r="AY40" i="46"/>
  <c r="AY40" i="47" s="1"/>
  <c r="AY54" i="47"/>
  <c r="BC39" i="47"/>
  <c r="BC40" i="46"/>
  <c r="BC54" i="47"/>
  <c r="BG39" i="47"/>
  <c r="BG40" i="46"/>
  <c r="BG54" i="47"/>
  <c r="BK39" i="47"/>
  <c r="BK40" i="46"/>
  <c r="BK54" i="47"/>
  <c r="BO54" i="47"/>
  <c r="BS39" i="47"/>
  <c r="BS40" i="47" s="1"/>
  <c r="BS40" i="46"/>
  <c r="BS54" i="47"/>
  <c r="BW39" i="47"/>
  <c r="BW40" i="46"/>
  <c r="BW54" i="47"/>
  <c r="CA39" i="47"/>
  <c r="CA40" i="46"/>
  <c r="CA54" i="47"/>
  <c r="CE39" i="47"/>
  <c r="CE40" i="46"/>
  <c r="CE40" i="47" s="1"/>
  <c r="CE54" i="47"/>
  <c r="CI39" i="47"/>
  <c r="CI40" i="46"/>
  <c r="CI54" i="47"/>
  <c r="CM39" i="47"/>
  <c r="CM40" i="46"/>
  <c r="CM54" i="47"/>
  <c r="CQ39" i="47"/>
  <c r="CQ40" i="46"/>
  <c r="CQ54" i="47"/>
  <c r="CU39" i="47"/>
  <c r="CU40" i="46"/>
  <c r="CU54" i="47"/>
  <c r="CY39" i="47"/>
  <c r="CY40" i="46"/>
  <c r="CY54" i="47"/>
  <c r="DC39" i="47"/>
  <c r="DC40" i="46"/>
  <c r="DC40" i="47" s="1"/>
  <c r="DC54" i="47"/>
  <c r="DG39" i="47"/>
  <c r="DG40" i="47" s="1"/>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40" i="47" s="1"/>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40" i="47" s="1"/>
  <c r="FW55" i="47" s="1"/>
  <c r="FW54" i="47"/>
  <c r="GA39" i="47"/>
  <c r="GA40" i="46"/>
  <c r="GA54" i="47"/>
  <c r="GE39" i="47"/>
  <c r="GE40" i="46"/>
  <c r="GE54" i="47"/>
  <c r="GI39" i="47"/>
  <c r="GI40" i="46"/>
  <c r="GI54" i="47"/>
  <c r="GM39" i="47"/>
  <c r="GM40" i="46"/>
  <c r="GM54" i="47"/>
  <c r="GQ39" i="47"/>
  <c r="GQ40" i="46"/>
  <c r="GQ54" i="47"/>
  <c r="GU39" i="47"/>
  <c r="GU40" i="46"/>
  <c r="GU40" i="47" s="1"/>
  <c r="GU54" i="47"/>
  <c r="GY39" i="47"/>
  <c r="GY40" i="46"/>
  <c r="GY40" i="47"/>
  <c r="GY54" i="47"/>
  <c r="HC39" i="47"/>
  <c r="HC40" i="46"/>
  <c r="HC40" i="47"/>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40" i="47" s="1"/>
  <c r="II55" i="47" s="1"/>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7" i="53"/>
  <c r="G51" i="53"/>
  <c r="F29" i="53"/>
  <c r="F35" i="53" s="1"/>
  <c r="F48" i="53" s="1"/>
  <c r="F34" i="53"/>
  <c r="F47" i="53"/>
  <c r="F51" i="53"/>
  <c r="E29" i="53"/>
  <c r="E34" i="53"/>
  <c r="E47" i="53"/>
  <c r="E51" i="53"/>
  <c r="D29" i="53"/>
  <c r="D34" i="53"/>
  <c r="D47" i="53"/>
  <c r="D51" i="53"/>
  <c r="C29" i="53"/>
  <c r="C34" i="53"/>
  <c r="C47" i="53"/>
  <c r="C51" i="53"/>
  <c r="H10" i="53"/>
  <c r="AA776" i="81" s="1"/>
  <c r="B47" i="15"/>
  <c r="C14" i="15"/>
  <c r="K8" i="68"/>
  <c r="L22" i="68"/>
  <c r="K22" i="68"/>
  <c r="D22" i="68"/>
  <c r="E22" i="68"/>
  <c r="F22" i="68"/>
  <c r="D35" i="68"/>
  <c r="E35" i="68"/>
  <c r="J22" i="68"/>
  <c r="I22" i="68"/>
  <c r="H35" i="68"/>
  <c r="H22" i="68"/>
  <c r="H37" i="68" s="1"/>
  <c r="G35" i="68"/>
  <c r="G22" i="68"/>
  <c r="C22" i="68"/>
  <c r="B22" i="68"/>
  <c r="H59" i="65"/>
  <c r="H6" i="65"/>
  <c r="H15" i="65"/>
  <c r="H8" i="65"/>
  <c r="H9" i="65"/>
  <c r="H10" i="65"/>
  <c r="H11" i="65"/>
  <c r="H12" i="65"/>
  <c r="H13" i="65"/>
  <c r="H14"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65" i="65"/>
  <c r="H66" i="65"/>
  <c r="H67" i="65"/>
  <c r="H71" i="65"/>
  <c r="H72" i="65"/>
  <c r="H73" i="65"/>
  <c r="H78" i="65"/>
  <c r="H77" i="65"/>
  <c r="H79" i="65"/>
  <c r="H80" i="65"/>
  <c r="H81" i="65"/>
  <c r="H82" i="65"/>
  <c r="H86" i="65"/>
  <c r="H87" i="65"/>
  <c r="H90" i="65"/>
  <c r="H91" i="65"/>
  <c r="H92" i="65"/>
  <c r="H93" i="65"/>
  <c r="H94" i="65"/>
  <c r="H95" i="65"/>
  <c r="H97" i="65"/>
  <c r="H98" i="65"/>
  <c r="H99" i="65"/>
  <c r="H100" i="65"/>
  <c r="H101" i="65"/>
  <c r="H102" i="65"/>
  <c r="H103" i="65"/>
  <c r="H104" i="65"/>
  <c r="H105" i="65"/>
  <c r="H106" i="65"/>
  <c r="H109" i="65"/>
  <c r="H110" i="65"/>
  <c r="H111" i="65"/>
  <c r="H112" i="65"/>
  <c r="H116" i="65"/>
  <c r="H117" i="65"/>
  <c r="H118" i="65"/>
  <c r="H119" i="65"/>
  <c r="H120" i="65"/>
  <c r="H121" i="65"/>
  <c r="H122" i="65"/>
  <c r="H123" i="65"/>
  <c r="H127" i="65"/>
  <c r="H128" i="65"/>
  <c r="H129" i="65"/>
  <c r="H130" i="65"/>
  <c r="H132" i="65"/>
  <c r="H133" i="65"/>
  <c r="H136" i="65"/>
  <c r="H137" i="65"/>
  <c r="H138" i="65"/>
  <c r="G61" i="65"/>
  <c r="G69" i="65"/>
  <c r="G75" i="65"/>
  <c r="G84" i="65"/>
  <c r="G88" i="65"/>
  <c r="G134" i="65"/>
  <c r="G140" i="65"/>
  <c r="F61" i="65"/>
  <c r="F69" i="65"/>
  <c r="F75" i="65"/>
  <c r="F84" i="65"/>
  <c r="F88" i="65"/>
  <c r="F134" i="65"/>
  <c r="F140" i="65"/>
  <c r="E61" i="65"/>
  <c r="E69" i="65"/>
  <c r="E84" i="65"/>
  <c r="E88" i="65"/>
  <c r="E134" i="65"/>
  <c r="E140" i="65"/>
  <c r="D61" i="65"/>
  <c r="D69" i="65"/>
  <c r="D75" i="65"/>
  <c r="D84" i="65"/>
  <c r="D88" i="65"/>
  <c r="D134" i="65"/>
  <c r="D140" i="65"/>
  <c r="C61" i="65"/>
  <c r="C69" i="65"/>
  <c r="C75" i="65"/>
  <c r="C84" i="65"/>
  <c r="C88" i="65"/>
  <c r="C134" i="65"/>
  <c r="C140" i="65"/>
  <c r="E62" i="59"/>
  <c r="H64" i="18" s="1"/>
  <c r="E61" i="59"/>
  <c r="H63" i="18" s="1"/>
  <c r="E60" i="59"/>
  <c r="H62" i="18" s="1"/>
  <c r="E59" i="59"/>
  <c r="H61" i="18" s="1"/>
  <c r="E58" i="59"/>
  <c r="H60" i="18" s="1"/>
  <c r="E11" i="59"/>
  <c r="H13" i="18" s="1"/>
  <c r="E12" i="59"/>
  <c r="H14" i="18" s="1"/>
  <c r="E13" i="59"/>
  <c r="H15" i="18" s="1"/>
  <c r="E14" i="59"/>
  <c r="H16" i="18" s="1"/>
  <c r="E17" i="59"/>
  <c r="E18" i="59"/>
  <c r="H20" i="18" s="1"/>
  <c r="E19" i="59"/>
  <c r="E22" i="59"/>
  <c r="H24" i="18" s="1"/>
  <c r="E23" i="59"/>
  <c r="H25" i="18" s="1"/>
  <c r="E24" i="59"/>
  <c r="H26" i="18" s="1"/>
  <c r="E25" i="59"/>
  <c r="H27" i="18" s="1"/>
  <c r="E26" i="59"/>
  <c r="H28" i="18" s="1"/>
  <c r="E27" i="59"/>
  <c r="E28" i="59"/>
  <c r="H30" i="18" s="1"/>
  <c r="E31" i="59"/>
  <c r="H33" i="18" s="1"/>
  <c r="E32" i="59"/>
  <c r="E33" i="59"/>
  <c r="H35" i="18" s="1"/>
  <c r="E36" i="59"/>
  <c r="H38" i="18" s="1"/>
  <c r="D15" i="59"/>
  <c r="D20" i="59"/>
  <c r="D29" i="59"/>
  <c r="D34" i="59"/>
  <c r="C20" i="59"/>
  <c r="C29" i="59"/>
  <c r="C34" i="59"/>
  <c r="E53" i="59"/>
  <c r="H55" i="18" s="1"/>
  <c r="E52" i="59"/>
  <c r="H54" i="18" s="1"/>
  <c r="E51" i="59"/>
  <c r="E50" i="59"/>
  <c r="E49" i="59"/>
  <c r="H51" i="18" s="1"/>
  <c r="E48" i="59"/>
  <c r="H50" i="18" s="1"/>
  <c r="E47" i="59"/>
  <c r="E46" i="59"/>
  <c r="E45" i="59"/>
  <c r="H47" i="18" s="1"/>
  <c r="E44" i="59"/>
  <c r="H46" i="18" s="1"/>
  <c r="E43" i="59"/>
  <c r="H45" i="18" s="1"/>
  <c r="E42" i="59"/>
  <c r="H44" i="18" s="1"/>
  <c r="D54" i="59"/>
  <c r="D55" i="59" s="1"/>
  <c r="C54" i="59"/>
  <c r="B54" i="59"/>
  <c r="B20" i="59"/>
  <c r="B29" i="59"/>
  <c r="B34" i="59"/>
  <c r="H53" i="18"/>
  <c r="H52" i="18"/>
  <c r="H49" i="18"/>
  <c r="H48" i="18"/>
  <c r="H34" i="18"/>
  <c r="H29" i="18"/>
  <c r="F47" i="18"/>
  <c r="G47" i="18" s="1"/>
  <c r="F48" i="18"/>
  <c r="G48" i="18" s="1"/>
  <c r="F49" i="18"/>
  <c r="G49" i="18" s="1"/>
  <c r="F50" i="18"/>
  <c r="G50" i="18" s="1"/>
  <c r="F51" i="18"/>
  <c r="G51" i="18" s="1"/>
  <c r="F52" i="18"/>
  <c r="G52" i="18" s="1"/>
  <c r="F53" i="18"/>
  <c r="G53" i="18" s="1"/>
  <c r="F54" i="18"/>
  <c r="G54" i="18" s="1"/>
  <c r="F55" i="18"/>
  <c r="G55" i="18" s="1"/>
  <c r="F44" i="18"/>
  <c r="F45" i="18"/>
  <c r="F46" i="18"/>
  <c r="G46" i="18" s="1"/>
  <c r="E56" i="18"/>
  <c r="F64" i="18"/>
  <c r="G64" i="18" s="1"/>
  <c r="F63" i="18"/>
  <c r="G63" i="18" s="1"/>
  <c r="F62" i="18"/>
  <c r="G62" i="18" s="1"/>
  <c r="F61" i="18"/>
  <c r="G61" i="18" s="1"/>
  <c r="F60" i="18"/>
  <c r="G60" i="18" s="1"/>
  <c r="F38" i="18"/>
  <c r="G38" i="18" s="1"/>
  <c r="F35" i="18"/>
  <c r="F34" i="18"/>
  <c r="G34" i="18" s="1"/>
  <c r="F33" i="18"/>
  <c r="G33" i="18" s="1"/>
  <c r="F30" i="18"/>
  <c r="G30" i="18" s="1"/>
  <c r="B80" i="3" s="1"/>
  <c r="F29" i="18"/>
  <c r="G29" i="18" s="1"/>
  <c r="F28" i="18"/>
  <c r="F27" i="18"/>
  <c r="G27" i="18" s="1"/>
  <c r="F26" i="18"/>
  <c r="G26" i="18" s="1"/>
  <c r="F25" i="18"/>
  <c r="F24" i="18"/>
  <c r="F21" i="18"/>
  <c r="F20" i="18"/>
  <c r="G20" i="18" s="1"/>
  <c r="F19" i="18"/>
  <c r="F16" i="18"/>
  <c r="G16" i="18" s="1"/>
  <c r="F15" i="18"/>
  <c r="G15" i="18" s="1"/>
  <c r="F14" i="18"/>
  <c r="F13" i="18"/>
  <c r="E36" i="18"/>
  <c r="D22" i="18"/>
  <c r="D36" i="18"/>
  <c r="B31" i="18"/>
  <c r="H19" i="18"/>
  <c r="H20" i="17"/>
  <c r="AA513" i="81" s="1"/>
  <c r="G48" i="51"/>
  <c r="O14" i="75"/>
  <c r="Q14" i="75" s="1"/>
  <c r="M39" i="67"/>
  <c r="I16" i="28"/>
  <c r="G24" i="28"/>
  <c r="I59" i="12"/>
  <c r="J55" i="12"/>
  <c r="DG55" i="47" l="1"/>
  <c r="AE55" i="47"/>
  <c r="IT22" i="46"/>
  <c r="IT11" i="46"/>
  <c r="EG59" i="47"/>
  <c r="AW59" i="47"/>
  <c r="AT25" i="49"/>
  <c r="AT19" i="49"/>
  <c r="AT13" i="49"/>
  <c r="AM35" i="51"/>
  <c r="L57" i="67"/>
  <c r="K16" i="28"/>
  <c r="G39" i="14"/>
  <c r="BJ59" i="45"/>
  <c r="BJ60" i="45" s="1"/>
  <c r="BJ61" i="45" s="1"/>
  <c r="IE40" i="47"/>
  <c r="IE55" i="47" s="1"/>
  <c r="HO40" i="47"/>
  <c r="HO55" i="47" s="1"/>
  <c r="GQ40" i="47"/>
  <c r="GQ55" i="47" s="1"/>
  <c r="GA40" i="47"/>
  <c r="EE40" i="47"/>
  <c r="EE55" i="47" s="1"/>
  <c r="CY40" i="47"/>
  <c r="BG40" i="47"/>
  <c r="AM40" i="47"/>
  <c r="W40" i="47"/>
  <c r="HT40" i="47"/>
  <c r="EZ40" i="47"/>
  <c r="BD40" i="47"/>
  <c r="AJ40" i="47"/>
  <c r="FZ39" i="47"/>
  <c r="EO40" i="47"/>
  <c r="DU40" i="47"/>
  <c r="BQ40" i="47"/>
  <c r="AC40" i="47"/>
  <c r="H35" i="51"/>
  <c r="Q35" i="51"/>
  <c r="Y35" i="51"/>
  <c r="Z34" i="51"/>
  <c r="AI48" i="51"/>
  <c r="C40" i="42"/>
  <c r="H40" i="42"/>
  <c r="S40" i="42"/>
  <c r="G39" i="67"/>
  <c r="C54" i="11"/>
  <c r="F24" i="12"/>
  <c r="F37" i="12" s="1"/>
  <c r="L30" i="14"/>
  <c r="L29" i="14"/>
  <c r="L28" i="14"/>
  <c r="L27" i="14"/>
  <c r="L26" i="14"/>
  <c r="AA532" i="81"/>
  <c r="I32" i="17"/>
  <c r="D59" i="52"/>
  <c r="F59" i="52"/>
  <c r="N59" i="45"/>
  <c r="N60" i="45" s="1"/>
  <c r="N61" i="45" s="1"/>
  <c r="V59" i="45"/>
  <c r="V60" i="45" s="1"/>
  <c r="V61" i="45" s="1"/>
  <c r="AD59" i="45"/>
  <c r="AD60" i="45" s="1"/>
  <c r="AD61" i="45" s="1"/>
  <c r="K59" i="50"/>
  <c r="AA765" i="81"/>
  <c r="AA758" i="81"/>
  <c r="DN39" i="47"/>
  <c r="U52" i="51"/>
  <c r="M43" i="14"/>
  <c r="C43" i="67" s="1"/>
  <c r="L59" i="50"/>
  <c r="L67" i="13"/>
  <c r="N22" i="68"/>
  <c r="HG40" i="47"/>
  <c r="EM40" i="47"/>
  <c r="CA40" i="47"/>
  <c r="BC40" i="47"/>
  <c r="AA40" i="47"/>
  <c r="AA55" i="47" s="1"/>
  <c r="HX40" i="47"/>
  <c r="HX55" i="47" s="1"/>
  <c r="HH40" i="47"/>
  <c r="HH55" i="47" s="1"/>
  <c r="GN40" i="47"/>
  <c r="GN55" i="47" s="1"/>
  <c r="FD40" i="47"/>
  <c r="FD55" i="47" s="1"/>
  <c r="EN40" i="47"/>
  <c r="EN55" i="47" s="1"/>
  <c r="DT40" i="47"/>
  <c r="CV40" i="47"/>
  <c r="CB40" i="47"/>
  <c r="X40" i="47"/>
  <c r="X55" i="47" s="1"/>
  <c r="HY40" i="47"/>
  <c r="FQ40" i="47"/>
  <c r="DA40" i="47"/>
  <c r="AW51" i="51"/>
  <c r="AV47" i="51"/>
  <c r="AX16" i="51"/>
  <c r="M35" i="51"/>
  <c r="M48" i="51" s="1"/>
  <c r="P35" i="51"/>
  <c r="P48" i="51" s="1"/>
  <c r="W35" i="51"/>
  <c r="AK35" i="51"/>
  <c r="P40" i="42"/>
  <c r="AA40" i="42"/>
  <c r="M53" i="67"/>
  <c r="M57" i="67" s="1"/>
  <c r="I39" i="67"/>
  <c r="H39" i="67"/>
  <c r="F69" i="54"/>
  <c r="H67" i="54"/>
  <c r="G60" i="16"/>
  <c r="H60" i="16" s="1"/>
  <c r="D36" i="19"/>
  <c r="F36" i="19"/>
  <c r="AA447" i="81"/>
  <c r="L15" i="14"/>
  <c r="AA796" i="81"/>
  <c r="AA90" i="81"/>
  <c r="H27" i="55"/>
  <c r="D22" i="61"/>
  <c r="E59" i="52"/>
  <c r="G59" i="52"/>
  <c r="T59" i="45"/>
  <c r="T60" i="45" s="1"/>
  <c r="T61" i="45" s="1"/>
  <c r="AB59" i="45"/>
  <c r="AB60" i="45" s="1"/>
  <c r="AB61" i="45" s="1"/>
  <c r="AJ59" i="45"/>
  <c r="AJ60" i="45" s="1"/>
  <c r="AJ61" i="45" s="1"/>
  <c r="D64" i="60"/>
  <c r="B22" i="61"/>
  <c r="F42" i="61"/>
  <c r="G68" i="28"/>
  <c r="G70" i="28" s="1"/>
  <c r="F36" i="74"/>
  <c r="D36" i="73"/>
  <c r="H36" i="73"/>
  <c r="Q11" i="72"/>
  <c r="R11" i="72" s="1"/>
  <c r="Q16" i="72"/>
  <c r="R16" i="72" s="1"/>
  <c r="H39" i="72"/>
  <c r="R11" i="71"/>
  <c r="AA503" i="81"/>
  <c r="E596" i="83" s="1"/>
  <c r="I54" i="12"/>
  <c r="M22" i="28"/>
  <c r="E39" i="67"/>
  <c r="E53" i="67" s="1"/>
  <c r="E57" i="67" s="1"/>
  <c r="M30" i="28"/>
  <c r="K32" i="28"/>
  <c r="M23" i="28"/>
  <c r="M31" i="28"/>
  <c r="J54" i="67"/>
  <c r="J56" i="67" s="1"/>
  <c r="F39" i="67"/>
  <c r="F53" i="67" s="1"/>
  <c r="F57" i="67" s="1"/>
  <c r="AU29" i="51"/>
  <c r="C59" i="50"/>
  <c r="H40" i="47"/>
  <c r="H55" i="47" s="1"/>
  <c r="C40" i="47"/>
  <c r="L17" i="14"/>
  <c r="M17" i="14" s="1"/>
  <c r="C17" i="67" s="1"/>
  <c r="Q17" i="67" s="1"/>
  <c r="J8" i="68" s="1"/>
  <c r="J30" i="68" s="1"/>
  <c r="J35" i="68" s="1"/>
  <c r="J37" i="68" s="1"/>
  <c r="G21" i="18"/>
  <c r="AA519" i="81"/>
  <c r="AB519" i="81" s="1"/>
  <c r="AC519" i="81" s="1"/>
  <c r="E28" i="17"/>
  <c r="D42" i="18" s="1"/>
  <c r="D57" i="18" s="1"/>
  <c r="D17" i="18"/>
  <c r="D37" i="18" s="1"/>
  <c r="D39" i="18" s="1"/>
  <c r="E120" i="77" s="1"/>
  <c r="B17" i="18"/>
  <c r="B37" i="18" s="1"/>
  <c r="B39" i="18" s="1"/>
  <c r="C120" i="77" s="1"/>
  <c r="C28" i="17"/>
  <c r="B42" i="18" s="1"/>
  <c r="B57" i="18" s="1"/>
  <c r="I39" i="14"/>
  <c r="I53" i="14" s="1"/>
  <c r="I57" i="14" s="1"/>
  <c r="X45" i="49"/>
  <c r="Q45" i="49"/>
  <c r="HF39" i="47"/>
  <c r="IT12" i="47"/>
  <c r="IT25" i="46"/>
  <c r="IT21" i="46"/>
  <c r="IT34" i="46"/>
  <c r="M54" i="28"/>
  <c r="AA161" i="81"/>
  <c r="L37" i="14"/>
  <c r="M37" i="14" s="1"/>
  <c r="C37" i="67" s="1"/>
  <c r="Q37" i="67" s="1"/>
  <c r="C22" i="12" s="1"/>
  <c r="H22" i="12" s="1"/>
  <c r="J22" i="12" s="1"/>
  <c r="AA164" i="81"/>
  <c r="L35" i="14"/>
  <c r="M35" i="14" s="1"/>
  <c r="C35" i="67" s="1"/>
  <c r="Q35" i="67" s="1"/>
  <c r="AA806" i="81"/>
  <c r="E846" i="83" s="1"/>
  <c r="AB351" i="81"/>
  <c r="AC351" i="81" s="1"/>
  <c r="E449" i="83"/>
  <c r="AB103" i="81"/>
  <c r="AC103" i="81" s="1"/>
  <c r="E185" i="83"/>
  <c r="E181" i="83"/>
  <c r="AB99" i="81"/>
  <c r="AC99" i="81" s="1"/>
  <c r="AB790" i="81"/>
  <c r="AC790" i="81" s="1"/>
  <c r="E833" i="83"/>
  <c r="AB335" i="81"/>
  <c r="AC335" i="81" s="1"/>
  <c r="E436" i="83"/>
  <c r="E174" i="83"/>
  <c r="AB94" i="81"/>
  <c r="AC94" i="81" s="1"/>
  <c r="AB90" i="81"/>
  <c r="AC90" i="81" s="1"/>
  <c r="E169" i="83"/>
  <c r="AB89" i="81"/>
  <c r="AC89" i="81" s="1"/>
  <c r="E165" i="83"/>
  <c r="H36" i="74"/>
  <c r="AA464" i="81"/>
  <c r="B73" i="3"/>
  <c r="G12" i="17"/>
  <c r="H16" i="55"/>
  <c r="H28" i="55" s="1"/>
  <c r="AB516" i="81"/>
  <c r="AC516" i="81" s="1"/>
  <c r="E609" i="83"/>
  <c r="Z47" i="51"/>
  <c r="AB820" i="81"/>
  <c r="AC820" i="81" s="1"/>
  <c r="E858" i="83"/>
  <c r="AA502" i="81"/>
  <c r="B78" i="3"/>
  <c r="I37" i="17"/>
  <c r="AA588" i="81"/>
  <c r="G141" i="65"/>
  <c r="IB40" i="47"/>
  <c r="IB55" i="47" s="1"/>
  <c r="DX55" i="47"/>
  <c r="DT55" i="47"/>
  <c r="CZ55" i="47"/>
  <c r="CV55" i="47"/>
  <c r="CB55" i="47"/>
  <c r="R40" i="46"/>
  <c r="AT38" i="49"/>
  <c r="AT24" i="49"/>
  <c r="AT17" i="49"/>
  <c r="AT11" i="49"/>
  <c r="AX38" i="51"/>
  <c r="X35" i="51"/>
  <c r="X48" i="51" s="1"/>
  <c r="K24" i="28"/>
  <c r="AA110" i="81"/>
  <c r="L46" i="14"/>
  <c r="M46" i="14" s="1"/>
  <c r="C46" i="67" s="1"/>
  <c r="Q46" i="67" s="1"/>
  <c r="E198" i="83"/>
  <c r="AB109" i="81"/>
  <c r="AC109" i="81" s="1"/>
  <c r="N39" i="72"/>
  <c r="M39" i="72"/>
  <c r="Q28" i="74"/>
  <c r="R28" i="74" s="1"/>
  <c r="AB769" i="81"/>
  <c r="AC769" i="81" s="1"/>
  <c r="E813" i="83"/>
  <c r="AB83" i="81"/>
  <c r="AC83" i="81" s="1"/>
  <c r="E153" i="83"/>
  <c r="AB765" i="81"/>
  <c r="AC765" i="81" s="1"/>
  <c r="E810" i="83"/>
  <c r="AB760" i="81"/>
  <c r="AC760" i="81" s="1"/>
  <c r="E805" i="83"/>
  <c r="AB307" i="81"/>
  <c r="AC307" i="81" s="1"/>
  <c r="E408" i="83"/>
  <c r="AB758" i="81"/>
  <c r="AC758" i="81" s="1"/>
  <c r="E803" i="83"/>
  <c r="AB305" i="81"/>
  <c r="AC305" i="81" s="1"/>
  <c r="E406" i="83"/>
  <c r="AA755" i="81"/>
  <c r="M18" i="75"/>
  <c r="AB513" i="81"/>
  <c r="AC513" i="81" s="1"/>
  <c r="E606" i="83"/>
  <c r="G44" i="18"/>
  <c r="F141" i="65"/>
  <c r="CY55" i="47"/>
  <c r="EV55" i="47"/>
  <c r="ER55" i="47"/>
  <c r="BL55" i="47"/>
  <c r="FB39" i="47"/>
  <c r="IT36" i="46"/>
  <c r="IT31" i="46"/>
  <c r="IT17" i="46"/>
  <c r="IT36" i="47"/>
  <c r="IT30" i="47"/>
  <c r="IT24" i="47"/>
  <c r="IT18" i="47"/>
  <c r="V40" i="46"/>
  <c r="IT12" i="46"/>
  <c r="I48" i="51"/>
  <c r="I52" i="51" s="1"/>
  <c r="J34" i="51"/>
  <c r="AX22" i="51"/>
  <c r="O48" i="51"/>
  <c r="T35" i="51"/>
  <c r="T48" i="51" s="1"/>
  <c r="W48" i="51"/>
  <c r="AK48" i="51"/>
  <c r="AA55" i="42"/>
  <c r="N53" i="67"/>
  <c r="N57" i="67" s="1"/>
  <c r="I53" i="67"/>
  <c r="I57" i="67" s="1"/>
  <c r="H53" i="67"/>
  <c r="H57" i="67" s="1"/>
  <c r="J39" i="14"/>
  <c r="J53" i="14" s="1"/>
  <c r="J57" i="14" s="1"/>
  <c r="H29" i="77" s="1"/>
  <c r="AA817" i="81"/>
  <c r="AA881" i="81"/>
  <c r="H34" i="53"/>
  <c r="Q25" i="72"/>
  <c r="R25" i="72" s="1"/>
  <c r="B10" i="59"/>
  <c r="D28" i="58"/>
  <c r="AB514" i="81"/>
  <c r="AC514" i="81" s="1"/>
  <c r="E607" i="83"/>
  <c r="I48" i="12"/>
  <c r="AA467" i="81"/>
  <c r="B74" i="3"/>
  <c r="I12" i="17"/>
  <c r="AA562" i="81"/>
  <c r="I20" i="17"/>
  <c r="AA598" i="81"/>
  <c r="R28" i="71"/>
  <c r="G35" i="53"/>
  <c r="G48" i="53" s="1"/>
  <c r="G52" i="53" s="1"/>
  <c r="IM40" i="47"/>
  <c r="FS40" i="47"/>
  <c r="FS55" i="47" s="1"/>
  <c r="FC40" i="47"/>
  <c r="FC55" i="47" s="1"/>
  <c r="EI40" i="47"/>
  <c r="EI55" i="47" s="1"/>
  <c r="DO40" i="47"/>
  <c r="BS55" i="47"/>
  <c r="BK40" i="47"/>
  <c r="BK55" i="47" s="1"/>
  <c r="AY55" i="47"/>
  <c r="HD40" i="47"/>
  <c r="HD55" i="47" s="1"/>
  <c r="GF40" i="47"/>
  <c r="GF55" i="47" s="1"/>
  <c r="BT40" i="47"/>
  <c r="BT55" i="47" s="1"/>
  <c r="BD55" i="47"/>
  <c r="AN55" i="47"/>
  <c r="AJ55" i="47"/>
  <c r="HY55" i="47"/>
  <c r="HY59" i="47" s="1"/>
  <c r="FQ55" i="47"/>
  <c r="FQ59" i="47" s="1"/>
  <c r="FM55" i="47"/>
  <c r="FM59" i="47" s="1"/>
  <c r="DA55" i="47"/>
  <c r="DA59" i="47" s="1"/>
  <c r="BU55" i="47"/>
  <c r="H48" i="51"/>
  <c r="AX13" i="51"/>
  <c r="AM48" i="51"/>
  <c r="J53" i="67"/>
  <c r="J57" i="67" s="1"/>
  <c r="AB430" i="81"/>
  <c r="AC430" i="81" s="1"/>
  <c r="E526" i="83"/>
  <c r="AB153" i="81"/>
  <c r="AC153" i="81" s="1"/>
  <c r="E253" i="83"/>
  <c r="M30" i="14"/>
  <c r="C30" i="67" s="1"/>
  <c r="Q30" i="67" s="1"/>
  <c r="C20" i="12" s="1"/>
  <c r="H20" i="12" s="1"/>
  <c r="J20" i="12" s="1"/>
  <c r="M29" i="14"/>
  <c r="C29" i="67" s="1"/>
  <c r="Q29" i="67" s="1"/>
  <c r="C19" i="12" s="1"/>
  <c r="H19" i="12" s="1"/>
  <c r="J19" i="12" s="1"/>
  <c r="M28" i="14"/>
  <c r="C28" i="67" s="1"/>
  <c r="Q28" i="67" s="1"/>
  <c r="C18" i="12" s="1"/>
  <c r="H18" i="12" s="1"/>
  <c r="J18" i="12" s="1"/>
  <c r="M27" i="14"/>
  <c r="C27" i="67" s="1"/>
  <c r="Q27" i="67" s="1"/>
  <c r="C17" i="12" s="1"/>
  <c r="H17" i="12" s="1"/>
  <c r="J17" i="12" s="1"/>
  <c r="M26" i="14"/>
  <c r="C26" i="67" s="1"/>
  <c r="Q26" i="67" s="1"/>
  <c r="C16" i="12" s="1"/>
  <c r="H16" i="12" s="1"/>
  <c r="J16" i="12" s="1"/>
  <c r="M25" i="14"/>
  <c r="C25" i="67" s="1"/>
  <c r="Q25" i="67" s="1"/>
  <c r="C15" i="12" s="1"/>
  <c r="H15" i="12" s="1"/>
  <c r="J15" i="12" s="1"/>
  <c r="M24" i="14"/>
  <c r="C24" i="67" s="1"/>
  <c r="AB358" i="81"/>
  <c r="AC358" i="81" s="1"/>
  <c r="E456" i="83"/>
  <c r="E450" i="83"/>
  <c r="AB352" i="81"/>
  <c r="AC352" i="81" s="1"/>
  <c r="E182" i="83"/>
  <c r="AB100" i="81"/>
  <c r="AC100" i="81" s="1"/>
  <c r="AB342" i="81"/>
  <c r="AC342" i="81" s="1"/>
  <c r="E442" i="83"/>
  <c r="AB96" i="81"/>
  <c r="AC96" i="81" s="1"/>
  <c r="E177" i="83"/>
  <c r="AB787" i="81"/>
  <c r="AC787" i="81" s="1"/>
  <c r="E830" i="83"/>
  <c r="E175" i="83"/>
  <c r="AB95" i="81"/>
  <c r="AC95" i="81" s="1"/>
  <c r="F36" i="73"/>
  <c r="S32" i="71"/>
  <c r="S28" i="71"/>
  <c r="AA523" i="81"/>
  <c r="AB523" i="81" s="1"/>
  <c r="AC523" i="81" s="1"/>
  <c r="I17" i="16"/>
  <c r="I48" i="16"/>
  <c r="L86" i="13" s="1"/>
  <c r="AA531" i="81"/>
  <c r="E611" i="83"/>
  <c r="AB517" i="81"/>
  <c r="AC517" i="81" s="1"/>
  <c r="AB486" i="81"/>
  <c r="AC486" i="81" s="1"/>
  <c r="E583" i="83"/>
  <c r="H19" i="17"/>
  <c r="G27" i="17"/>
  <c r="I50" i="12"/>
  <c r="AA495" i="81"/>
  <c r="B75" i="3"/>
  <c r="C58" i="48"/>
  <c r="I13" i="17"/>
  <c r="AA571" i="81"/>
  <c r="I21" i="17"/>
  <c r="AA599" i="81"/>
  <c r="AB552" i="81"/>
  <c r="AC552" i="81" s="1"/>
  <c r="E649" i="83"/>
  <c r="AA586" i="81"/>
  <c r="E677" i="83" s="1"/>
  <c r="AZ59" i="45"/>
  <c r="AZ60" i="45" s="1"/>
  <c r="AZ61" i="45" s="1"/>
  <c r="D57" i="48"/>
  <c r="H57" i="48"/>
  <c r="H58" i="48" s="1"/>
  <c r="AB316" i="81"/>
  <c r="AC316" i="81" s="1"/>
  <c r="E417" i="83"/>
  <c r="AA312" i="81"/>
  <c r="AB762" i="81"/>
  <c r="AC762" i="81" s="1"/>
  <c r="E806" i="83"/>
  <c r="AB308" i="81"/>
  <c r="AC308" i="81" s="1"/>
  <c r="E409" i="83"/>
  <c r="AB77" i="81"/>
  <c r="AC77" i="81" s="1"/>
  <c r="E146" i="83"/>
  <c r="AB306" i="81"/>
  <c r="AC306" i="81" s="1"/>
  <c r="E407" i="83"/>
  <c r="E144" i="83"/>
  <c r="AB75" i="81"/>
  <c r="AC75" i="81" s="1"/>
  <c r="AA304" i="81"/>
  <c r="AA303" i="81"/>
  <c r="K69" i="66"/>
  <c r="AB112" i="81"/>
  <c r="AC112" i="81" s="1"/>
  <c r="E201" i="83"/>
  <c r="AT40" i="49"/>
  <c r="H47" i="53"/>
  <c r="AA821" i="81"/>
  <c r="AB503" i="81"/>
  <c r="AC503" i="81" s="1"/>
  <c r="C45" i="55"/>
  <c r="G13" i="18"/>
  <c r="G25" i="18"/>
  <c r="G35" i="18"/>
  <c r="H51" i="53"/>
  <c r="DC55" i="47"/>
  <c r="CI40" i="47"/>
  <c r="CI55" i="47" s="1"/>
  <c r="W55" i="47"/>
  <c r="IQ39" i="47"/>
  <c r="EZ55" i="47"/>
  <c r="EB55" i="47"/>
  <c r="BH55" i="47"/>
  <c r="HN39" i="47"/>
  <c r="AD40" i="46"/>
  <c r="IC55" i="47"/>
  <c r="IC59" i="47" s="1"/>
  <c r="FA55" i="47"/>
  <c r="AT37" i="49"/>
  <c r="AT23" i="49"/>
  <c r="AT16" i="49"/>
  <c r="AT10" i="49"/>
  <c r="S35" i="51"/>
  <c r="S48" i="51" s="1"/>
  <c r="AS35" i="51"/>
  <c r="AS48" i="51" s="1"/>
  <c r="K35" i="51"/>
  <c r="K48" i="51" s="1"/>
  <c r="C55" i="42"/>
  <c r="H55" i="42"/>
  <c r="O40" i="42"/>
  <c r="O55" i="42" s="1"/>
  <c r="G16" i="28"/>
  <c r="K68" i="28"/>
  <c r="K70" i="28" s="1"/>
  <c r="M66" i="28"/>
  <c r="E36" i="19"/>
  <c r="D101" i="77" s="1"/>
  <c r="L57" i="12"/>
  <c r="L61" i="12" s="1"/>
  <c r="AB885" i="81"/>
  <c r="AC885" i="81" s="1"/>
  <c r="E924" i="83"/>
  <c r="AB819" i="81"/>
  <c r="AC819" i="81" s="1"/>
  <c r="E857" i="83"/>
  <c r="E856" i="83"/>
  <c r="AB818" i="81"/>
  <c r="AC818" i="81" s="1"/>
  <c r="L44" i="14"/>
  <c r="L41" i="14"/>
  <c r="M41" i="14" s="1"/>
  <c r="AA363" i="81"/>
  <c r="AB427" i="81"/>
  <c r="AC427" i="81" s="1"/>
  <c r="E523" i="83"/>
  <c r="AB146" i="81"/>
  <c r="AC146" i="81" s="1"/>
  <c r="E246" i="83"/>
  <c r="AB141" i="81"/>
  <c r="AC141" i="81" s="1"/>
  <c r="E241" i="83"/>
  <c r="E236" i="83"/>
  <c r="AB136" i="81"/>
  <c r="AC136" i="81" s="1"/>
  <c r="AB131" i="81"/>
  <c r="AC131" i="81" s="1"/>
  <c r="E231" i="83"/>
  <c r="AB126" i="81"/>
  <c r="AC126" i="81" s="1"/>
  <c r="E226" i="83"/>
  <c r="AB121" i="81"/>
  <c r="AC121" i="81" s="1"/>
  <c r="E221" i="83"/>
  <c r="E216" i="83"/>
  <c r="AB116" i="81"/>
  <c r="AC116" i="81" s="1"/>
  <c r="E194" i="83"/>
  <c r="AB107" i="81"/>
  <c r="AC107" i="81" s="1"/>
  <c r="E188" i="83"/>
  <c r="AB106" i="81"/>
  <c r="AC106" i="81" s="1"/>
  <c r="AB102" i="81"/>
  <c r="AC102" i="81" s="1"/>
  <c r="E184" i="83"/>
  <c r="AB344" i="81"/>
  <c r="AC344" i="81" s="1"/>
  <c r="E444" i="83"/>
  <c r="AA786" i="81"/>
  <c r="AB333" i="81"/>
  <c r="AC333" i="81" s="1"/>
  <c r="E434" i="83"/>
  <c r="AB93" i="81"/>
  <c r="AC93" i="81" s="1"/>
  <c r="E172" i="83"/>
  <c r="AA91" i="81"/>
  <c r="E162" i="83"/>
  <c r="AB88" i="81"/>
  <c r="AC88" i="81" s="1"/>
  <c r="G39" i="72"/>
  <c r="I25" i="16"/>
  <c r="F37" i="57"/>
  <c r="F10" i="56"/>
  <c r="C17" i="18"/>
  <c r="C37" i="18" s="1"/>
  <c r="C39" i="18" s="1"/>
  <c r="D120" i="77" s="1"/>
  <c r="I14" i="17"/>
  <c r="AA574" i="81"/>
  <c r="I22" i="17"/>
  <c r="AA600" i="81"/>
  <c r="I30" i="17"/>
  <c r="AA543" i="81"/>
  <c r="I33" i="17"/>
  <c r="AA580" i="81"/>
  <c r="B33" i="61"/>
  <c r="B43" i="61" s="1"/>
  <c r="D33" i="61"/>
  <c r="D43" i="61" s="1"/>
  <c r="AM59" i="45"/>
  <c r="AM60" i="45" s="1"/>
  <c r="AM61" i="45" s="1"/>
  <c r="AQ59" i="45"/>
  <c r="AQ60" i="45" s="1"/>
  <c r="AQ61" i="45" s="1"/>
  <c r="BM61" i="45"/>
  <c r="E59" i="48"/>
  <c r="G59" i="48"/>
  <c r="E59" i="50"/>
  <c r="I59" i="50"/>
  <c r="M59" i="50"/>
  <c r="AB86" i="81"/>
  <c r="AC86" i="81" s="1"/>
  <c r="E155" i="83"/>
  <c r="E811" i="83"/>
  <c r="AB766" i="81"/>
  <c r="AC766" i="81" s="1"/>
  <c r="AA82" i="81"/>
  <c r="AB78" i="81"/>
  <c r="AC78" i="81" s="1"/>
  <c r="E147" i="83"/>
  <c r="AA76" i="81"/>
  <c r="AA74" i="81"/>
  <c r="AB74" i="81" s="1"/>
  <c r="AC74" i="81" s="1"/>
  <c r="AA73" i="81"/>
  <c r="AB73" i="81" s="1"/>
  <c r="AC73" i="81" s="1"/>
  <c r="E31" i="18"/>
  <c r="L53" i="13"/>
  <c r="M53" i="13" s="1"/>
  <c r="C58" i="66" s="1"/>
  <c r="AB111" i="81"/>
  <c r="AC111" i="81" s="1"/>
  <c r="E200" i="83"/>
  <c r="AT41" i="49"/>
  <c r="G14" i="18"/>
  <c r="E54" i="59"/>
  <c r="H140" i="65"/>
  <c r="K74" i="38" s="1"/>
  <c r="H69" i="65"/>
  <c r="K64" i="38" s="1"/>
  <c r="K60" i="38"/>
  <c r="G37" i="68"/>
  <c r="E35" i="53"/>
  <c r="E48" i="53" s="1"/>
  <c r="E52"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I59" i="47" s="1"/>
  <c r="HE40" i="47"/>
  <c r="HE55" i="47" s="1"/>
  <c r="HE59" i="47" s="1"/>
  <c r="AT21" i="49"/>
  <c r="AT14" i="49"/>
  <c r="AK52" i="51"/>
  <c r="C35" i="51"/>
  <c r="C48" i="51" s="1"/>
  <c r="N34" i="51"/>
  <c r="AW34" i="51"/>
  <c r="AX40" i="51"/>
  <c r="AX25" i="51"/>
  <c r="AL34" i="51"/>
  <c r="AO35" i="51"/>
  <c r="AO48" i="51" s="1"/>
  <c r="AO52" i="51" s="1"/>
  <c r="AP47" i="51"/>
  <c r="AX18" i="51"/>
  <c r="AU47" i="51"/>
  <c r="L40" i="42"/>
  <c r="L55" i="42" s="1"/>
  <c r="M57" i="12"/>
  <c r="M61" i="12" s="1"/>
  <c r="AB365" i="81"/>
  <c r="AC365" i="81" s="1"/>
  <c r="E461" i="83"/>
  <c r="AB364" i="81"/>
  <c r="AC364" i="81" s="1"/>
  <c r="E460" i="83"/>
  <c r="AA108" i="81"/>
  <c r="AB884" i="81"/>
  <c r="AC884" i="81" s="1"/>
  <c r="E922" i="83"/>
  <c r="AB152" i="81"/>
  <c r="AC152" i="81" s="1"/>
  <c r="E252" i="83"/>
  <c r="AB145" i="81"/>
  <c r="AC145" i="81" s="1"/>
  <c r="E245" i="83"/>
  <c r="E240" i="83"/>
  <c r="AB140" i="81"/>
  <c r="AC140" i="81" s="1"/>
  <c r="AB135" i="81"/>
  <c r="AC135" i="81" s="1"/>
  <c r="E235" i="83"/>
  <c r="E230" i="83"/>
  <c r="AB130" i="81"/>
  <c r="AC130" i="81" s="1"/>
  <c r="E225" i="83"/>
  <c r="AB125" i="81"/>
  <c r="AC125" i="81" s="1"/>
  <c r="AB120" i="81"/>
  <c r="AC120" i="81" s="1"/>
  <c r="E220" i="83"/>
  <c r="AB115" i="81"/>
  <c r="AC115" i="81" s="1"/>
  <c r="E215" i="83"/>
  <c r="E852" i="83"/>
  <c r="AB812" i="81"/>
  <c r="AC812" i="81" s="1"/>
  <c r="AB354" i="81"/>
  <c r="AC354" i="81" s="1"/>
  <c r="E452" i="83"/>
  <c r="AA105" i="81"/>
  <c r="AB101" i="81"/>
  <c r="AC101" i="81" s="1"/>
  <c r="E183" i="83"/>
  <c r="AB97" i="81"/>
  <c r="AC97" i="81" s="1"/>
  <c r="E178" i="83"/>
  <c r="AA789" i="81"/>
  <c r="AB336" i="81"/>
  <c r="AC336" i="81" s="1"/>
  <c r="E437" i="83"/>
  <c r="AA332" i="81"/>
  <c r="E171" i="83"/>
  <c r="AB92" i="81"/>
  <c r="AC92" i="81" s="1"/>
  <c r="E624" i="83"/>
  <c r="AB528" i="81"/>
  <c r="AC528" i="81" s="1"/>
  <c r="E28" i="58"/>
  <c r="G47" i="58"/>
  <c r="D28" i="17"/>
  <c r="AB489" i="81"/>
  <c r="AC489" i="81" s="1"/>
  <c r="E584" i="83"/>
  <c r="AB515" i="81"/>
  <c r="AC515" i="81" s="1"/>
  <c r="E608" i="83"/>
  <c r="I19" i="17"/>
  <c r="AA597" i="81"/>
  <c r="I23" i="17"/>
  <c r="AA601" i="81"/>
  <c r="I31" i="17"/>
  <c r="AA549" i="81"/>
  <c r="I35" i="17"/>
  <c r="AA602" i="81"/>
  <c r="E30" i="20"/>
  <c r="C59" i="45"/>
  <c r="G59" i="45"/>
  <c r="G60" i="45" s="1"/>
  <c r="G61" i="45" s="1"/>
  <c r="K59" i="45"/>
  <c r="K60" i="45" s="1"/>
  <c r="K61" i="45" s="1"/>
  <c r="O59" i="45"/>
  <c r="O60" i="45" s="1"/>
  <c r="O61" i="45" s="1"/>
  <c r="S59" i="45"/>
  <c r="S60" i="45" s="1"/>
  <c r="S61" i="45" s="1"/>
  <c r="W59" i="45"/>
  <c r="W60" i="45" s="1"/>
  <c r="W61" i="45" s="1"/>
  <c r="AA59" i="45"/>
  <c r="AA60" i="45" s="1"/>
  <c r="AA61" i="45" s="1"/>
  <c r="AE59" i="45"/>
  <c r="AE60" i="45" s="1"/>
  <c r="AE61" i="45" s="1"/>
  <c r="AI59" i="45"/>
  <c r="AI60" i="45" s="1"/>
  <c r="AI61" i="45" s="1"/>
  <c r="AL59" i="45"/>
  <c r="AL60" i="45" s="1"/>
  <c r="AL61" i="45" s="1"/>
  <c r="AP59" i="45"/>
  <c r="AP60" i="45" s="1"/>
  <c r="AP61" i="45" s="1"/>
  <c r="AT59" i="45"/>
  <c r="AT60" i="45" s="1"/>
  <c r="AT61" i="45" s="1"/>
  <c r="AV59" i="45"/>
  <c r="AV60" i="45" s="1"/>
  <c r="AV61" i="45" s="1"/>
  <c r="AX59" i="45"/>
  <c r="AX60" i="45" s="1"/>
  <c r="AX61" i="45" s="1"/>
  <c r="BB59" i="45"/>
  <c r="BB60" i="45" s="1"/>
  <c r="BB61" i="45" s="1"/>
  <c r="BD59" i="45"/>
  <c r="BD60" i="45" s="1"/>
  <c r="BD61" i="45" s="1"/>
  <c r="BH59" i="45"/>
  <c r="BH60" i="45" s="1"/>
  <c r="BH61" i="45" s="1"/>
  <c r="BL59" i="45"/>
  <c r="BL60" i="45" s="1"/>
  <c r="BL61" i="45" s="1"/>
  <c r="F57" i="48"/>
  <c r="F58" i="48" s="1"/>
  <c r="F59" i="50"/>
  <c r="J59" i="50"/>
  <c r="AA313" i="81"/>
  <c r="AB759" i="81"/>
  <c r="AC759" i="81" s="1"/>
  <c r="E804" i="83"/>
  <c r="AB757" i="81"/>
  <c r="AC757" i="81" s="1"/>
  <c r="E802" i="83"/>
  <c r="AA756" i="81"/>
  <c r="L61" i="13"/>
  <c r="J69" i="66"/>
  <c r="L69" i="66"/>
  <c r="J21" i="29"/>
  <c r="E550" i="83"/>
  <c r="AB452" i="81"/>
  <c r="AC452" i="81" s="1"/>
  <c r="L55" i="13"/>
  <c r="AA166" i="81"/>
  <c r="AB367" i="81"/>
  <c r="AC367" i="81" s="1"/>
  <c r="E463" i="83"/>
  <c r="I36" i="17"/>
  <c r="AA587" i="81"/>
  <c r="M29" i="28"/>
  <c r="AB432" i="81"/>
  <c r="AC432" i="81" s="1"/>
  <c r="E528" i="83"/>
  <c r="E462" i="83"/>
  <c r="AB366" i="81"/>
  <c r="AC366" i="81" s="1"/>
  <c r="E69" i="66"/>
  <c r="E39" i="14"/>
  <c r="E53" i="14" s="1"/>
  <c r="E57" i="14" s="1"/>
  <c r="C29" i="77" s="1"/>
  <c r="D71" i="13"/>
  <c r="C53" i="37" s="1"/>
  <c r="C54" i="37" s="1"/>
  <c r="AB808" i="81"/>
  <c r="AC808" i="81" s="1"/>
  <c r="E848" i="83"/>
  <c r="AB98" i="81"/>
  <c r="AC98" i="81" s="1"/>
  <c r="E180" i="83"/>
  <c r="AB200" i="81"/>
  <c r="AC200" i="81" s="1"/>
  <c r="E303" i="83"/>
  <c r="AB325" i="81"/>
  <c r="AC325" i="81" s="1"/>
  <c r="E427" i="83"/>
  <c r="AB233" i="81"/>
  <c r="AC233" i="81" s="1"/>
  <c r="E331" i="83"/>
  <c r="AB114" i="81"/>
  <c r="AC114" i="81" s="1"/>
  <c r="E211" i="83"/>
  <c r="AB798" i="81"/>
  <c r="AC798" i="81" s="1"/>
  <c r="E840" i="83"/>
  <c r="AB199" i="81"/>
  <c r="AC199" i="81" s="1"/>
  <c r="E302" i="83"/>
  <c r="AB192" i="81"/>
  <c r="AC192" i="81" s="1"/>
  <c r="E296" i="83"/>
  <c r="AB776" i="81"/>
  <c r="AC776" i="81" s="1"/>
  <c r="E820" i="83"/>
  <c r="AB232" i="81"/>
  <c r="AC232" i="81" s="1"/>
  <c r="E330" i="83"/>
  <c r="AB285" i="81"/>
  <c r="AC285" i="81" s="1"/>
  <c r="E383" i="83"/>
  <c r="AB113" i="81"/>
  <c r="AC113" i="81" s="1"/>
  <c r="E210" i="83"/>
  <c r="AB805" i="81"/>
  <c r="AC805" i="81" s="1"/>
  <c r="E845" i="83"/>
  <c r="AB203" i="81"/>
  <c r="AC203" i="81" s="1"/>
  <c r="E306" i="83"/>
  <c r="AB189" i="81"/>
  <c r="AC189" i="81" s="1"/>
  <c r="E293" i="83"/>
  <c r="AB234" i="81"/>
  <c r="AC234" i="81" s="1"/>
  <c r="E332" i="83"/>
  <c r="AB231" i="81"/>
  <c r="AC231" i="81" s="1"/>
  <c r="E329" i="83"/>
  <c r="AB286" i="81"/>
  <c r="AC286" i="81" s="1"/>
  <c r="E384" i="83"/>
  <c r="AB202" i="81"/>
  <c r="AC202" i="81" s="1"/>
  <c r="E305" i="83"/>
  <c r="M14" i="28"/>
  <c r="H45" i="69"/>
  <c r="H47" i="69" s="1"/>
  <c r="F42" i="70"/>
  <c r="F45" i="66" s="1"/>
  <c r="G45" i="66"/>
  <c r="D54" i="11"/>
  <c r="I20" i="16"/>
  <c r="AA525" i="81"/>
  <c r="I18" i="16"/>
  <c r="AA524" i="81"/>
  <c r="I14" i="16"/>
  <c r="C158" i="77"/>
  <c r="AA521" i="81"/>
  <c r="E620" i="83"/>
  <c r="F57" i="57"/>
  <c r="I21" i="16"/>
  <c r="AA526" i="81"/>
  <c r="I16" i="16"/>
  <c r="AA522" i="81"/>
  <c r="G48" i="16"/>
  <c r="H48" i="16" s="1"/>
  <c r="H57" i="54"/>
  <c r="H69" i="54" s="1"/>
  <c r="C19" i="11"/>
  <c r="AA440" i="81"/>
  <c r="C15" i="11"/>
  <c r="AA437" i="81"/>
  <c r="E546" i="83"/>
  <c r="AB447" i="81"/>
  <c r="AC447" i="81" s="1"/>
  <c r="I58" i="16"/>
  <c r="C20" i="11"/>
  <c r="AA441" i="81"/>
  <c r="C21" i="11"/>
  <c r="AA443" i="81"/>
  <c r="C16" i="11"/>
  <c r="AA438" i="81"/>
  <c r="B35" i="56"/>
  <c r="B37" i="56" s="1"/>
  <c r="C125" i="77" s="1"/>
  <c r="F36" i="18"/>
  <c r="C60" i="45"/>
  <c r="C61" i="45" s="1"/>
  <c r="T45" i="49"/>
  <c r="I35" i="49"/>
  <c r="I45" i="49" s="1"/>
  <c r="I49" i="49" s="1"/>
  <c r="Y35" i="49"/>
  <c r="L35" i="49"/>
  <c r="L45" i="49" s="1"/>
  <c r="AA299" i="81"/>
  <c r="M35" i="49"/>
  <c r="M45" i="49" s="1"/>
  <c r="M49" i="49" s="1"/>
  <c r="Y45" i="49"/>
  <c r="Y49" i="49" s="1"/>
  <c r="U35" i="49"/>
  <c r="U45" i="49" s="1"/>
  <c r="U49" i="49" s="1"/>
  <c r="S35" i="49"/>
  <c r="S45" i="49" s="1"/>
  <c r="F59" i="48"/>
  <c r="H59" i="48"/>
  <c r="C59" i="48"/>
  <c r="L32" i="14"/>
  <c r="M32" i="14" s="1"/>
  <c r="C32" i="67" s="1"/>
  <c r="M15" i="14"/>
  <c r="C15" i="67" s="1"/>
  <c r="Q15" i="67" s="1"/>
  <c r="H8" i="68" s="1"/>
  <c r="D280" i="40"/>
  <c r="D294" i="40" s="1"/>
  <c r="E280" i="40"/>
  <c r="E294" i="40" s="1"/>
  <c r="E298" i="40" s="1"/>
  <c r="C24" i="77" s="1"/>
  <c r="C280" i="40"/>
  <c r="C294" i="40" s="1"/>
  <c r="M42" i="14"/>
  <c r="C42" i="67" s="1"/>
  <c r="Q42" i="67" s="1"/>
  <c r="B48" i="49"/>
  <c r="B57" i="67"/>
  <c r="D19" i="14"/>
  <c r="B59" i="47"/>
  <c r="M44" i="14"/>
  <c r="C44" i="67" s="1"/>
  <c r="Q44" i="67" s="1"/>
  <c r="B59" i="42"/>
  <c r="D56" i="14"/>
  <c r="I71" i="13"/>
  <c r="H53" i="37" s="1"/>
  <c r="K72" i="13"/>
  <c r="K73" i="13" s="1"/>
  <c r="F72" i="13"/>
  <c r="J72" i="13"/>
  <c r="H28" i="77" s="1"/>
  <c r="H72" i="13"/>
  <c r="G72" i="13"/>
  <c r="E72" i="13"/>
  <c r="B51" i="53"/>
  <c r="B58" i="47"/>
  <c r="AC732" i="81"/>
  <c r="AB732" i="81"/>
  <c r="E34" i="59"/>
  <c r="E38" i="57"/>
  <c r="E81" i="57" s="1"/>
  <c r="E82" i="57" s="1"/>
  <c r="I37" i="16"/>
  <c r="AA529" i="81"/>
  <c r="L33" i="14"/>
  <c r="M33" i="14" s="1"/>
  <c r="C33" i="67" s="1"/>
  <c r="Q33" i="67" s="1"/>
  <c r="C21" i="12" s="1"/>
  <c r="H21" i="12" s="1"/>
  <c r="J21" i="12" s="1"/>
  <c r="IT27" i="46"/>
  <c r="D35" i="49"/>
  <c r="D45" i="49" s="1"/>
  <c r="AS48" i="49"/>
  <c r="L23" i="14"/>
  <c r="M23" i="14" s="1"/>
  <c r="C23" i="67" s="1"/>
  <c r="Q23" i="67" s="1"/>
  <c r="C13" i="12" s="1"/>
  <c r="H13" i="12" s="1"/>
  <c r="J13" i="12" s="1"/>
  <c r="D40" i="47"/>
  <c r="D55" i="47" s="1"/>
  <c r="C1" i="54"/>
  <c r="A1" i="11"/>
  <c r="D38" i="14"/>
  <c r="K40" i="42"/>
  <c r="K55" i="42" s="1"/>
  <c r="IS58" i="47"/>
  <c r="F39" i="14"/>
  <c r="F53" i="14" s="1"/>
  <c r="F57" i="14" s="1"/>
  <c r="L11" i="14"/>
  <c r="E35" i="49"/>
  <c r="E45" i="49" s="1"/>
  <c r="L51" i="14"/>
  <c r="M51" i="14" s="1"/>
  <c r="C51" i="67" s="1"/>
  <c r="Q51" i="67" s="1"/>
  <c r="L49" i="14"/>
  <c r="M49" i="14" s="1"/>
  <c r="C49" i="67" s="1"/>
  <c r="Q49" i="67" s="1"/>
  <c r="J34" i="49"/>
  <c r="AS34" i="49"/>
  <c r="AA294" i="81"/>
  <c r="W35" i="49"/>
  <c r="W45" i="49" s="1"/>
  <c r="C35" i="49"/>
  <c r="C45" i="49" s="1"/>
  <c r="I34" i="17"/>
  <c r="AA520" i="81"/>
  <c r="B77" i="3"/>
  <c r="Q40" i="42"/>
  <c r="Q55" i="42" s="1"/>
  <c r="Q59" i="42" s="1"/>
  <c r="F30" i="77" s="1"/>
  <c r="AC586" i="81"/>
  <c r="AB586" i="81"/>
  <c r="AA605" i="81"/>
  <c r="AB605" i="81" s="1"/>
  <c r="AC605" i="81" s="1"/>
  <c r="I25" i="17"/>
  <c r="B48" i="15" s="1"/>
  <c r="AA604" i="81"/>
  <c r="F41" i="58"/>
  <c r="F44" i="58" s="1"/>
  <c r="F48" i="58" s="1"/>
  <c r="I38" i="17"/>
  <c r="M40" i="42"/>
  <c r="M55" i="42" s="1"/>
  <c r="M59" i="42" s="1"/>
  <c r="E30" i="77" s="1"/>
  <c r="I40" i="42"/>
  <c r="I55" i="42" s="1"/>
  <c r="I59" i="42" s="1"/>
  <c r="D30" i="77" s="1"/>
  <c r="D52" i="14"/>
  <c r="Y55" i="42"/>
  <c r="Y59" i="42" s="1"/>
  <c r="H30" i="77" s="1"/>
  <c r="G27" i="58"/>
  <c r="G28" i="58" s="1"/>
  <c r="I43" i="17"/>
  <c r="G19" i="18"/>
  <c r="I53" i="12"/>
  <c r="E40" i="42"/>
  <c r="E55" i="42" s="1"/>
  <c r="E59" i="42" s="1"/>
  <c r="C30" i="77" s="1"/>
  <c r="AC40" i="42"/>
  <c r="AC55" i="42" s="1"/>
  <c r="AC59" i="42" s="1"/>
  <c r="I30" i="77" s="1"/>
  <c r="U40" i="42"/>
  <c r="U55" i="42" s="1"/>
  <c r="U59" i="42" s="1"/>
  <c r="G30" i="77" s="1"/>
  <c r="C4" i="54"/>
  <c r="A3" i="70"/>
  <c r="A4" i="67"/>
  <c r="C4" i="55"/>
  <c r="A4" i="68"/>
  <c r="E38" i="54"/>
  <c r="F70" i="16"/>
  <c r="E39" i="16"/>
  <c r="F52" i="53"/>
  <c r="L54" i="14"/>
  <c r="M54" i="14" s="1"/>
  <c r="C54" i="67" s="1"/>
  <c r="I35" i="12"/>
  <c r="I37" i="12" s="1"/>
  <c r="I67" i="16"/>
  <c r="I68" i="16" s="1"/>
  <c r="C38" i="57"/>
  <c r="H36" i="54"/>
  <c r="G37" i="16" s="1"/>
  <c r="H37" i="16" s="1"/>
  <c r="AA444" i="81" s="1"/>
  <c r="H37" i="54"/>
  <c r="D38" i="54"/>
  <c r="D39" i="16"/>
  <c r="C70" i="16"/>
  <c r="C39" i="16"/>
  <c r="D70" i="16"/>
  <c r="G22" i="16"/>
  <c r="C25" i="11"/>
  <c r="M51" i="66"/>
  <c r="B46" i="11"/>
  <c r="D23" i="11"/>
  <c r="C4" i="19"/>
  <c r="B4" i="13"/>
  <c r="B4" i="57"/>
  <c r="B4" i="16"/>
  <c r="G47" i="66"/>
  <c r="B58" i="42"/>
  <c r="B56" i="67"/>
  <c r="B46" i="49"/>
  <c r="C48" i="55"/>
  <c r="M45" i="48"/>
  <c r="L36" i="13"/>
  <c r="M36" i="13" s="1"/>
  <c r="L44" i="13"/>
  <c r="M44" i="13" s="1"/>
  <c r="C42" i="66" s="1"/>
  <c r="M42" i="66" s="1"/>
  <c r="L37" i="13"/>
  <c r="M37" i="13" s="1"/>
  <c r="C36" i="66" s="1"/>
  <c r="M36" i="66" s="1"/>
  <c r="L25" i="13"/>
  <c r="M25" i="13" s="1"/>
  <c r="C23" i="66" s="1"/>
  <c r="M23" i="66" s="1"/>
  <c r="B21" i="11" s="1"/>
  <c r="L23" i="13"/>
  <c r="M23" i="13" s="1"/>
  <c r="C21" i="66" s="1"/>
  <c r="M21" i="66" s="1"/>
  <c r="B19" i="11" s="1"/>
  <c r="L19" i="13"/>
  <c r="M19" i="13" s="1"/>
  <c r="C17" i="66" s="1"/>
  <c r="M17" i="66" s="1"/>
  <c r="B16" i="11" s="1"/>
  <c r="L15" i="13"/>
  <c r="M15" i="13" s="1"/>
  <c r="C13" i="66" s="1"/>
  <c r="M13" i="66" s="1"/>
  <c r="BN47" i="45"/>
  <c r="L42" i="13"/>
  <c r="M42" i="13" s="1"/>
  <c r="L17" i="13"/>
  <c r="M17" i="13" s="1"/>
  <c r="C15" i="66" s="1"/>
  <c r="M15" i="66" s="1"/>
  <c r="L18" i="13"/>
  <c r="M18" i="13" s="1"/>
  <c r="C16" i="66" s="1"/>
  <c r="M16" i="66" s="1"/>
  <c r="B15" i="11" s="1"/>
  <c r="BN28" i="45"/>
  <c r="A4" i="18"/>
  <c r="A5" i="15"/>
  <c r="C4" i="58"/>
  <c r="C4" i="20"/>
  <c r="A4" i="59"/>
  <c r="A4" i="56"/>
  <c r="A5" i="40"/>
  <c r="A4" i="60"/>
  <c r="A3" i="65" s="1"/>
  <c r="B4" i="14"/>
  <c r="B5" i="69"/>
  <c r="B4" i="17"/>
  <c r="B52" i="53"/>
  <c r="B49" i="49"/>
  <c r="B54" i="67"/>
  <c r="B56" i="47"/>
  <c r="B49" i="53"/>
  <c r="B49" i="51"/>
  <c r="C48" i="58"/>
  <c r="C45" i="58"/>
  <c r="G28" i="18"/>
  <c r="IQ54" i="47"/>
  <c r="AH34" i="51"/>
  <c r="AX33" i="51"/>
  <c r="AJ35" i="51"/>
  <c r="AJ48" i="51" s="1"/>
  <c r="AV34" i="51"/>
  <c r="D35" i="53"/>
  <c r="D48" i="53" s="1"/>
  <c r="D52" i="53" s="1"/>
  <c r="EM55" i="47"/>
  <c r="CA55" i="47"/>
  <c r="IT44" i="47"/>
  <c r="BN40" i="46"/>
  <c r="BN39" i="47"/>
  <c r="BJ40" i="46"/>
  <c r="N39" i="42"/>
  <c r="V54" i="42"/>
  <c r="S20" i="71"/>
  <c r="S22" i="71" s="1"/>
  <c r="R22" i="71"/>
  <c r="L11" i="13"/>
  <c r="M26" i="48"/>
  <c r="I52" i="12"/>
  <c r="F22" i="18"/>
  <c r="H134" i="65"/>
  <c r="K72" i="38" s="1"/>
  <c r="H84" i="65"/>
  <c r="K68" i="38" s="1"/>
  <c r="H75" i="65"/>
  <c r="K66" i="38" s="1"/>
  <c r="H61" i="65"/>
  <c r="K62" i="38" s="1"/>
  <c r="HS40" i="47"/>
  <c r="HS55" i="47" s="1"/>
  <c r="HC55" i="47"/>
  <c r="GY55" i="47"/>
  <c r="GU55" i="47"/>
  <c r="FG40" i="47"/>
  <c r="FG55" i="47" s="1"/>
  <c r="DO55" i="47"/>
  <c r="CU40" i="47"/>
  <c r="CU55" i="47" s="1"/>
  <c r="BG55" i="47"/>
  <c r="AU55" i="47"/>
  <c r="AQ55" i="47"/>
  <c r="AM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A40" i="47"/>
  <c r="HA55" i="47" s="1"/>
  <c r="HA59" i="47" s="1"/>
  <c r="IS40" i="46"/>
  <c r="BI40" i="47"/>
  <c r="BI55" i="47" s="1"/>
  <c r="IS39" i="47"/>
  <c r="N54" i="42"/>
  <c r="L14" i="14"/>
  <c r="M14" i="14" s="1"/>
  <c r="C14" i="67" s="1"/>
  <c r="Q14" i="67" s="1"/>
  <c r="G8" i="68" s="1"/>
  <c r="H29" i="53"/>
  <c r="L13" i="14"/>
  <c r="M13" i="14" s="1"/>
  <c r="L12" i="14"/>
  <c r="M12" i="14" s="1"/>
  <c r="C12" i="67" s="1"/>
  <c r="Q12" i="67" s="1"/>
  <c r="C8" i="68" s="1"/>
  <c r="C27" i="68" s="1"/>
  <c r="C35" i="68" s="1"/>
  <c r="C37" i="68" s="1"/>
  <c r="AS27" i="49"/>
  <c r="F39" i="72"/>
  <c r="IR40" i="46"/>
  <c r="P40" i="47"/>
  <c r="P55" i="47" s="1"/>
  <c r="Q49" i="49"/>
  <c r="AH29" i="51"/>
  <c r="AX10" i="51"/>
  <c r="H13" i="16"/>
  <c r="G119" i="77"/>
  <c r="E29" i="59"/>
  <c r="IQ40" i="46"/>
  <c r="HW40" i="47"/>
  <c r="HW55" i="47" s="1"/>
  <c r="GI40" i="47"/>
  <c r="GI55" i="47" s="1"/>
  <c r="FK40" i="47"/>
  <c r="FK55" i="47" s="1"/>
  <c r="DW40" i="47"/>
  <c r="DW55" i="47" s="1"/>
  <c r="O40" i="47"/>
  <c r="O55" i="47" s="1"/>
  <c r="CF40" i="47"/>
  <c r="CF55" i="47" s="1"/>
  <c r="IL39" i="47"/>
  <c r="IH40" i="46"/>
  <c r="ID40" i="46"/>
  <c r="DZ39" i="47"/>
  <c r="AO59" i="47"/>
  <c r="AT47" i="51"/>
  <c r="J54" i="42"/>
  <c r="G124" i="77"/>
  <c r="H21" i="54"/>
  <c r="H38" i="54" s="1"/>
  <c r="H61" i="16"/>
  <c r="H68" i="16" s="1"/>
  <c r="G68" i="16"/>
  <c r="E24" i="12"/>
  <c r="E37" i="12" s="1"/>
  <c r="AS44" i="49"/>
  <c r="G36" i="18"/>
  <c r="C35" i="59"/>
  <c r="C37" i="59" s="1"/>
  <c r="D35" i="59"/>
  <c r="D37" i="59" s="1"/>
  <c r="C141" i="65"/>
  <c r="E141" i="65"/>
  <c r="H88" i="65"/>
  <c r="K70" i="38" s="1"/>
  <c r="C35" i="53"/>
  <c r="C48" i="53" s="1"/>
  <c r="C52"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8" i="51" s="1"/>
  <c r="AV29" i="51"/>
  <c r="R40" i="41"/>
  <c r="V40" i="41"/>
  <c r="E20" i="59"/>
  <c r="D141" i="65"/>
  <c r="IM55" i="47"/>
  <c r="HG55" i="47"/>
  <c r="GA55" i="47"/>
  <c r="EQ55" i="47"/>
  <c r="DK55" i="47"/>
  <c r="CE55" i="47"/>
  <c r="BC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BU59" i="47"/>
  <c r="R27" i="49"/>
  <c r="Z34" i="49"/>
  <c r="Z27" i="49"/>
  <c r="AS52" i="51"/>
  <c r="AX39"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O59" i="47" s="1"/>
  <c r="IK40" i="47"/>
  <c r="IK55" i="47" s="1"/>
  <c r="IK59" i="47" s="1"/>
  <c r="IG40" i="47"/>
  <c r="IG55" i="47" s="1"/>
  <c r="IG59" i="47" s="1"/>
  <c r="GG40" i="47"/>
  <c r="GG55" i="47" s="1"/>
  <c r="GC40" i="47"/>
  <c r="GC55" i="47" s="1"/>
  <c r="GC59" i="47" s="1"/>
  <c r="FY40" i="47"/>
  <c r="FY55" i="47" s="1"/>
  <c r="FY59" i="47" s="1"/>
  <c r="FU40" i="47"/>
  <c r="FU55" i="47" s="1"/>
  <c r="FU59" i="47" s="1"/>
  <c r="DI55" i="47"/>
  <c r="DI59" i="47" s="1"/>
  <c r="CO40" i="47"/>
  <c r="CO55" i="47" s="1"/>
  <c r="M40" i="47"/>
  <c r="M55" i="47" s="1"/>
  <c r="M59" i="47" s="1"/>
  <c r="E40" i="47"/>
  <c r="BO40" i="47"/>
  <c r="BO55" i="47" s="1"/>
  <c r="AR44" i="49"/>
  <c r="O35" i="49"/>
  <c r="O45" i="49" s="1"/>
  <c r="K35" i="49"/>
  <c r="K45" i="49" s="1"/>
  <c r="AX41" i="51"/>
  <c r="AX37" i="51"/>
  <c r="AX20" i="51"/>
  <c r="AX15" i="51"/>
  <c r="V29" i="51"/>
  <c r="Y48" i="51"/>
  <c r="Y52" i="51" s="1"/>
  <c r="AT34" i="51"/>
  <c r="AT29" i="51"/>
  <c r="Z39" i="42"/>
  <c r="AD39" i="42"/>
  <c r="R16" i="71"/>
  <c r="S14" i="71"/>
  <c r="S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GS59" i="47" s="1"/>
  <c r="EO55" i="47"/>
  <c r="EO59" i="47" s="1"/>
  <c r="DU55" i="47"/>
  <c r="Q55" i="47"/>
  <c r="Q59" i="47" s="1"/>
  <c r="IS54" i="47"/>
  <c r="AR27" i="49"/>
  <c r="R44" i="49"/>
  <c r="F34" i="49"/>
  <c r="F27" i="49"/>
  <c r="R34" i="49"/>
  <c r="V27" i="49"/>
  <c r="AX42" i="51"/>
  <c r="F47" i="51"/>
  <c r="AX27" i="51"/>
  <c r="AX17" i="51"/>
  <c r="J29" i="51"/>
  <c r="J35" i="51" s="1"/>
  <c r="AX11" i="51"/>
  <c r="AD47" i="51"/>
  <c r="AG35" i="51"/>
  <c r="AG48" i="51" s="1"/>
  <c r="AG52" i="51" s="1"/>
  <c r="P39" i="67"/>
  <c r="P53" i="67" s="1"/>
  <c r="P57" i="67" s="1"/>
  <c r="I32" i="28"/>
  <c r="F38" i="54"/>
  <c r="Q34" i="74"/>
  <c r="R34" i="74" s="1"/>
  <c r="Q25" i="74"/>
  <c r="R25" i="74" s="1"/>
  <c r="Q22" i="74"/>
  <c r="R22" i="74" s="1"/>
  <c r="N36" i="74"/>
  <c r="Q12" i="74"/>
  <c r="R12" i="74" s="1"/>
  <c r="O36" i="74"/>
  <c r="K36" i="74"/>
  <c r="G36" i="74"/>
  <c r="G40" i="47"/>
  <c r="G55" i="47" s="1"/>
  <c r="IF55" i="47"/>
  <c r="HT55" i="47"/>
  <c r="IR39" i="47"/>
  <c r="IP39" i="47"/>
  <c r="IT43" i="47"/>
  <c r="IL40" i="46"/>
  <c r="IH39" i="47"/>
  <c r="HZ54" i="47"/>
  <c r="HN54" i="47"/>
  <c r="HJ40" i="46"/>
  <c r="HF40" i="46"/>
  <c r="HF40" i="47" s="1"/>
  <c r="HB39" i="47"/>
  <c r="GT54" i="47"/>
  <c r="GH54" i="47"/>
  <c r="GD40" i="46"/>
  <c r="FZ40" i="46"/>
  <c r="FZ40" i="47" s="1"/>
  <c r="FV39" i="47"/>
  <c r="FN54" i="47"/>
  <c r="FB54" i="47"/>
  <c r="EX40" i="46"/>
  <c r="ET40" i="46"/>
  <c r="ET40" i="47" s="1"/>
  <c r="ET55" i="47" s="1"/>
  <c r="EP39" i="47"/>
  <c r="EH54" i="47"/>
  <c r="DV54" i="47"/>
  <c r="DR40" i="46"/>
  <c r="DN40" i="46"/>
  <c r="DN40" i="47" s="1"/>
  <c r="DJ39" i="47"/>
  <c r="DB54" i="47"/>
  <c r="CP54" i="47"/>
  <c r="CL40" i="46"/>
  <c r="CH40" i="46"/>
  <c r="CD39" i="47"/>
  <c r="CD40" i="47" s="1"/>
  <c r="BV54" i="47"/>
  <c r="AX39" i="47"/>
  <c r="AT40" i="46"/>
  <c r="AT39" i="47"/>
  <c r="AP54" i="47"/>
  <c r="AL54" i="47"/>
  <c r="V39" i="47"/>
  <c r="R39" i="47"/>
  <c r="R40" i="47" s="1"/>
  <c r="N39" i="47"/>
  <c r="J54" i="47"/>
  <c r="F39" i="47"/>
  <c r="HU40" i="47"/>
  <c r="HU55" i="47" s="1"/>
  <c r="HU59" i="47" s="1"/>
  <c r="HQ40" i="47"/>
  <c r="HQ55" i="47" s="1"/>
  <c r="HQ59" i="47" s="1"/>
  <c r="GO40" i="47"/>
  <c r="GO55" i="47" s="1"/>
  <c r="GO59" i="47" s="1"/>
  <c r="GK40" i="47"/>
  <c r="GK55" i="47" s="1"/>
  <c r="GK59" i="47" s="1"/>
  <c r="FI40" i="47"/>
  <c r="FI55" i="47" s="1"/>
  <c r="FI59" i="47" s="1"/>
  <c r="FE40" i="47"/>
  <c r="FE55" i="47" s="1"/>
  <c r="FE59" i="47" s="1"/>
  <c r="EK40" i="47"/>
  <c r="EK55" i="47" s="1"/>
  <c r="EK59" i="47" s="1"/>
  <c r="DY40" i="47"/>
  <c r="DY55" i="47" s="1"/>
  <c r="DY59" i="47" s="1"/>
  <c r="DE40" i="47"/>
  <c r="DE55" i="47" s="1"/>
  <c r="DE59" i="47" s="1"/>
  <c r="CS40" i="47"/>
  <c r="CS55" i="47" s="1"/>
  <c r="CS59" i="47" s="1"/>
  <c r="BY40" i="47"/>
  <c r="BY55" i="47" s="1"/>
  <c r="BY59" i="47" s="1"/>
  <c r="BM40" i="47"/>
  <c r="BM55" i="47" s="1"/>
  <c r="BM59" i="47" s="1"/>
  <c r="AS40" i="47"/>
  <c r="AS55" i="47" s="1"/>
  <c r="AS59" i="47" s="1"/>
  <c r="AG40" i="47"/>
  <c r="AG55" i="47" s="1"/>
  <c r="AG59" i="47" s="1"/>
  <c r="AR34" i="49"/>
  <c r="H35" i="49"/>
  <c r="H45" i="49" s="1"/>
  <c r="V44" i="49"/>
  <c r="F44" i="49"/>
  <c r="N27" i="49"/>
  <c r="N35" i="49" s="1"/>
  <c r="AW47" i="51"/>
  <c r="D35" i="51"/>
  <c r="AX26" i="51"/>
  <c r="N29" i="51"/>
  <c r="N35" i="51" s="1"/>
  <c r="V47" i="51"/>
  <c r="AE35" i="51"/>
  <c r="AE48" i="51" s="1"/>
  <c r="AF35" i="51"/>
  <c r="AF48" i="51" s="1"/>
  <c r="AQ35" i="51"/>
  <c r="AQ48" i="51" s="1"/>
  <c r="F39" i="42"/>
  <c r="T55" i="42"/>
  <c r="W40" i="42"/>
  <c r="W55" i="42" s="1"/>
  <c r="Z54" i="42"/>
  <c r="AD54" i="42"/>
  <c r="G69" i="54"/>
  <c r="H77" i="54"/>
  <c r="G78" i="16" s="1"/>
  <c r="H78" i="16" s="1"/>
  <c r="C51" i="11" s="1"/>
  <c r="Q31" i="73"/>
  <c r="R31" i="73" s="1"/>
  <c r="N36" i="73"/>
  <c r="Q19" i="73"/>
  <c r="R19" i="73" s="1"/>
  <c r="J36" i="73"/>
  <c r="Q15" i="73"/>
  <c r="R15" i="73" s="1"/>
  <c r="L36" i="73"/>
  <c r="H34" i="71"/>
  <c r="L34" i="71"/>
  <c r="P34" i="71"/>
  <c r="E12" i="18"/>
  <c r="F28" i="17"/>
  <c r="D30" i="20"/>
  <c r="D34" i="20" s="1"/>
  <c r="IJ40" i="47"/>
  <c r="IJ55" i="47" s="1"/>
  <c r="IT45" i="47"/>
  <c r="IH54" i="47"/>
  <c r="HV54" i="47"/>
  <c r="HR40" i="46"/>
  <c r="HR40" i="47" s="1"/>
  <c r="HR55" i="47" s="1"/>
  <c r="HN40" i="46"/>
  <c r="HJ39" i="47"/>
  <c r="HB54" i="47"/>
  <c r="GP54" i="47"/>
  <c r="GL40" i="46"/>
  <c r="GH40" i="46"/>
  <c r="GH40" i="47" s="1"/>
  <c r="GD39" i="47"/>
  <c r="FV54" i="47"/>
  <c r="FJ54" i="47"/>
  <c r="FF40" i="46"/>
  <c r="FB40" i="46"/>
  <c r="FB40" i="47" s="1"/>
  <c r="EX39" i="47"/>
  <c r="EP54" i="47"/>
  <c r="ED54" i="47"/>
  <c r="DZ40" i="46"/>
  <c r="DZ40" i="47" s="1"/>
  <c r="DV40" i="46"/>
  <c r="DV40" i="47" s="1"/>
  <c r="DV55" i="47" s="1"/>
  <c r="DR39" i="47"/>
  <c r="DJ54" i="47"/>
  <c r="CX54" i="47"/>
  <c r="CT40" i="46"/>
  <c r="CT40" i="47" s="1"/>
  <c r="CP40" i="46"/>
  <c r="CP40" i="47" s="1"/>
  <c r="CP55" i="47" s="1"/>
  <c r="CL39" i="47"/>
  <c r="CD54" i="47"/>
  <c r="BR54" i="47"/>
  <c r="BJ39" i="47"/>
  <c r="BF40" i="46"/>
  <c r="BF39" i="47"/>
  <c r="BB54" i="47"/>
  <c r="BB39" i="47"/>
  <c r="AX54" i="47"/>
  <c r="AT54" i="47"/>
  <c r="AL39" i="47"/>
  <c r="AD39" i="47"/>
  <c r="Z40" i="46"/>
  <c r="Z39" i="47"/>
  <c r="V54" i="47"/>
  <c r="N54" i="47"/>
  <c r="EW40" i="47"/>
  <c r="EW55" i="47" s="1"/>
  <c r="EW59" i="47" s="1"/>
  <c r="ES40" i="47"/>
  <c r="ES55" i="47" s="1"/>
  <c r="ES59" i="47" s="1"/>
  <c r="DQ40" i="47"/>
  <c r="DQ55" i="47" s="1"/>
  <c r="DQ59" i="47" s="1"/>
  <c r="DM40" i="47"/>
  <c r="DM55" i="47" s="1"/>
  <c r="DM59" i="47" s="1"/>
  <c r="CK40" i="47"/>
  <c r="CK55" i="47" s="1"/>
  <c r="CK59" i="47" s="1"/>
  <c r="CG40" i="47"/>
  <c r="CG55" i="47" s="1"/>
  <c r="CG59" i="47" s="1"/>
  <c r="BE40" i="47"/>
  <c r="BE55" i="47" s="1"/>
  <c r="BE59" i="47" s="1"/>
  <c r="BA40" i="47"/>
  <c r="BA55" i="47" s="1"/>
  <c r="BA59" i="47" s="1"/>
  <c r="Y40" i="47"/>
  <c r="Y55" i="47" s="1"/>
  <c r="Y59" i="47" s="1"/>
  <c r="U40" i="47"/>
  <c r="U55" i="47" s="1"/>
  <c r="U59" i="47" s="1"/>
  <c r="I40" i="47"/>
  <c r="I55" i="47" s="1"/>
  <c r="I59" i="47" s="1"/>
  <c r="P35" i="49"/>
  <c r="P45" i="49" s="1"/>
  <c r="G35" i="49"/>
  <c r="G45" i="49" s="1"/>
  <c r="Z44" i="49"/>
  <c r="J44" i="49"/>
  <c r="J27" i="49"/>
  <c r="V34" i="49"/>
  <c r="E35" i="51"/>
  <c r="M52" i="51"/>
  <c r="Z29" i="51"/>
  <c r="Z35" i="51" s="1"/>
  <c r="AB35" i="51"/>
  <c r="AB48" i="51" s="1"/>
  <c r="AH47" i="51"/>
  <c r="D40" i="42"/>
  <c r="D55" i="42" s="1"/>
  <c r="F54" i="42"/>
  <c r="R54" i="42"/>
  <c r="R39" i="42"/>
  <c r="M21" i="28"/>
  <c r="I24" i="28"/>
  <c r="C35" i="56"/>
  <c r="C37" i="56" s="1"/>
  <c r="D125" i="77" s="1"/>
  <c r="D35" i="56"/>
  <c r="D37" i="56" s="1"/>
  <c r="E125" i="77" s="1"/>
  <c r="F29" i="56"/>
  <c r="F39" i="16"/>
  <c r="G49" i="16"/>
  <c r="F293" i="40"/>
  <c r="I47" i="17"/>
  <c r="N26" i="50"/>
  <c r="A1" i="7"/>
  <c r="A47" i="7" s="1"/>
  <c r="C1" i="55"/>
  <c r="N58" i="50"/>
  <c r="AX21" i="51"/>
  <c r="AW29" i="51"/>
  <c r="N47" i="51"/>
  <c r="Q48" i="51"/>
  <c r="Q52" i="51" s="1"/>
  <c r="R47" i="51"/>
  <c r="R34" i="51"/>
  <c r="R35" i="51" s="1"/>
  <c r="AA35" i="51"/>
  <c r="AL29" i="51"/>
  <c r="AL35" i="51" s="1"/>
  <c r="AN35" i="51"/>
  <c r="AN48" i="51" s="1"/>
  <c r="F40" i="41"/>
  <c r="J40" i="41"/>
  <c r="N40" i="41"/>
  <c r="N40" i="42" s="1"/>
  <c r="P55" i="42"/>
  <c r="S55" i="42"/>
  <c r="V39" i="42"/>
  <c r="AD40" i="41"/>
  <c r="G53" i="67"/>
  <c r="G57" i="67" s="1"/>
  <c r="O39" i="67"/>
  <c r="O53" i="67" s="1"/>
  <c r="O57" i="67" s="1"/>
  <c r="M19" i="28"/>
  <c r="F54" i="56"/>
  <c r="D69" i="54"/>
  <c r="G38" i="54"/>
  <c r="G83" i="54" s="1"/>
  <c r="C101" i="77"/>
  <c r="D24" i="12"/>
  <c r="D37" i="12" s="1"/>
  <c r="K39" i="14"/>
  <c r="K53" i="14" s="1"/>
  <c r="K57" i="14" s="1"/>
  <c r="F42" i="40"/>
  <c r="F279" i="40"/>
  <c r="Q33" i="72"/>
  <c r="R33" i="72" s="1"/>
  <c r="Q29" i="72"/>
  <c r="R29" i="72" s="1"/>
  <c r="D36" i="74"/>
  <c r="Q28" i="73"/>
  <c r="R28" i="73" s="1"/>
  <c r="O36" i="73"/>
  <c r="E34" i="71"/>
  <c r="I34" i="71"/>
  <c r="M34" i="71"/>
  <c r="Q34" i="71"/>
  <c r="G45" i="17"/>
  <c r="H47" i="55"/>
  <c r="C33" i="20"/>
  <c r="C47" i="55"/>
  <c r="C22" i="61"/>
  <c r="C33" i="61" s="1"/>
  <c r="C43" i="61" s="1"/>
  <c r="H45" i="52"/>
  <c r="M61" i="13"/>
  <c r="L40" i="13"/>
  <c r="M40" i="13" s="1"/>
  <c r="C37" i="66" s="1"/>
  <c r="M37" i="66" s="1"/>
  <c r="L34" i="13"/>
  <c r="H58" i="52"/>
  <c r="L22" i="13"/>
  <c r="M22" i="13" s="1"/>
  <c r="C20" i="66" s="1"/>
  <c r="M20" i="66" s="1"/>
  <c r="L21" i="13"/>
  <c r="M21" i="13" s="1"/>
  <c r="L12" i="13"/>
  <c r="M12" i="13" s="1"/>
  <c r="C10" i="66" s="1"/>
  <c r="M10" i="66" s="1"/>
  <c r="B11" i="11" s="1"/>
  <c r="D11" i="11" s="1"/>
  <c r="H24" i="66"/>
  <c r="H28" i="69"/>
  <c r="F29" i="51"/>
  <c r="J47" i="51"/>
  <c r="V34" i="51"/>
  <c r="V35" i="51" s="1"/>
  <c r="V48" i="51" s="1"/>
  <c r="AC35" i="51"/>
  <c r="AC48" i="51" s="1"/>
  <c r="AC52" i="51" s="1"/>
  <c r="AD34" i="51"/>
  <c r="AD35" i="51" s="1"/>
  <c r="AL47" i="51"/>
  <c r="AP34" i="51"/>
  <c r="AP29" i="51"/>
  <c r="AP35" i="51" s="1"/>
  <c r="AP48" i="51" s="1"/>
  <c r="AR35" i="51"/>
  <c r="AR48" i="51" s="1"/>
  <c r="AU34" i="51"/>
  <c r="G40" i="42"/>
  <c r="G55" i="42" s="1"/>
  <c r="J39" i="42"/>
  <c r="Z40" i="41"/>
  <c r="AB40" i="42"/>
  <c r="AB55" i="42" s="1"/>
  <c r="M15" i="28"/>
  <c r="I68" i="28"/>
  <c r="I70" i="28" s="1"/>
  <c r="M42" i="28"/>
  <c r="F20" i="56"/>
  <c r="E70" i="16"/>
  <c r="E69" i="54"/>
  <c r="E101" i="77"/>
  <c r="Q13" i="72"/>
  <c r="R13" i="72" s="1"/>
  <c r="K39" i="72"/>
  <c r="J39" i="72"/>
  <c r="D39" i="72"/>
  <c r="D28" i="55"/>
  <c r="G30" i="17"/>
  <c r="H40" i="55"/>
  <c r="H41" i="55" s="1"/>
  <c r="H44" i="55" s="1"/>
  <c r="H48" i="55" s="1"/>
  <c r="G112" i="77" s="1"/>
  <c r="G40" i="58"/>
  <c r="E34" i="20"/>
  <c r="D102" i="77" s="1"/>
  <c r="F21" i="61"/>
  <c r="C164" i="77" s="1"/>
  <c r="I24" i="66"/>
  <c r="L50" i="14"/>
  <c r="M50" i="14" s="1"/>
  <c r="C50" i="67" s="1"/>
  <c r="Q50" i="67" s="1"/>
  <c r="AX46" i="51"/>
  <c r="F16" i="70"/>
  <c r="Q37" i="72"/>
  <c r="R37" i="72" s="1"/>
  <c r="O39" i="72"/>
  <c r="M36" i="74"/>
  <c r="Q31" i="74"/>
  <c r="R31" i="74" s="1"/>
  <c r="L36" i="74"/>
  <c r="Q19" i="74"/>
  <c r="R19" i="74" s="1"/>
  <c r="Q15" i="74"/>
  <c r="R15" i="74" s="1"/>
  <c r="J36" i="74"/>
  <c r="I36" i="74"/>
  <c r="P36" i="73"/>
  <c r="Q34" i="73"/>
  <c r="R34" i="73" s="1"/>
  <c r="Q25" i="73"/>
  <c r="R25" i="73" s="1"/>
  <c r="Q22" i="73"/>
  <c r="R22" i="73" s="1"/>
  <c r="K36" i="73"/>
  <c r="G36" i="73"/>
  <c r="M36" i="73"/>
  <c r="J34" i="71"/>
  <c r="N34" i="71"/>
  <c r="C69" i="57"/>
  <c r="F34" i="20"/>
  <c r="E102" i="77" s="1"/>
  <c r="F14" i="61"/>
  <c r="H26" i="52"/>
  <c r="N45" i="50"/>
  <c r="L24" i="13"/>
  <c r="M24" i="13" s="1"/>
  <c r="C22" i="66" s="1"/>
  <c r="M22" i="66" s="1"/>
  <c r="B20" i="11" s="1"/>
  <c r="D20" i="11" s="1"/>
  <c r="L20" i="13"/>
  <c r="M20" i="13" s="1"/>
  <c r="C18" i="66" s="1"/>
  <c r="M18" i="66" s="1"/>
  <c r="L41" i="13"/>
  <c r="M41" i="13" s="1"/>
  <c r="C38" i="66" s="1"/>
  <c r="M38" i="66" s="1"/>
  <c r="B36" i="11" s="1"/>
  <c r="D36" i="11" s="1"/>
  <c r="L48" i="14"/>
  <c r="M48" i="14" s="1"/>
  <c r="AX44" i="51"/>
  <c r="H39" i="14"/>
  <c r="H53" i="14" s="1"/>
  <c r="H57" i="14" s="1"/>
  <c r="L45" i="14"/>
  <c r="M45" i="14" s="1"/>
  <c r="L16" i="14"/>
  <c r="M16" i="14" s="1"/>
  <c r="C16" i="67" s="1"/>
  <c r="Q16" i="67" s="1"/>
  <c r="I8" i="68" s="1"/>
  <c r="I31" i="68" s="1"/>
  <c r="N31" i="68" s="1"/>
  <c r="H41" i="69"/>
  <c r="C81" i="77"/>
  <c r="P39" i="72"/>
  <c r="Q21" i="72"/>
  <c r="R21" i="72" s="1"/>
  <c r="I39" i="72"/>
  <c r="L39" i="72"/>
  <c r="Q9" i="72"/>
  <c r="P36" i="74"/>
  <c r="Q8" i="74"/>
  <c r="I36" i="73"/>
  <c r="Q8" i="73"/>
  <c r="R8" i="73" s="1"/>
  <c r="K34" i="71"/>
  <c r="O34" i="71"/>
  <c r="F21" i="57"/>
  <c r="D69" i="57"/>
  <c r="D81" i="57" s="1"/>
  <c r="D82" i="57" s="1"/>
  <c r="F67" i="57"/>
  <c r="AA535" i="81" s="1"/>
  <c r="E28" i="55"/>
  <c r="F28" i="55"/>
  <c r="G28" i="55"/>
  <c r="F32" i="61"/>
  <c r="M67" i="13"/>
  <c r="L38" i="13"/>
  <c r="M38" i="13" s="1"/>
  <c r="C40" i="66" s="1"/>
  <c r="M40" i="66" s="1"/>
  <c r="B35" i="11" s="1"/>
  <c r="D35" i="11" s="1"/>
  <c r="L13" i="13"/>
  <c r="M13" i="13" s="1"/>
  <c r="C11" i="66" s="1"/>
  <c r="M11" i="66" s="1"/>
  <c r="B10" i="11" s="1"/>
  <c r="D10" i="11" s="1"/>
  <c r="L35" i="13"/>
  <c r="M35" i="13" s="1"/>
  <c r="C35" i="66" s="1"/>
  <c r="M35" i="66" s="1"/>
  <c r="L39" i="13"/>
  <c r="M39" i="13" s="1"/>
  <c r="L16" i="13"/>
  <c r="M16" i="13" s="1"/>
  <c r="C14" i="66" s="1"/>
  <c r="M14" i="66" s="1"/>
  <c r="AX45" i="51"/>
  <c r="G29" i="77"/>
  <c r="U14" i="75"/>
  <c r="S14" i="75"/>
  <c r="Y14" i="75"/>
  <c r="W14" i="75"/>
  <c r="U10" i="75"/>
  <c r="S10" i="75"/>
  <c r="Y10" i="75"/>
  <c r="W10" i="75"/>
  <c r="U13" i="75"/>
  <c r="S13" i="75"/>
  <c r="Y13" i="75"/>
  <c r="W13" i="75"/>
  <c r="S9" i="75"/>
  <c r="Y9" i="75"/>
  <c r="U9" i="75"/>
  <c r="Q18" i="75"/>
  <c r="W9" i="75"/>
  <c r="H36" i="18"/>
  <c r="HF55" i="47"/>
  <c r="FZ55" i="47"/>
  <c r="C30" i="15"/>
  <c r="Q43" i="67"/>
  <c r="Y12" i="75"/>
  <c r="W12" i="75"/>
  <c r="U12" i="75"/>
  <c r="S12" i="75"/>
  <c r="Y15" i="75"/>
  <c r="W15" i="75"/>
  <c r="U15" i="75"/>
  <c r="S15" i="75"/>
  <c r="Y11" i="75"/>
  <c r="W11" i="75"/>
  <c r="U11" i="75"/>
  <c r="S11" i="75"/>
  <c r="C55" i="47"/>
  <c r="GH55" i="47"/>
  <c r="FB55" i="47"/>
  <c r="DJ40" i="47"/>
  <c r="DJ55" i="47" s="1"/>
  <c r="O18" i="75"/>
  <c r="H21" i="18"/>
  <c r="H22" i="18" s="1"/>
  <c r="AD48" i="51"/>
  <c r="AH35" i="51"/>
  <c r="AH48" i="51" s="1"/>
  <c r="H56" i="18"/>
  <c r="K32" i="68"/>
  <c r="J39" i="47"/>
  <c r="C42" i="18"/>
  <c r="C57" i="18" s="1"/>
  <c r="D41" i="17"/>
  <c r="D44" i="17" s="1"/>
  <c r="D48" i="17" s="1"/>
  <c r="I38" i="16"/>
  <c r="D24" i="11"/>
  <c r="J35" i="12"/>
  <c r="G53" i="14"/>
  <c r="G57" i="14" s="1"/>
  <c r="L55" i="14"/>
  <c r="G34" i="71"/>
  <c r="S11" i="71"/>
  <c r="I27" i="17"/>
  <c r="L47" i="14"/>
  <c r="HM59" i="47"/>
  <c r="GW59" i="47"/>
  <c r="GG59" i="47"/>
  <c r="FA59" i="47"/>
  <c r="EC55" i="47"/>
  <c r="EC59" i="47" s="1"/>
  <c r="DU59" i="47"/>
  <c r="CW55" i="47"/>
  <c r="CW59" i="47" s="1"/>
  <c r="CO59" i="47"/>
  <c r="BQ55" i="47"/>
  <c r="BQ59" i="47" s="1"/>
  <c r="BI59" i="47"/>
  <c r="AK55" i="47"/>
  <c r="AC59" i="47"/>
  <c r="C40" i="11"/>
  <c r="D40" i="11" s="1"/>
  <c r="R32" i="71"/>
  <c r="K38" i="67"/>
  <c r="Q11" i="73"/>
  <c r="Q24" i="67"/>
  <c r="G24" i="18"/>
  <c r="B89" i="3" s="1"/>
  <c r="F31" i="18"/>
  <c r="M27" i="28"/>
  <c r="G32" i="28"/>
  <c r="G34" i="28" s="1"/>
  <c r="H27" i="16"/>
  <c r="AA439" i="81" s="1"/>
  <c r="G38" i="16"/>
  <c r="G45" i="18"/>
  <c r="F56" i="18"/>
  <c r="H31" i="18"/>
  <c r="AL48" i="51" l="1"/>
  <c r="A3" i="97"/>
  <c r="A2" i="105"/>
  <c r="A2" i="104"/>
  <c r="A2" i="101"/>
  <c r="A2" i="100"/>
  <c r="A2" i="102"/>
  <c r="FR40" i="47"/>
  <c r="CD55" i="47"/>
  <c r="HZ40" i="47"/>
  <c r="DF55" i="47"/>
  <c r="BJ40" i="47"/>
  <c r="C41" i="67"/>
  <c r="B88" i="3"/>
  <c r="B91" i="3" s="1"/>
  <c r="B93" i="3" s="1"/>
  <c r="R34" i="71"/>
  <c r="S34" i="71"/>
  <c r="K34" i="28"/>
  <c r="K36" i="28" s="1"/>
  <c r="M32" i="28"/>
  <c r="M24" i="28"/>
  <c r="G36" i="28"/>
  <c r="F43" i="70"/>
  <c r="C153" i="77"/>
  <c r="K75" i="38"/>
  <c r="N59" i="50"/>
  <c r="N40" i="47"/>
  <c r="N55" i="47" s="1"/>
  <c r="H531" i="83"/>
  <c r="C62" i="77"/>
  <c r="G22" i="18"/>
  <c r="G56" i="18"/>
  <c r="E41" i="17"/>
  <c r="E44" i="17" s="1"/>
  <c r="E48" i="17" s="1"/>
  <c r="E107" i="77" s="1"/>
  <c r="C41" i="17"/>
  <c r="C44" i="17" s="1"/>
  <c r="C48" i="17" s="1"/>
  <c r="C107" i="77" s="1"/>
  <c r="C84" i="16"/>
  <c r="H73" i="13"/>
  <c r="AC56" i="80"/>
  <c r="BE56" i="80" s="1"/>
  <c r="AA320" i="81" s="1"/>
  <c r="E28" i="77"/>
  <c r="T56" i="80"/>
  <c r="D28" i="77"/>
  <c r="M56" i="80"/>
  <c r="E73" i="13"/>
  <c r="F56" i="80"/>
  <c r="E143" i="83"/>
  <c r="A3" i="43"/>
  <c r="E142" i="83"/>
  <c r="AB806" i="81"/>
  <c r="AC806" i="81" s="1"/>
  <c r="E41" i="55"/>
  <c r="E44" i="55" s="1"/>
  <c r="E48" i="55" s="1"/>
  <c r="D112" i="77" s="1"/>
  <c r="C40" i="56"/>
  <c r="C55" i="56" s="1"/>
  <c r="C41" i="11"/>
  <c r="AA450" i="81"/>
  <c r="E404" i="83"/>
  <c r="AB303" i="81"/>
  <c r="AC303" i="81" s="1"/>
  <c r="AB312" i="81"/>
  <c r="AC312" i="81" s="1"/>
  <c r="E414" i="83"/>
  <c r="D58" i="48"/>
  <c r="D59" i="48" s="1"/>
  <c r="M57" i="48"/>
  <c r="M58" i="48" s="1"/>
  <c r="AA187" i="81" s="1"/>
  <c r="F37" i="19"/>
  <c r="C53" i="77"/>
  <c r="AA773" i="81"/>
  <c r="E405" i="83"/>
  <c r="AB304" i="81"/>
  <c r="AC304" i="81" s="1"/>
  <c r="AB467" i="81"/>
  <c r="AC467" i="81" s="1"/>
  <c r="E566" i="83"/>
  <c r="B40" i="59"/>
  <c r="D41" i="58"/>
  <c r="D44" i="58" s="1"/>
  <c r="D48" i="58" s="1"/>
  <c r="AB881" i="81"/>
  <c r="AC881" i="81" s="1"/>
  <c r="E919" i="83"/>
  <c r="H924" i="83" s="1"/>
  <c r="E800" i="83"/>
  <c r="AB755" i="81"/>
  <c r="AC755" i="81" s="1"/>
  <c r="C49" i="77"/>
  <c r="CT55" i="47"/>
  <c r="DN55" i="47"/>
  <c r="EP40" i="47"/>
  <c r="EP55" i="47" s="1"/>
  <c r="H141" i="65"/>
  <c r="C142" i="77" s="1"/>
  <c r="C148" i="77"/>
  <c r="E83" i="54"/>
  <c r="E415" i="83"/>
  <c r="AB313" i="81"/>
  <c r="AC313" i="81" s="1"/>
  <c r="E152" i="83"/>
  <c r="H155" i="83" s="1"/>
  <c r="AB82" i="81"/>
  <c r="AC82" i="81" s="1"/>
  <c r="F12" i="18"/>
  <c r="F17" i="18" s="1"/>
  <c r="F15" i="56"/>
  <c r="F35" i="56" s="1"/>
  <c r="F37" i="56" s="1"/>
  <c r="G125" i="77" s="1"/>
  <c r="E459" i="83"/>
  <c r="AB363" i="81"/>
  <c r="AC363" i="81" s="1"/>
  <c r="AA512" i="81"/>
  <c r="H27" i="17"/>
  <c r="E658" i="83"/>
  <c r="AB562" i="81"/>
  <c r="AC562" i="81" s="1"/>
  <c r="B15" i="59"/>
  <c r="B35" i="59" s="1"/>
  <c r="B37" i="59" s="1"/>
  <c r="E10" i="59"/>
  <c r="AB161" i="81"/>
  <c r="AC161" i="81" s="1"/>
  <c r="E261" i="83"/>
  <c r="DZ55" i="47"/>
  <c r="AA624" i="81"/>
  <c r="E718" i="83" s="1"/>
  <c r="H714" i="83" s="1"/>
  <c r="H716" i="83" s="1"/>
  <c r="D37" i="19"/>
  <c r="BJ55" i="47"/>
  <c r="D84" i="16"/>
  <c r="D85" i="16" s="1"/>
  <c r="C81" i="57"/>
  <c r="C82" i="57" s="1"/>
  <c r="BN59" i="45"/>
  <c r="AB549" i="81"/>
  <c r="AC549" i="81" s="1"/>
  <c r="E646" i="83"/>
  <c r="AB597" i="81"/>
  <c r="AC597" i="81" s="1"/>
  <c r="E688" i="83"/>
  <c r="C40" i="59"/>
  <c r="C55" i="59" s="1"/>
  <c r="E41" i="58"/>
  <c r="E44" i="58" s="1"/>
  <c r="E48" i="58" s="1"/>
  <c r="AB789" i="81"/>
  <c r="AC789" i="81" s="1"/>
  <c r="E832" i="83"/>
  <c r="AB108" i="81"/>
  <c r="AC108" i="81" s="1"/>
  <c r="E197" i="83"/>
  <c r="AB76" i="81"/>
  <c r="AC76" i="81" s="1"/>
  <c r="E145" i="83"/>
  <c r="E640" i="83"/>
  <c r="AB543" i="81"/>
  <c r="AC543" i="81"/>
  <c r="AB574" i="81"/>
  <c r="AC574" i="81" s="1"/>
  <c r="E667" i="83"/>
  <c r="AB571" i="81"/>
  <c r="AC571" i="81" s="1"/>
  <c r="E666" i="83"/>
  <c r="E589" i="83"/>
  <c r="AB495" i="81"/>
  <c r="AC495" i="81"/>
  <c r="E595" i="83"/>
  <c r="AB502" i="81"/>
  <c r="AC502" i="81" s="1"/>
  <c r="H12" i="17"/>
  <c r="G16" i="17"/>
  <c r="G28" i="17" s="1"/>
  <c r="G41" i="55"/>
  <c r="G44" i="55" s="1"/>
  <c r="G48" i="55" s="1"/>
  <c r="F112" i="77" s="1"/>
  <c r="E40" i="56"/>
  <c r="E55" i="56" s="1"/>
  <c r="D41" i="55"/>
  <c r="D44" i="55" s="1"/>
  <c r="D48" i="55" s="1"/>
  <c r="C112" i="77" s="1"/>
  <c r="B40" i="56"/>
  <c r="B55" i="56" s="1"/>
  <c r="H59" i="52"/>
  <c r="I34" i="28"/>
  <c r="I36" i="28" s="1"/>
  <c r="R55" i="47"/>
  <c r="DB55" i="47"/>
  <c r="IP40" i="47"/>
  <c r="IP55" i="47" s="1"/>
  <c r="FF40" i="47"/>
  <c r="FF55" i="47" s="1"/>
  <c r="FJ40" i="47"/>
  <c r="FJ55" i="47" s="1"/>
  <c r="HZ55" i="47"/>
  <c r="H35" i="53"/>
  <c r="H48" i="53" s="1"/>
  <c r="E84" i="16"/>
  <c r="E85" i="16" s="1"/>
  <c r="E106" i="77" s="1"/>
  <c r="AQ45" i="49"/>
  <c r="AB332" i="81"/>
  <c r="AC332" i="81" s="1"/>
  <c r="E433" i="83"/>
  <c r="AB105" i="81"/>
  <c r="AC105" i="81" s="1"/>
  <c r="E186" i="83"/>
  <c r="E170" i="83"/>
  <c r="AB91" i="81"/>
  <c r="AC91" i="81" s="1"/>
  <c r="AB821" i="81"/>
  <c r="AC821" i="81" s="1"/>
  <c r="E859" i="83"/>
  <c r="AB599" i="81"/>
  <c r="AC599" i="81" s="1"/>
  <c r="E690" i="83"/>
  <c r="I16" i="17"/>
  <c r="I28" i="17" s="1"/>
  <c r="AB817" i="81"/>
  <c r="AC817" i="81" s="1"/>
  <c r="E855" i="83"/>
  <c r="H810" i="83"/>
  <c r="E679" i="83"/>
  <c r="AB588" i="81"/>
  <c r="AC588" i="81" s="1"/>
  <c r="AB164" i="81"/>
  <c r="AC164" i="81" s="1"/>
  <c r="E264" i="83"/>
  <c r="M68" i="28"/>
  <c r="M70" i="28" s="1"/>
  <c r="M71" i="28" s="1"/>
  <c r="F41" i="55"/>
  <c r="F44" i="55" s="1"/>
  <c r="F48" i="55" s="1"/>
  <c r="E112" i="77" s="1"/>
  <c r="D40" i="56"/>
  <c r="Z40" i="42"/>
  <c r="Z55" i="42" s="1"/>
  <c r="R48" i="51"/>
  <c r="Z48" i="51"/>
  <c r="AD40" i="47"/>
  <c r="AD55" i="47" s="1"/>
  <c r="GL40" i="47"/>
  <c r="GL55" i="47" s="1"/>
  <c r="HN40" i="47"/>
  <c r="HN55" i="47" s="1"/>
  <c r="V40" i="47"/>
  <c r="V55" i="47" s="1"/>
  <c r="CH40" i="47"/>
  <c r="CH55" i="47" s="1"/>
  <c r="F84" i="54"/>
  <c r="E111" i="77" s="1"/>
  <c r="F83" i="54"/>
  <c r="FN40" i="47"/>
  <c r="FN55" i="47" s="1"/>
  <c r="IT54" i="47"/>
  <c r="ED40" i="47"/>
  <c r="ED55" i="47" s="1"/>
  <c r="FR55" i="47"/>
  <c r="BB40" i="47"/>
  <c r="BN40" i="47"/>
  <c r="BN55" i="47" s="1"/>
  <c r="I40" i="17"/>
  <c r="D39" i="14"/>
  <c r="D53" i="14" s="1"/>
  <c r="D57" i="14" s="1"/>
  <c r="AB587" i="81"/>
  <c r="AC587" i="81" s="1"/>
  <c r="E678" i="83"/>
  <c r="E266" i="83"/>
  <c r="AB166" i="81"/>
  <c r="AC166" i="81" s="1"/>
  <c r="AB756" i="81"/>
  <c r="AC756" i="81" s="1"/>
  <c r="E801" i="83"/>
  <c r="E694" i="83"/>
  <c r="AB602" i="81"/>
  <c r="AC602" i="81" s="1"/>
  <c r="AB601" i="81"/>
  <c r="AC601" i="81" s="1"/>
  <c r="E692" i="83"/>
  <c r="E672" i="83"/>
  <c r="AB580" i="81"/>
  <c r="AC580" i="81"/>
  <c r="AB600" i="81"/>
  <c r="AC600" i="81" s="1"/>
  <c r="E691" i="83"/>
  <c r="AB786" i="81"/>
  <c r="AC786" i="81" s="1"/>
  <c r="E829" i="83"/>
  <c r="E37" i="19"/>
  <c r="AB598" i="81"/>
  <c r="AC598" i="81" s="1"/>
  <c r="E689" i="83"/>
  <c r="AB110" i="81"/>
  <c r="AC110" i="81" s="1"/>
  <c r="E199" i="83"/>
  <c r="AB464" i="81"/>
  <c r="AC464" i="81" s="1"/>
  <c r="E563" i="83"/>
  <c r="AS45" i="49"/>
  <c r="AS49" i="49" s="1"/>
  <c r="C46" i="77" s="1"/>
  <c r="AR45" i="49"/>
  <c r="G64" i="66"/>
  <c r="G68" i="66" s="1"/>
  <c r="G69" i="66" s="1"/>
  <c r="M90" i="13"/>
  <c r="C28" i="77"/>
  <c r="D72" i="13"/>
  <c r="D73" i="13" s="1"/>
  <c r="F47" i="66"/>
  <c r="AB501" i="81"/>
  <c r="AC501" i="81" s="1"/>
  <c r="E594" i="83"/>
  <c r="AB779" i="81"/>
  <c r="AC779" i="81" s="1"/>
  <c r="E823" i="83"/>
  <c r="H339" i="83"/>
  <c r="AB500" i="81"/>
  <c r="AC500" i="81" s="1"/>
  <c r="E593" i="83"/>
  <c r="AB493" i="81"/>
  <c r="AC493" i="81" s="1"/>
  <c r="E588" i="83"/>
  <c r="AB585" i="81"/>
  <c r="AC585" i="81" s="1"/>
  <c r="E676" i="83"/>
  <c r="AB294" i="81"/>
  <c r="AC294" i="81" s="1"/>
  <c r="E392" i="83"/>
  <c r="AB322" i="81"/>
  <c r="AC322" i="81" s="1"/>
  <c r="E424" i="83"/>
  <c r="AB299" i="81"/>
  <c r="AC299" i="81" s="1"/>
  <c r="E397" i="83"/>
  <c r="AB604" i="81"/>
  <c r="AC604" i="81" s="1"/>
  <c r="E696" i="83"/>
  <c r="AB520" i="81"/>
  <c r="AC520" i="81" s="1"/>
  <c r="E613" i="83"/>
  <c r="AB796" i="81"/>
  <c r="AC796" i="81" s="1"/>
  <c r="E838" i="83"/>
  <c r="M45" i="66"/>
  <c r="B41" i="11" s="1"/>
  <c r="F54" i="66"/>
  <c r="F68" i="66" s="1"/>
  <c r="M16" i="28"/>
  <c r="F84" i="16"/>
  <c r="F85" i="16" s="1"/>
  <c r="F106" i="77" s="1"/>
  <c r="D83" i="54"/>
  <c r="D84" i="54" s="1"/>
  <c r="C111" i="77" s="1"/>
  <c r="I22" i="16"/>
  <c r="L85" i="13" s="1"/>
  <c r="M87" i="13" s="1"/>
  <c r="AB522" i="81"/>
  <c r="AC522" i="81" s="1"/>
  <c r="E619" i="83"/>
  <c r="E629" i="83"/>
  <c r="AB532" i="81"/>
  <c r="AC532" i="81" s="1"/>
  <c r="AB524" i="81"/>
  <c r="AC524" i="81" s="1"/>
  <c r="E621" i="83"/>
  <c r="AB535" i="81"/>
  <c r="AC535" i="81" s="1"/>
  <c r="E631" i="83"/>
  <c r="F69" i="57"/>
  <c r="AB531" i="81"/>
  <c r="AC531" i="81" s="1"/>
  <c r="E628" i="83"/>
  <c r="AB521" i="81"/>
  <c r="AC521" i="81" s="1"/>
  <c r="E618" i="83"/>
  <c r="AB529" i="81"/>
  <c r="AC529" i="81" s="1"/>
  <c r="E625" i="83"/>
  <c r="AB526" i="81"/>
  <c r="AC526" i="81" s="1"/>
  <c r="E623" i="83"/>
  <c r="AB525" i="81"/>
  <c r="AC525" i="81" s="1"/>
  <c r="E622" i="83"/>
  <c r="G58" i="16"/>
  <c r="G70" i="16" s="1"/>
  <c r="AB439" i="81"/>
  <c r="AC439" i="81" s="1"/>
  <c r="E538" i="83"/>
  <c r="D16" i="11"/>
  <c r="AB444" i="81"/>
  <c r="AC444" i="81" s="1"/>
  <c r="E542" i="83"/>
  <c r="E541" i="83"/>
  <c r="AB443" i="81"/>
  <c r="AC443" i="81" s="1"/>
  <c r="AB441" i="81"/>
  <c r="AC441" i="81" s="1"/>
  <c r="E540" i="83"/>
  <c r="AB437" i="81"/>
  <c r="AC437" i="81" s="1"/>
  <c r="E536" i="83"/>
  <c r="D19" i="11"/>
  <c r="C9" i="11"/>
  <c r="C151" i="77" s="1"/>
  <c r="AA436" i="81"/>
  <c r="D15" i="11"/>
  <c r="D21" i="11"/>
  <c r="AB438" i="81"/>
  <c r="AC438" i="81" s="1"/>
  <c r="E537" i="83"/>
  <c r="AB440" i="81"/>
  <c r="AC440" i="81" s="1"/>
  <c r="E539" i="83"/>
  <c r="F37" i="18"/>
  <c r="F39" i="18" s="1"/>
  <c r="G120" i="77" s="1"/>
  <c r="N30" i="68"/>
  <c r="H50" i="12" s="1"/>
  <c r="J50" i="12" s="1"/>
  <c r="Z35" i="49"/>
  <c r="R35" i="49"/>
  <c r="R45" i="49" s="1"/>
  <c r="J35" i="49"/>
  <c r="J45" i="49" s="1"/>
  <c r="AT44" i="49"/>
  <c r="C45" i="77"/>
  <c r="M59" i="48"/>
  <c r="C66" i="77"/>
  <c r="Q32" i="67"/>
  <c r="Q38" i="67" s="1"/>
  <c r="L38" i="14"/>
  <c r="C32" i="15"/>
  <c r="H54" i="37"/>
  <c r="I72" i="13"/>
  <c r="I28" i="77"/>
  <c r="J73" i="13"/>
  <c r="F28" i="77"/>
  <c r="G73" i="13"/>
  <c r="F73" i="13"/>
  <c r="F35" i="49"/>
  <c r="F45" i="49" s="1"/>
  <c r="C1" i="19"/>
  <c r="B1" i="13"/>
  <c r="B1" i="14"/>
  <c r="A1" i="15"/>
  <c r="B1" i="17"/>
  <c r="A1" i="67"/>
  <c r="B1" i="16"/>
  <c r="A1" i="18"/>
  <c r="J40" i="42"/>
  <c r="J55" i="42" s="1"/>
  <c r="I35" i="68"/>
  <c r="I37" i="68" s="1"/>
  <c r="H52" i="53"/>
  <c r="C54" i="77" s="1"/>
  <c r="AT35" i="51"/>
  <c r="AT48" i="51" s="1"/>
  <c r="B67" i="3"/>
  <c r="V35" i="49"/>
  <c r="V45" i="49" s="1"/>
  <c r="AT34" i="49"/>
  <c r="AS35" i="49"/>
  <c r="Z45" i="49"/>
  <c r="AT27" i="49"/>
  <c r="C45" i="67"/>
  <c r="B66" i="3"/>
  <c r="N27" i="68"/>
  <c r="H47" i="12" s="1"/>
  <c r="J47" i="12" s="1"/>
  <c r="M38" i="14"/>
  <c r="C102" i="77"/>
  <c r="G41" i="58"/>
  <c r="G44" i="58" s="1"/>
  <c r="G48" i="58" s="1"/>
  <c r="V40" i="42"/>
  <c r="V55" i="42" s="1"/>
  <c r="J74" i="13"/>
  <c r="AD40" i="42"/>
  <c r="AD55" i="42" s="1"/>
  <c r="F40" i="42"/>
  <c r="F55" i="42" s="1"/>
  <c r="F38" i="57"/>
  <c r="G84" i="54"/>
  <c r="F111" i="77" s="1"/>
  <c r="C85" i="16"/>
  <c r="C106" i="77" s="1"/>
  <c r="G39" i="16"/>
  <c r="H22" i="16"/>
  <c r="C152" i="77"/>
  <c r="I70" i="16"/>
  <c r="H119" i="77"/>
  <c r="B48" i="11"/>
  <c r="D46" i="11"/>
  <c r="D48" i="11" s="1"/>
  <c r="C41" i="66"/>
  <c r="M41" i="66" s="1"/>
  <c r="B34" i="11" s="1"/>
  <c r="B14" i="11"/>
  <c r="D14" i="11" s="1"/>
  <c r="E74" i="13"/>
  <c r="F29" i="77"/>
  <c r="H74" i="13"/>
  <c r="E42" i="18"/>
  <c r="E57" i="18" s="1"/>
  <c r="F41" i="17"/>
  <c r="F44" i="17" s="1"/>
  <c r="F48" i="17" s="1"/>
  <c r="F107" i="77" s="1"/>
  <c r="D48" i="51"/>
  <c r="AV48" i="51" s="1"/>
  <c r="AV35" i="51"/>
  <c r="R8" i="74"/>
  <c r="R36" i="74" s="1"/>
  <c r="Q36" i="74"/>
  <c r="I26" i="66"/>
  <c r="I54" i="66"/>
  <c r="I68" i="66" s="1"/>
  <c r="I69" i="66" s="1"/>
  <c r="G40" i="17"/>
  <c r="H30" i="17"/>
  <c r="B25" i="11"/>
  <c r="D25" i="11" s="1"/>
  <c r="H54" i="66"/>
  <c r="H68" i="66" s="1"/>
  <c r="H69" i="66" s="1"/>
  <c r="H26" i="66"/>
  <c r="M78" i="13"/>
  <c r="M24" i="66"/>
  <c r="I29" i="77"/>
  <c r="K74" i="13"/>
  <c r="AA48" i="51"/>
  <c r="AU48" i="51" s="1"/>
  <c r="AU35" i="51"/>
  <c r="E17" i="18"/>
  <c r="E37" i="18" s="1"/>
  <c r="E39" i="18" s="1"/>
  <c r="F120" i="77" s="1"/>
  <c r="AT40" i="47"/>
  <c r="AT55" i="47" s="1"/>
  <c r="GD40" i="47"/>
  <c r="GD55" i="47" s="1"/>
  <c r="E49" i="49"/>
  <c r="AP40" i="47"/>
  <c r="AP55" i="47" s="1"/>
  <c r="CX40" i="47"/>
  <c r="CX55" i="47" s="1"/>
  <c r="EH40" i="47"/>
  <c r="EH55" i="47" s="1"/>
  <c r="R40" i="42"/>
  <c r="R55" i="42" s="1"/>
  <c r="C82" i="77"/>
  <c r="C85" i="77" s="1"/>
  <c r="C13" i="67"/>
  <c r="Q13" i="67" s="1"/>
  <c r="E8" i="68" s="1"/>
  <c r="F28" i="68" s="1"/>
  <c r="BR40" i="47"/>
  <c r="BR55" i="47" s="1"/>
  <c r="M11" i="13"/>
  <c r="L27" i="13"/>
  <c r="H45" i="17"/>
  <c r="G47" i="17"/>
  <c r="AA12" i="75"/>
  <c r="F22" i="61"/>
  <c r="F33" i="61" s="1"/>
  <c r="F43" i="61" s="1"/>
  <c r="N55" i="42"/>
  <c r="H49" i="16"/>
  <c r="H58" i="16" s="1"/>
  <c r="Z40" i="47"/>
  <c r="Z55" i="47" s="1"/>
  <c r="BF40" i="47"/>
  <c r="BF55" i="47" s="1"/>
  <c r="N48" i="51"/>
  <c r="N45" i="49"/>
  <c r="CL40" i="47"/>
  <c r="CL55" i="47" s="1"/>
  <c r="HJ40" i="47"/>
  <c r="HJ55" i="47" s="1"/>
  <c r="IL40" i="47"/>
  <c r="IL55" i="47" s="1"/>
  <c r="AX47"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5" i="13"/>
  <c r="IT40" i="46"/>
  <c r="R9" i="72"/>
  <c r="R39" i="72" s="1"/>
  <c r="Q39" i="72"/>
  <c r="B17" i="11"/>
  <c r="AX29" i="51"/>
  <c r="F35" i="51"/>
  <c r="F48" i="51" s="1"/>
  <c r="C19" i="66"/>
  <c r="M19" i="66" s="1"/>
  <c r="B18" i="11"/>
  <c r="D18" i="11" s="1"/>
  <c r="M34" i="13"/>
  <c r="L46" i="13"/>
  <c r="F280" i="40"/>
  <c r="F294" i="40" s="1"/>
  <c r="A1" i="66"/>
  <c r="C1" i="20"/>
  <c r="A1" i="40"/>
  <c r="A1" i="60"/>
  <c r="B1" i="12"/>
  <c r="A1" i="59"/>
  <c r="A1" i="56"/>
  <c r="A1" i="68"/>
  <c r="B3" i="69"/>
  <c r="B1" i="57"/>
  <c r="C1" i="58" s="1"/>
  <c r="E48" i="51"/>
  <c r="AW35" i="51"/>
  <c r="DR40" i="47"/>
  <c r="DR55" i="47" s="1"/>
  <c r="J48" i="51"/>
  <c r="IS40" i="47"/>
  <c r="E55" i="47"/>
  <c r="E59" i="47" s="1"/>
  <c r="AL40" i="47"/>
  <c r="AL55" i="47" s="1"/>
  <c r="EL40" i="47"/>
  <c r="EL55" i="47" s="1"/>
  <c r="HB40" i="47"/>
  <c r="HB55" i="47" s="1"/>
  <c r="HV40" i="47"/>
  <c r="HV55" i="47" s="1"/>
  <c r="F40" i="47"/>
  <c r="F55" i="47" s="1"/>
  <c r="GT40" i="47"/>
  <c r="GT55" i="47" s="1"/>
  <c r="IH40" i="47"/>
  <c r="IH55" i="47" s="1"/>
  <c r="M58" i="66"/>
  <c r="B62" i="11" s="1"/>
  <c r="D62" i="11" s="1"/>
  <c r="BV40" i="47"/>
  <c r="BV55" i="47" s="1"/>
  <c r="R11" i="73"/>
  <c r="R36" i="73" s="1"/>
  <c r="Q36" i="73"/>
  <c r="AK59" i="47"/>
  <c r="N32" i="68"/>
  <c r="H52" i="12" s="1"/>
  <c r="J52" i="12" s="1"/>
  <c r="K35" i="68"/>
  <c r="K37" i="68" s="1"/>
  <c r="S18" i="75"/>
  <c r="S25" i="75" s="1"/>
  <c r="AA9" i="75"/>
  <c r="J40" i="47"/>
  <c r="W18" i="75"/>
  <c r="W25" i="75" s="1"/>
  <c r="U18" i="75"/>
  <c r="U25" i="75" s="1"/>
  <c r="K39" i="67"/>
  <c r="K53" i="67" s="1"/>
  <c r="K57" i="67" s="1"/>
  <c r="C15" i="15"/>
  <c r="M47" i="14"/>
  <c r="L52" i="14"/>
  <c r="L56" i="14"/>
  <c r="M55" i="14"/>
  <c r="G74" i="13"/>
  <c r="E29" i="77"/>
  <c r="D107" i="77"/>
  <c r="Q54" i="67"/>
  <c r="E84" i="54"/>
  <c r="D111" i="77" s="1"/>
  <c r="IQ55" i="47"/>
  <c r="Y18" i="75"/>
  <c r="Y25" i="75" s="1"/>
  <c r="AA13" i="75"/>
  <c r="AA10" i="75"/>
  <c r="AA14" i="75"/>
  <c r="F74" i="13"/>
  <c r="D29" i="77"/>
  <c r="C17" i="11"/>
  <c r="H38" i="16"/>
  <c r="G31" i="18"/>
  <c r="C14" i="12"/>
  <c r="B38" i="11"/>
  <c r="D38" i="11" s="1"/>
  <c r="B13" i="11"/>
  <c r="AA18" i="75" l="1"/>
  <c r="AA25" i="75" s="1"/>
  <c r="I41" i="17"/>
  <c r="I44" i="17" s="1"/>
  <c r="B46" i="15" s="1"/>
  <c r="C48" i="15" s="1"/>
  <c r="C31" i="15"/>
  <c r="Q41" i="67"/>
  <c r="M34" i="28"/>
  <c r="M36" i="28" s="1"/>
  <c r="BC56" i="80"/>
  <c r="A1" i="104"/>
  <c r="A25" i="104" s="1"/>
  <c r="A1" i="100"/>
  <c r="A1" i="97"/>
  <c r="A1" i="102"/>
  <c r="A1" i="105"/>
  <c r="A1" i="101"/>
  <c r="H152" i="83"/>
  <c r="A1" i="43"/>
  <c r="H208" i="83"/>
  <c r="H269" i="83"/>
  <c r="H807" i="83"/>
  <c r="H417" i="83"/>
  <c r="D106" i="77"/>
  <c r="D86" i="16"/>
  <c r="E40" i="59"/>
  <c r="B55" i="59"/>
  <c r="H414" i="83"/>
  <c r="H630" i="83"/>
  <c r="AA446" i="81"/>
  <c r="H12" i="18"/>
  <c r="H17" i="18" s="1"/>
  <c r="H37" i="18" s="1"/>
  <c r="H39" i="18" s="1"/>
  <c r="E15" i="59"/>
  <c r="E35" i="59" s="1"/>
  <c r="E37" i="59" s="1"/>
  <c r="E421" i="83"/>
  <c r="H420" i="83" s="1"/>
  <c r="AB320" i="81"/>
  <c r="AC320" i="81" s="1"/>
  <c r="AA458" i="81"/>
  <c r="B72" i="3"/>
  <c r="H694" i="83"/>
  <c r="F81" i="57"/>
  <c r="I84" i="16" s="1"/>
  <c r="I85" i="16" s="1"/>
  <c r="F40" i="56"/>
  <c r="D55" i="56"/>
  <c r="AA477" i="81"/>
  <c r="H16" i="17"/>
  <c r="AB512" i="81"/>
  <c r="AC512" i="81" s="1"/>
  <c r="E605" i="83"/>
  <c r="H613" i="83" s="1"/>
  <c r="C143" i="77"/>
  <c r="C161" i="77"/>
  <c r="C166" i="77" s="1"/>
  <c r="G12" i="18"/>
  <c r="G17" i="18" s="1"/>
  <c r="G41" i="17"/>
  <c r="G44" i="17" s="1"/>
  <c r="G48" i="17" s="1"/>
  <c r="G107" i="77" s="1"/>
  <c r="H470" i="83"/>
  <c r="H683" i="83"/>
  <c r="BN60" i="45"/>
  <c r="L71" i="13"/>
  <c r="AB773" i="81"/>
  <c r="AC773" i="81" s="1"/>
  <c r="E817" i="83"/>
  <c r="H813" i="83" s="1"/>
  <c r="AX48" i="51"/>
  <c r="AT45" i="49"/>
  <c r="F69" i="66"/>
  <c r="B43" i="11"/>
  <c r="D74" i="13"/>
  <c r="C22" i="77"/>
  <c r="AA20" i="81"/>
  <c r="E28" i="83" s="1"/>
  <c r="H27" i="83" s="1"/>
  <c r="H29" i="83" s="1"/>
  <c r="C23" i="77"/>
  <c r="D41" i="11"/>
  <c r="H400" i="83"/>
  <c r="H863" i="83"/>
  <c r="AB187" i="81"/>
  <c r="AC187" i="81" s="1"/>
  <c r="E290" i="83"/>
  <c r="H289" i="83" s="1"/>
  <c r="H291" i="83" s="1"/>
  <c r="H83" i="54"/>
  <c r="G84" i="16" s="1"/>
  <c r="G85" i="16" s="1"/>
  <c r="G106" i="77" s="1"/>
  <c r="I39" i="16"/>
  <c r="H627" i="83"/>
  <c r="AB436" i="81"/>
  <c r="AC436" i="81" s="1"/>
  <c r="E535" i="83"/>
  <c r="H545" i="83" s="1"/>
  <c r="AB450" i="81"/>
  <c r="AC450" i="81" s="1"/>
  <c r="E548" i="83"/>
  <c r="G37" i="18"/>
  <c r="G39" i="18" s="1"/>
  <c r="H120" i="77" s="1"/>
  <c r="L39" i="14"/>
  <c r="L53" i="14" s="1"/>
  <c r="L57" i="14" s="1"/>
  <c r="I73" i="13"/>
  <c r="I74" i="13"/>
  <c r="G28" i="77"/>
  <c r="AT35" i="49"/>
  <c r="H51" i="12"/>
  <c r="J51" i="12" s="1"/>
  <c r="Q45" i="67"/>
  <c r="C21" i="15"/>
  <c r="AC624" i="81"/>
  <c r="AB624" i="81"/>
  <c r="I48" i="17"/>
  <c r="E86" i="16"/>
  <c r="C86" i="16"/>
  <c r="H39" i="16"/>
  <c r="M54" i="66"/>
  <c r="B51" i="11" s="1"/>
  <c r="F86" i="16"/>
  <c r="IS59" i="47"/>
  <c r="C42" i="77" s="1"/>
  <c r="M35" i="68"/>
  <c r="M37" i="68" s="1"/>
  <c r="N34" i="68"/>
  <c r="H54" i="12" s="1"/>
  <c r="J54" i="12" s="1"/>
  <c r="C9" i="66"/>
  <c r="M27" i="13"/>
  <c r="I45" i="12"/>
  <c r="I56" i="12" s="1"/>
  <c r="I57" i="12" s="1"/>
  <c r="H40" i="17"/>
  <c r="C59" i="66"/>
  <c r="E52" i="51"/>
  <c r="AW52" i="51" s="1"/>
  <c r="C50" i="77" s="1"/>
  <c r="AW48" i="51"/>
  <c r="C34" i="66"/>
  <c r="M46" i="13"/>
  <c r="C11" i="67"/>
  <c r="M19" i="14"/>
  <c r="B65" i="3" s="1"/>
  <c r="C34" i="11"/>
  <c r="C43" i="11" s="1"/>
  <c r="H70" i="16"/>
  <c r="I58" i="12"/>
  <c r="H47" i="17"/>
  <c r="I60" i="12" s="1"/>
  <c r="N28" i="68"/>
  <c r="H48" i="12" s="1"/>
  <c r="J48" i="12" s="1"/>
  <c r="F35" i="68"/>
  <c r="E37" i="68" s="1"/>
  <c r="AX35" i="51"/>
  <c r="IS55" i="47"/>
  <c r="D19" i="67"/>
  <c r="C55" i="67"/>
  <c r="M56" i="14"/>
  <c r="H58" i="12"/>
  <c r="J58" i="12" s="1"/>
  <c r="M52" i="14"/>
  <c r="C47" i="67"/>
  <c r="IT40" i="47"/>
  <c r="J55" i="47"/>
  <c r="IT55" i="47" s="1"/>
  <c r="D13" i="11"/>
  <c r="C24" i="12"/>
  <c r="C37" i="12" s="1"/>
  <c r="H14" i="12"/>
  <c r="D17" i="11"/>
  <c r="C26" i="11"/>
  <c r="A48" i="102" l="1"/>
  <c r="A26" i="102"/>
  <c r="A26" i="101"/>
  <c r="A48" i="101"/>
  <c r="A48" i="100"/>
  <c r="A25" i="100"/>
  <c r="A48" i="105"/>
  <c r="A24" i="105"/>
  <c r="H815" i="83"/>
  <c r="F42" i="18"/>
  <c r="F55" i="56"/>
  <c r="E557" i="83"/>
  <c r="AB458" i="81"/>
  <c r="AC458" i="81"/>
  <c r="B70" i="3"/>
  <c r="B84" i="3" s="1"/>
  <c r="F71" i="3" s="1"/>
  <c r="H28" i="17"/>
  <c r="H41" i="17" s="1"/>
  <c r="H44" i="17" s="1"/>
  <c r="H42" i="18"/>
  <c r="H57" i="18" s="1"/>
  <c r="E55" i="59"/>
  <c r="C65" i="11"/>
  <c r="F82" i="57"/>
  <c r="AA541" i="81" s="1"/>
  <c r="K53" i="37"/>
  <c r="M71" i="13"/>
  <c r="L72" i="13"/>
  <c r="AB477" i="81"/>
  <c r="AC477" i="81" s="1"/>
  <c r="E575" i="83"/>
  <c r="AA87" i="81"/>
  <c r="C41" i="77"/>
  <c r="BN61" i="45"/>
  <c r="H422" i="83"/>
  <c r="E637" i="83"/>
  <c r="H633" i="83" s="1"/>
  <c r="H635" i="83" s="1"/>
  <c r="AB541" i="81"/>
  <c r="AC541" i="81" s="1"/>
  <c r="AB20" i="81"/>
  <c r="AC20" i="81"/>
  <c r="H84" i="54"/>
  <c r="G111" i="77" s="1"/>
  <c r="G86" i="16"/>
  <c r="AB446" i="81"/>
  <c r="AC446" i="81" s="1"/>
  <c r="E545" i="83"/>
  <c r="H548" i="83" s="1"/>
  <c r="H84" i="16"/>
  <c r="D34" i="11"/>
  <c r="D43" i="11" s="1"/>
  <c r="M39" i="14"/>
  <c r="M53" i="14" s="1"/>
  <c r="C8" i="15" s="1"/>
  <c r="M9" i="66"/>
  <c r="C26" i="66"/>
  <c r="M34" i="66"/>
  <c r="M47" i="66" s="1"/>
  <c r="C47" i="66"/>
  <c r="C19" i="67"/>
  <c r="C39" i="67" s="1"/>
  <c r="Q11" i="67"/>
  <c r="C26" i="15"/>
  <c r="D39" i="67"/>
  <c r="D53" i="67" s="1"/>
  <c r="D57" i="67" s="1"/>
  <c r="M59" i="66"/>
  <c r="C129" i="77"/>
  <c r="I61" i="12"/>
  <c r="C133" i="77" s="1"/>
  <c r="Q47" i="67"/>
  <c r="C52" i="67"/>
  <c r="C34" i="77"/>
  <c r="Q55" i="67"/>
  <c r="C56" i="67"/>
  <c r="D51" i="11"/>
  <c r="H24" i="12"/>
  <c r="H37" i="12" s="1"/>
  <c r="J14" i="12"/>
  <c r="J24" i="12" s="1"/>
  <c r="J37" i="12" s="1"/>
  <c r="H602" i="83" l="1"/>
  <c r="B95" i="3"/>
  <c r="F88" i="3" s="1"/>
  <c r="H48" i="17"/>
  <c r="H107" i="77" s="1"/>
  <c r="H53" i="17"/>
  <c r="C128" i="77" s="1"/>
  <c r="L73" i="13"/>
  <c r="C33" i="77"/>
  <c r="L74" i="13"/>
  <c r="AB87" i="81"/>
  <c r="AC87" i="81" s="1"/>
  <c r="E159" i="83"/>
  <c r="H158" i="83" s="1"/>
  <c r="H160" i="83" s="1"/>
  <c r="C64" i="66"/>
  <c r="M72" i="13"/>
  <c r="K54" i="37"/>
  <c r="L53" i="37"/>
  <c r="L54" i="37" s="1"/>
  <c r="G42" i="18"/>
  <c r="G57" i="18" s="1"/>
  <c r="F57" i="18"/>
  <c r="C67" i="11"/>
  <c r="H85" i="16"/>
  <c r="AA456" i="81" s="1"/>
  <c r="C57" i="15"/>
  <c r="M57" i="14"/>
  <c r="C38" i="77" s="1"/>
  <c r="C53" i="67"/>
  <c r="C57" i="67" s="1"/>
  <c r="B52" i="11"/>
  <c r="B8" i="68"/>
  <c r="B25" i="68" s="1"/>
  <c r="Q19" i="67"/>
  <c r="Q39" i="67" s="1"/>
  <c r="B9" i="11"/>
  <c r="M26" i="66"/>
  <c r="H59" i="12"/>
  <c r="J59" i="12" s="1"/>
  <c r="Q56" i="67"/>
  <c r="H60" i="12" s="1"/>
  <c r="J60" i="12" s="1"/>
  <c r="L8" i="68"/>
  <c r="Q52" i="67"/>
  <c r="C135" i="77" l="1"/>
  <c r="L55" i="37"/>
  <c r="M64" i="66"/>
  <c r="C68" i="66"/>
  <c r="C69" i="66" s="1"/>
  <c r="C68" i="11"/>
  <c r="C70" i="11"/>
  <c r="C37" i="77"/>
  <c r="M92" i="13"/>
  <c r="C95" i="77" s="1"/>
  <c r="H106" i="77"/>
  <c r="C89" i="77"/>
  <c r="C132" i="77"/>
  <c r="H90" i="16"/>
  <c r="C134" i="77"/>
  <c r="Q53" i="67"/>
  <c r="Q57" i="67" s="1"/>
  <c r="D9" i="11"/>
  <c r="B26" i="11"/>
  <c r="C147" i="77"/>
  <c r="B35" i="68"/>
  <c r="B37" i="68" s="1"/>
  <c r="N25" i="68"/>
  <c r="H45" i="12" s="1"/>
  <c r="J45" i="12" s="1"/>
  <c r="D52" i="11"/>
  <c r="L33" i="68"/>
  <c r="N8" i="68"/>
  <c r="C77" i="77" s="1"/>
  <c r="B65" i="11" l="1"/>
  <c r="M68" i="66"/>
  <c r="AB456" i="81"/>
  <c r="AC456" i="81" s="1"/>
  <c r="E554" i="83"/>
  <c r="H552" i="83" s="1"/>
  <c r="H554" i="83" s="1"/>
  <c r="D26" i="11"/>
  <c r="C156" i="77"/>
  <c r="C159" i="77" s="1"/>
  <c r="C90" i="77"/>
  <c r="L35" i="68"/>
  <c r="L37" i="68" s="1"/>
  <c r="N33" i="68"/>
  <c r="C74" i="77"/>
  <c r="C97" i="77"/>
  <c r="M69" i="66" l="1"/>
  <c r="C73" i="77"/>
  <c r="C96" i="77"/>
  <c r="D65" i="11"/>
  <c r="D67" i="11" s="1"/>
  <c r="C138" i="77" s="1"/>
  <c r="B67" i="11"/>
  <c r="Q59" i="67"/>
  <c r="H53" i="12"/>
  <c r="N35" i="68"/>
  <c r="N37" i="68" s="1"/>
  <c r="C93" i="77" l="1"/>
  <c r="B70" i="11"/>
  <c r="D70" i="11"/>
  <c r="J53" i="12"/>
  <c r="J56" i="12" s="1"/>
  <c r="J57" i="12" s="1"/>
  <c r="J61" i="12" s="1"/>
  <c r="H56" i="12"/>
  <c r="H57" i="12" s="1"/>
  <c r="C59" i="15" s="1"/>
  <c r="C78" i="77"/>
  <c r="N39" i="68"/>
  <c r="C139" i="77" l="1"/>
  <c r="D68" i="11"/>
  <c r="C88" i="77"/>
  <c r="H61" i="12"/>
  <c r="B68" i="11" l="1"/>
  <c r="C9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H15" authorId="0" shapeId="0" xr:uid="{00000000-0006-0000-0000-000001000000}">
      <text>
        <r>
          <rPr>
            <sz val="9"/>
            <color indexed="81"/>
            <rFont val="Tahoma"/>
            <family val="2"/>
          </rPr>
          <t xml:space="preserve">Comment:
</t>
        </r>
      </text>
    </comment>
    <comment ref="A18" authorId="0" shapeId="0" xr:uid="{00000000-0006-0000-0000-000002000000}">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G13" authorId="0" shapeId="0" xr:uid="{00000000-0006-0000-0F00-000001000000}">
      <text>
        <r>
          <rPr>
            <sz val="10"/>
            <color indexed="81"/>
            <rFont val="Tahoma"/>
            <family val="2"/>
          </rPr>
          <t xml:space="preserve">CAUTION: FORMULAS IN THIS COLUMN
 - DO NOT OVERWRITE!
</t>
        </r>
      </text>
    </comment>
    <comment ref="H13" authorId="0" shapeId="0" xr:uid="{00000000-0006-0000-0F00-000002000000}">
      <text>
        <r>
          <rPr>
            <sz val="10"/>
            <color indexed="81"/>
            <rFont val="Tahoma"/>
            <family val="2"/>
          </rPr>
          <t xml:space="preserve">CAUTION: FORMULAS IN THIS COLUMN
 - DO NOT OVERWRITE!
</t>
        </r>
      </text>
    </comment>
    <comment ref="I13" authorId="0" shapeId="0" xr:uid="{00000000-0006-0000-0F00-000003000000}">
      <text>
        <r>
          <rPr>
            <sz val="10"/>
            <color indexed="81"/>
            <rFont val="Tahoma"/>
            <family val="2"/>
          </rPr>
          <t xml:space="preserve">CAUTION: FORMULAS IN THIS COLUMN
 - DO NOT OVERWRITE!
</t>
        </r>
      </text>
    </comment>
    <comment ref="C78"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78" authorId="0" shapeId="0" xr:uid="{00000000-0006-0000-0F00-000005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78" authorId="0" shapeId="0" xr:uid="{00000000-0006-0000-0F00-000006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78" authorId="0" shapeId="0" xr:uid="{00000000-0006-0000-0F00-000007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G12" authorId="0" shapeId="0" xr:uid="{00000000-0006-0000-1000-000001000000}">
      <text>
        <r>
          <rPr>
            <sz val="10"/>
            <color indexed="81"/>
            <rFont val="Tahoma"/>
            <family val="2"/>
          </rPr>
          <t xml:space="preserve">CAUTION: FORMULAS IN THIS COLUMN
 - DO NOT OVERWRITE!
</t>
        </r>
      </text>
    </comment>
    <comment ref="H12" authorId="0" shapeId="0" xr:uid="{00000000-0006-0000-1000-000002000000}">
      <text>
        <r>
          <rPr>
            <sz val="10"/>
            <color indexed="81"/>
            <rFont val="Tahoma"/>
            <family val="2"/>
          </rPr>
          <t xml:space="preserve">CAUTION: FORMULAS IN THIS COLUMN
 - DO NOT OVERWRITE!
</t>
        </r>
      </text>
    </comment>
    <comment ref="I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00000000-0006-0000-1100-000002000000}">
      <text>
        <r>
          <rPr>
            <sz val="10"/>
            <color indexed="81"/>
            <rFont val="Tahoma"/>
            <family val="2"/>
          </rPr>
          <t xml:space="preserve">Should total the additions to Capital Assets
</t>
        </r>
      </text>
    </comment>
    <comment ref="B27" authorId="1" shapeId="0" xr:uid="{00000000-0006-0000-1100-000003000000}">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7" authorId="0" shapeId="0" xr:uid="{00000000-0006-0000-1200-000001000000}">
      <text>
        <r>
          <rPr>
            <sz val="9"/>
            <color indexed="81"/>
            <rFont val="Tahoma"/>
            <family val="2"/>
          </rPr>
          <t xml:space="preserve">Agency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37" authorId="0" shapeId="0" xr:uid="{00000000-0006-0000-1500-000001000000}">
      <text>
        <r>
          <rPr>
            <sz val="10"/>
            <color indexed="81"/>
            <rFont val="Tahoma"/>
            <family val="2"/>
          </rPr>
          <t xml:space="preserve">List all major funds here as reported on Pages 15 and 16.
</t>
        </r>
      </text>
    </comment>
    <comment ref="D46" authorId="0" shapeId="0" xr:uid="{00000000-0006-0000-1500-000002000000}">
      <text>
        <r>
          <rPr>
            <sz val="10"/>
            <color indexed="81"/>
            <rFont val="Tahoma"/>
            <family val="2"/>
          </rPr>
          <t xml:space="preserve">List all Major Proprietary Funds here - update for your government, delete water and sewer if you do not have those funds or they are not major funds.
</t>
        </r>
      </text>
    </comment>
    <comment ref="D57" authorId="0" shapeId="0" xr:uid="{00000000-0006-0000-1500-000003000000}">
      <text>
        <r>
          <rPr>
            <sz val="10"/>
            <color indexed="81"/>
            <rFont val="Tahoma"/>
            <family val="2"/>
          </rPr>
          <t xml:space="preserve">Delete the fund types you do not have.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4" authorId="0" shapeId="0" xr:uid="{00000000-0006-0000-1900-000001000000}">
      <text>
        <r>
          <rPr>
            <b/>
            <sz val="9"/>
            <color indexed="81"/>
            <rFont val="Tahoma"/>
            <family val="2"/>
          </rPr>
          <t>Update the note if encumbrance accounting is or is not used.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sz val="9"/>
            <color indexed="81"/>
            <rFont val="Tahoma"/>
            <family val="2"/>
          </rPr>
          <t xml:space="preserve">The Governmental capital assets transfer by formula if the GCAAG is completed.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39" authorId="0" shapeId="0" xr:uid="{00000000-0006-0000-2C00-000001000000}">
      <text>
        <r>
          <rPr>
            <sz val="10"/>
            <color indexed="81"/>
            <rFont val="Tahoma"/>
            <family val="2"/>
          </rPr>
          <t xml:space="preserve">Example of Major Purpose is Gen Government; Public Safety, Public Works, Public Health, etc.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6" authorId="0" shapeId="0" xr:uid="{00000000-0006-0000-2D00-000001000000}">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Erickson, Darla</author>
    <author>Kemmerer, Vickie</author>
  </authors>
  <commentList>
    <comment ref="E36" authorId="0" shapeId="0" xr:uid="{00000000-0006-0000-2E00-000001000000}">
      <text>
        <r>
          <rPr>
            <sz val="9"/>
            <color indexed="81"/>
            <rFont val="Tahoma"/>
            <family val="2"/>
          </rPr>
          <t xml:space="preserve">An example would be a percentage reduction in taxable valuation
</t>
        </r>
      </text>
    </comment>
    <comment ref="F40" authorId="1" shapeId="0" xr:uid="{00000000-0006-0000-2E00-000002000000}">
      <text>
        <r>
          <rPr>
            <b/>
            <sz val="9"/>
            <color indexed="81"/>
            <rFont val="Tahoma"/>
            <family val="2"/>
          </rPr>
          <t>LGSB:
The gross dollar amount, on an accrual basis</t>
        </r>
      </text>
    </comment>
    <comment ref="G58" authorId="1" shapeId="0" xr:uid="{00000000-0006-0000-2E00-000003000000}">
      <text>
        <r>
          <rPr>
            <b/>
            <sz val="9"/>
            <color indexed="81"/>
            <rFont val="Tahoma"/>
            <family val="2"/>
          </rPr>
          <t xml:space="preserve">LGSB:
The gross dollar amount, on an accrual basis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7" authorId="0" shapeId="0" xr:uid="{00000000-0006-0000-0100-000001000000}">
      <text>
        <r>
          <rPr>
            <b/>
            <sz val="9"/>
            <color indexed="81"/>
            <rFont val="Tahoma"/>
            <family val="2"/>
          </rPr>
          <t>IMPORTANT: Entity Number Auto Fills From the Input of Your Entity Name.</t>
        </r>
      </text>
    </comment>
    <comment ref="A9" authorId="0" shapeId="0" xr:uid="{00000000-0006-0000-0100-000002000000}">
      <text>
        <r>
          <rPr>
            <b/>
            <sz val="12"/>
            <color indexed="81"/>
            <rFont val="Tahoma"/>
            <family val="2"/>
          </rPr>
          <t>IMPORTANT:
Use this exact format:</t>
        </r>
        <r>
          <rPr>
            <sz val="9"/>
            <color indexed="81"/>
            <rFont val="Tahoma"/>
            <family val="2"/>
          </rPr>
          <t xml:space="preserve">
</t>
        </r>
        <r>
          <rPr>
            <b/>
            <sz val="10"/>
            <color indexed="81"/>
            <rFont val="Tahoma"/>
            <family val="2"/>
          </rPr>
          <t>CITY OF</t>
        </r>
        <r>
          <rPr>
            <sz val="10"/>
            <color indexed="81"/>
            <rFont val="Tahoma"/>
            <family val="2"/>
          </rPr>
          <t xml:space="preserve"> xxxxx
</t>
        </r>
        <r>
          <rPr>
            <b/>
            <sz val="10"/>
            <color indexed="81"/>
            <rFont val="Tahoma"/>
            <family val="2"/>
          </rPr>
          <t>TOWN OF</t>
        </r>
        <r>
          <rPr>
            <sz val="10"/>
            <color indexed="81"/>
            <rFont val="Tahoma"/>
            <family val="2"/>
          </rPr>
          <t xml:space="preserve"> xxxxxx
xxxxxxx </t>
        </r>
        <r>
          <rPr>
            <b/>
            <sz val="10"/>
            <color indexed="81"/>
            <rFont val="Tahoma"/>
            <family val="2"/>
          </rPr>
          <t>COUNTY</t>
        </r>
        <r>
          <rPr>
            <sz val="9"/>
            <color indexed="81"/>
            <rFont val="Tahoma"/>
            <family val="2"/>
          </rPr>
          <t xml:space="preserve">
Please ensure there is not a comma or space before or after the name of your entity.
</t>
        </r>
        <r>
          <rPr>
            <b/>
            <u/>
            <sz val="9"/>
            <color indexed="81"/>
            <rFont val="Tahoma"/>
            <family val="2"/>
          </rPr>
          <t>If your entity number does not auto fill</t>
        </r>
        <r>
          <rPr>
            <sz val="9"/>
            <color indexed="81"/>
            <rFont val="Tahoma"/>
            <family val="2"/>
          </rPr>
          <t xml:space="preserve"> try re-entering your name with the exact format as above and ensure there is not a space or punctuation before or after your name.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 authorId="0" shapeId="0" xr:uid="{00000000-0006-0000-4C00-000001000000}">
      <text>
        <r>
          <rPr>
            <sz val="9"/>
            <color indexed="81"/>
            <rFont val="Tahoma"/>
            <family val="2"/>
          </rPr>
          <t>The Schedule of Cash Receipts &amp; Disbursements page is not a mandatory page - it is a worksheet only
to assist with cash reconciliation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D4" authorId="0" shapeId="0" xr:uid="{00000000-0006-0000-5E00-000001000000}">
      <text>
        <r>
          <rPr>
            <b/>
            <sz val="9"/>
            <color indexed="81"/>
            <rFont val="Tahoma"/>
            <family val="2"/>
          </rPr>
          <t>Enter the fiscal year as 20xx in Column 4, Row 4</t>
        </r>
        <r>
          <rPr>
            <sz val="9"/>
            <color indexed="81"/>
            <rFont val="Tahoma"/>
            <family val="2"/>
          </rPr>
          <t xml:space="preserve">
</t>
        </r>
        <r>
          <rPr>
            <b/>
            <sz val="9"/>
            <color indexed="81"/>
            <rFont val="Tahoma"/>
            <family val="2"/>
          </rPr>
          <t>Enter the Entity Name in Column 4, Row 5 using the exact format:
City of XXXX
Town of XXXX
XXXX County</t>
        </r>
        <r>
          <rPr>
            <sz val="9"/>
            <color indexed="81"/>
            <rFont val="Tahoma"/>
            <family val="2"/>
          </rPr>
          <t xml:space="preserve">
See List-County &amp; Entity Codes worksheet for guidance
Entity Code &amp; County Code will auto-fill into Column 5 if name was entered correctly.</t>
        </r>
      </text>
    </comment>
    <comment ref="C80" authorId="0" shapeId="0" xr:uid="{00000000-0006-0000-5E00-000002000000}">
      <text>
        <r>
          <rPr>
            <sz val="9"/>
            <color indexed="81"/>
            <rFont val="Tahoma"/>
            <family val="2"/>
          </rPr>
          <t xml:space="preserve">Total of object codes: 200-599, 630, 700-899
</t>
        </r>
      </text>
    </comment>
    <comment ref="C85" authorId="0" shapeId="0" xr:uid="{00000000-0006-0000-5E00-000003000000}">
      <text>
        <r>
          <rPr>
            <sz val="9"/>
            <color indexed="81"/>
            <rFont val="Tahoma"/>
            <family val="2"/>
          </rPr>
          <t xml:space="preserve">
Total of object codes: 200-599, 630, 700-899</t>
        </r>
      </text>
    </comment>
    <comment ref="C90" authorId="0" shapeId="0" xr:uid="{00000000-0006-0000-5E00-000004000000}">
      <text>
        <r>
          <rPr>
            <sz val="9"/>
            <color indexed="81"/>
            <rFont val="Tahoma"/>
            <family val="2"/>
          </rPr>
          <t>Total of object codes: 200-599, 630, 700-899</t>
        </r>
      </text>
    </comment>
    <comment ref="C95" authorId="0" shapeId="0" xr:uid="{00000000-0006-0000-5E00-000005000000}">
      <text>
        <r>
          <rPr>
            <sz val="9"/>
            <color indexed="81"/>
            <rFont val="Tahoma"/>
            <family val="2"/>
          </rPr>
          <t>Total of object codes: 200-599, 630, 700-899</t>
        </r>
      </text>
    </comment>
    <comment ref="C100" authorId="0" shapeId="0" xr:uid="{00000000-0006-0000-5E00-000006000000}">
      <text>
        <r>
          <rPr>
            <sz val="9"/>
            <color indexed="81"/>
            <rFont val="Tahoma"/>
            <family val="2"/>
          </rPr>
          <t>Total of object codes: 200-599, 630, 700-899</t>
        </r>
      </text>
    </comment>
    <comment ref="C105" authorId="0" shapeId="0" xr:uid="{00000000-0006-0000-5E00-000007000000}">
      <text>
        <r>
          <rPr>
            <sz val="9"/>
            <color indexed="81"/>
            <rFont val="Tahoma"/>
            <family val="2"/>
          </rPr>
          <t>Total of object codes: 200-599, 630, 700-899</t>
        </r>
      </text>
    </comment>
    <comment ref="C110" authorId="0" shapeId="0" xr:uid="{00000000-0006-0000-5E00-000008000000}">
      <text>
        <r>
          <rPr>
            <sz val="9"/>
            <color indexed="81"/>
            <rFont val="Tahoma"/>
            <family val="2"/>
          </rPr>
          <t>Total of object codes: 200-599, 630, 700-899</t>
        </r>
      </text>
    </comment>
    <comment ref="C115" authorId="0" shapeId="0" xr:uid="{00000000-0006-0000-5E00-000009000000}">
      <text>
        <r>
          <rPr>
            <sz val="9"/>
            <color indexed="81"/>
            <rFont val="Tahoma"/>
            <family val="2"/>
          </rPr>
          <t>Total of object codes: 200-599, 630, 700-899</t>
        </r>
      </text>
    </comment>
    <comment ref="C120" authorId="0" shapeId="0" xr:uid="{00000000-0006-0000-5E00-00000A000000}">
      <text>
        <r>
          <rPr>
            <sz val="9"/>
            <color indexed="81"/>
            <rFont val="Tahoma"/>
            <family val="2"/>
          </rPr>
          <t>Total of object codes: 200-599, 630, 700-899</t>
        </r>
      </text>
    </comment>
    <comment ref="C125" authorId="0" shapeId="0" xr:uid="{00000000-0006-0000-5E00-00000B000000}">
      <text>
        <r>
          <rPr>
            <sz val="9"/>
            <color indexed="81"/>
            <rFont val="Tahoma"/>
            <family val="2"/>
          </rPr>
          <t>Total of object codes: 200-599, 630, 700-899</t>
        </r>
      </text>
    </comment>
    <comment ref="C130" authorId="0" shapeId="0" xr:uid="{00000000-0006-0000-5E00-00000C000000}">
      <text>
        <r>
          <rPr>
            <sz val="9"/>
            <color indexed="81"/>
            <rFont val="Tahoma"/>
            <family val="2"/>
          </rPr>
          <t>Total of object codes: 200-599, 630, 700-899</t>
        </r>
      </text>
    </comment>
    <comment ref="C135" authorId="0" shapeId="0" xr:uid="{00000000-0006-0000-5E00-00000D000000}">
      <text>
        <r>
          <rPr>
            <sz val="9"/>
            <color indexed="81"/>
            <rFont val="Tahoma"/>
            <family val="2"/>
          </rPr>
          <t>Total of object codes: 200-599, 630, 700-899</t>
        </r>
      </text>
    </comment>
    <comment ref="C211" authorId="0" shapeId="0" xr:uid="{00000000-0006-0000-5E00-00000E000000}">
      <text>
        <r>
          <rPr>
            <sz val="9"/>
            <color indexed="81"/>
            <rFont val="Tahoma"/>
            <family val="2"/>
          </rPr>
          <t xml:space="preserve">Total of object codes: 200-599, 630, 700-899
</t>
        </r>
      </text>
    </comment>
    <comment ref="C216" authorId="0" shapeId="0" xr:uid="{00000000-0006-0000-5E00-00000F000000}">
      <text>
        <r>
          <rPr>
            <sz val="9"/>
            <color indexed="81"/>
            <rFont val="Tahoma"/>
            <family val="2"/>
          </rPr>
          <t xml:space="preserve">
Total of object codes: 200-599, 630, 700-899</t>
        </r>
      </text>
    </comment>
    <comment ref="C221" authorId="0" shapeId="0" xr:uid="{00000000-0006-0000-5E00-000010000000}">
      <text>
        <r>
          <rPr>
            <sz val="9"/>
            <color indexed="81"/>
            <rFont val="Tahoma"/>
            <family val="2"/>
          </rPr>
          <t>Total of object codes: 200-599, 630, 700-899</t>
        </r>
      </text>
    </comment>
    <comment ref="C226" authorId="0" shapeId="0" xr:uid="{00000000-0006-0000-5E00-000011000000}">
      <text>
        <r>
          <rPr>
            <sz val="9"/>
            <color indexed="81"/>
            <rFont val="Tahoma"/>
            <family val="2"/>
          </rPr>
          <t>Total of object codes: 200-599, 630, 700-899</t>
        </r>
      </text>
    </comment>
    <comment ref="C231" authorId="0" shapeId="0" xr:uid="{00000000-0006-0000-5E00-000012000000}">
      <text>
        <r>
          <rPr>
            <sz val="9"/>
            <color indexed="81"/>
            <rFont val="Tahoma"/>
            <family val="2"/>
          </rPr>
          <t>Total of object codes: 200-599, 630, 700-899</t>
        </r>
      </text>
    </comment>
    <comment ref="C236" authorId="0" shapeId="0" xr:uid="{00000000-0006-0000-5E00-000013000000}">
      <text>
        <r>
          <rPr>
            <sz val="9"/>
            <color indexed="81"/>
            <rFont val="Tahoma"/>
            <family val="2"/>
          </rPr>
          <t>Total of object codes: 200-599, 630, 700-899</t>
        </r>
      </text>
    </comment>
    <comment ref="C241" authorId="0" shapeId="0" xr:uid="{00000000-0006-0000-5E00-000014000000}">
      <text>
        <r>
          <rPr>
            <sz val="9"/>
            <color indexed="81"/>
            <rFont val="Tahoma"/>
            <family val="2"/>
          </rPr>
          <t>Total of object codes: 200-599, 630, 700-899</t>
        </r>
      </text>
    </comment>
    <comment ref="C246" authorId="0" shapeId="0" xr:uid="{00000000-0006-0000-5E00-000015000000}">
      <text>
        <r>
          <rPr>
            <sz val="9"/>
            <color indexed="81"/>
            <rFont val="Tahoma"/>
            <family val="2"/>
          </rPr>
          <t>Total of object codes: 200-599, 630, 700-899</t>
        </r>
      </text>
    </comment>
    <comment ref="C251" authorId="0" shapeId="0" xr:uid="{00000000-0006-0000-5E00-000016000000}">
      <text>
        <r>
          <rPr>
            <sz val="9"/>
            <color indexed="81"/>
            <rFont val="Tahoma"/>
            <family val="2"/>
          </rPr>
          <t>Total of object codes: 200-599, 630, 700-899</t>
        </r>
      </text>
    </comment>
    <comment ref="C256" authorId="0" shapeId="0" xr:uid="{00000000-0006-0000-5E00-000017000000}">
      <text>
        <r>
          <rPr>
            <sz val="9"/>
            <color indexed="81"/>
            <rFont val="Tahoma"/>
            <family val="2"/>
          </rPr>
          <t>Total of object codes: 200-599, 630, 700-899</t>
        </r>
      </text>
    </comment>
    <comment ref="C261" authorId="0" shapeId="0" xr:uid="{00000000-0006-0000-5E00-000018000000}">
      <text>
        <r>
          <rPr>
            <sz val="9"/>
            <color indexed="81"/>
            <rFont val="Tahoma"/>
            <family val="2"/>
          </rPr>
          <t>Total of object codes: 200-599, 630, 700-899</t>
        </r>
      </text>
    </comment>
    <comment ref="C266" authorId="0" shapeId="0" xr:uid="{00000000-0006-0000-5E00-000019000000}">
      <text>
        <r>
          <rPr>
            <sz val="9"/>
            <color indexed="81"/>
            <rFont val="Tahoma"/>
            <family val="2"/>
          </rPr>
          <t>Total of object codes: 200-599, 630, 700-899</t>
        </r>
      </text>
    </comment>
    <comment ref="C342" authorId="0" shapeId="0" xr:uid="{00000000-0006-0000-5E00-00001A000000}">
      <text>
        <r>
          <rPr>
            <sz val="9"/>
            <color indexed="81"/>
            <rFont val="Tahoma"/>
            <family val="2"/>
          </rPr>
          <t xml:space="preserve">Total of object codes: 200-599, 630, 700-899
</t>
        </r>
      </text>
    </comment>
    <comment ref="C347" authorId="0" shapeId="0" xr:uid="{00000000-0006-0000-5E00-00001B000000}">
      <text>
        <r>
          <rPr>
            <sz val="9"/>
            <color indexed="81"/>
            <rFont val="Tahoma"/>
            <family val="2"/>
          </rPr>
          <t xml:space="preserve">
Total of object codes: 200-599, 630, 700-899</t>
        </r>
      </text>
    </comment>
    <comment ref="C352" authorId="0" shapeId="0" xr:uid="{00000000-0006-0000-5E00-00001C000000}">
      <text>
        <r>
          <rPr>
            <sz val="9"/>
            <color indexed="81"/>
            <rFont val="Tahoma"/>
            <family val="2"/>
          </rPr>
          <t>Total of object codes: 200-599, 630, 700-899</t>
        </r>
      </text>
    </comment>
    <comment ref="C357" authorId="0" shapeId="0" xr:uid="{00000000-0006-0000-5E00-00001D000000}">
      <text>
        <r>
          <rPr>
            <sz val="9"/>
            <color indexed="81"/>
            <rFont val="Tahoma"/>
            <family val="2"/>
          </rPr>
          <t>Total of object codes: 200-599, 630, 700-899</t>
        </r>
      </text>
    </comment>
    <comment ref="C362" authorId="0" shapeId="0" xr:uid="{00000000-0006-0000-5E00-00001E000000}">
      <text>
        <r>
          <rPr>
            <sz val="9"/>
            <color indexed="81"/>
            <rFont val="Tahoma"/>
            <family val="2"/>
          </rPr>
          <t>Total of object codes: 200-599, 630, 700-899</t>
        </r>
      </text>
    </comment>
    <comment ref="C367" authorId="0" shapeId="0" xr:uid="{00000000-0006-0000-5E00-00001F000000}">
      <text>
        <r>
          <rPr>
            <sz val="9"/>
            <color indexed="81"/>
            <rFont val="Tahoma"/>
            <family val="2"/>
          </rPr>
          <t>Total of object codes: 200-599, 630, 700-899</t>
        </r>
      </text>
    </comment>
    <comment ref="C372" authorId="0" shapeId="0" xr:uid="{00000000-0006-0000-5E00-000020000000}">
      <text>
        <r>
          <rPr>
            <sz val="9"/>
            <color indexed="81"/>
            <rFont val="Tahoma"/>
            <family val="2"/>
          </rPr>
          <t>Total of object codes: 200-599, 630, 700-899</t>
        </r>
      </text>
    </comment>
    <comment ref="C377" authorId="0" shapeId="0" xr:uid="{00000000-0006-0000-5E00-000021000000}">
      <text>
        <r>
          <rPr>
            <sz val="9"/>
            <color indexed="81"/>
            <rFont val="Tahoma"/>
            <family val="2"/>
          </rPr>
          <t>Total of object codes: 200-599, 630, 700-899</t>
        </r>
      </text>
    </comment>
    <comment ref="C382" authorId="0" shapeId="0" xr:uid="{00000000-0006-0000-5E00-000022000000}">
      <text>
        <r>
          <rPr>
            <sz val="9"/>
            <color indexed="81"/>
            <rFont val="Tahoma"/>
            <family val="2"/>
          </rPr>
          <t>Total of object codes: 200-599, 630, 700-899</t>
        </r>
      </text>
    </comment>
    <comment ref="C387" authorId="0" shapeId="0" xr:uid="{00000000-0006-0000-5E00-000023000000}">
      <text>
        <r>
          <rPr>
            <sz val="9"/>
            <color indexed="81"/>
            <rFont val="Tahoma"/>
            <family val="2"/>
          </rPr>
          <t>Total of object codes: 200-599, 630, 700-899</t>
        </r>
      </text>
    </comment>
    <comment ref="C392" authorId="0" shapeId="0" xr:uid="{00000000-0006-0000-5E00-000024000000}">
      <text>
        <r>
          <rPr>
            <sz val="9"/>
            <color indexed="81"/>
            <rFont val="Tahoma"/>
            <family val="2"/>
          </rPr>
          <t>Total of object codes: 200-599, 630, 700-899</t>
        </r>
      </text>
    </comment>
    <comment ref="C397" authorId="0" shapeId="0" xr:uid="{00000000-0006-0000-5E00-000025000000}">
      <text>
        <r>
          <rPr>
            <sz val="9"/>
            <color indexed="81"/>
            <rFont val="Tahoma"/>
            <family val="2"/>
          </rPr>
          <t>Total of object codes: 200-599, 630, 700-899</t>
        </r>
      </text>
    </comment>
    <comment ref="C473" authorId="0" shapeId="0" xr:uid="{00000000-0006-0000-5E00-000026000000}">
      <text>
        <r>
          <rPr>
            <sz val="9"/>
            <color indexed="81"/>
            <rFont val="Tahoma"/>
            <family val="2"/>
          </rPr>
          <t xml:space="preserve">Total of object codes: 200-599, 630, 700-899
</t>
        </r>
      </text>
    </comment>
    <comment ref="C478" authorId="0" shapeId="0" xr:uid="{00000000-0006-0000-5E00-000027000000}">
      <text>
        <r>
          <rPr>
            <sz val="9"/>
            <color indexed="81"/>
            <rFont val="Tahoma"/>
            <family val="2"/>
          </rPr>
          <t xml:space="preserve">
Total of object codes: 200-599, 630, 700-899</t>
        </r>
      </text>
    </comment>
    <comment ref="C483" authorId="0" shapeId="0" xr:uid="{00000000-0006-0000-5E00-000028000000}">
      <text>
        <r>
          <rPr>
            <sz val="9"/>
            <color indexed="81"/>
            <rFont val="Tahoma"/>
            <family val="2"/>
          </rPr>
          <t>Total of object codes: 200-599, 630, 700-899</t>
        </r>
      </text>
    </comment>
    <comment ref="C488" authorId="0" shapeId="0" xr:uid="{00000000-0006-0000-5E00-000029000000}">
      <text>
        <r>
          <rPr>
            <sz val="9"/>
            <color indexed="81"/>
            <rFont val="Tahoma"/>
            <family val="2"/>
          </rPr>
          <t>Total of object codes: 200-599, 630, 700-899</t>
        </r>
      </text>
    </comment>
    <comment ref="C493" authorId="0" shapeId="0" xr:uid="{00000000-0006-0000-5E00-00002A000000}">
      <text>
        <r>
          <rPr>
            <sz val="9"/>
            <color indexed="81"/>
            <rFont val="Tahoma"/>
            <family val="2"/>
          </rPr>
          <t>Total of object codes: 200-599, 630, 700-899</t>
        </r>
      </text>
    </comment>
    <comment ref="C498" authorId="0" shapeId="0" xr:uid="{00000000-0006-0000-5E00-00002B000000}">
      <text>
        <r>
          <rPr>
            <sz val="9"/>
            <color indexed="81"/>
            <rFont val="Tahoma"/>
            <family val="2"/>
          </rPr>
          <t>Total of object codes: 200-599, 630, 700-899</t>
        </r>
      </text>
    </comment>
    <comment ref="C503" authorId="0" shapeId="0" xr:uid="{00000000-0006-0000-5E00-00002C000000}">
      <text>
        <r>
          <rPr>
            <sz val="9"/>
            <color indexed="81"/>
            <rFont val="Tahoma"/>
            <family val="2"/>
          </rPr>
          <t>Total of object codes: 200-599, 630, 700-899</t>
        </r>
      </text>
    </comment>
    <comment ref="C508" authorId="0" shapeId="0" xr:uid="{00000000-0006-0000-5E00-00002D000000}">
      <text>
        <r>
          <rPr>
            <sz val="9"/>
            <color indexed="81"/>
            <rFont val="Tahoma"/>
            <family val="2"/>
          </rPr>
          <t>Total of object codes: 200-599, 630, 700-899</t>
        </r>
      </text>
    </comment>
    <comment ref="C513" authorId="0" shapeId="0" xr:uid="{00000000-0006-0000-5E00-00002E000000}">
      <text>
        <r>
          <rPr>
            <sz val="9"/>
            <color indexed="81"/>
            <rFont val="Tahoma"/>
            <family val="2"/>
          </rPr>
          <t>Total of object codes: 200-599, 630, 700-899</t>
        </r>
      </text>
    </comment>
    <comment ref="C518" authorId="0" shapeId="0" xr:uid="{00000000-0006-0000-5E00-00002F000000}">
      <text>
        <r>
          <rPr>
            <sz val="9"/>
            <color indexed="81"/>
            <rFont val="Tahoma"/>
            <family val="2"/>
          </rPr>
          <t>Total of object codes: 200-599, 630, 700-899</t>
        </r>
      </text>
    </comment>
    <comment ref="C523" authorId="0" shapeId="0" xr:uid="{00000000-0006-0000-5E00-000030000000}">
      <text>
        <r>
          <rPr>
            <sz val="9"/>
            <color indexed="81"/>
            <rFont val="Tahoma"/>
            <family val="2"/>
          </rPr>
          <t>Total of object codes: 200-599, 630, 700-899</t>
        </r>
      </text>
    </comment>
    <comment ref="C528" authorId="0" shapeId="0" xr:uid="{00000000-0006-0000-5E00-000031000000}">
      <text>
        <r>
          <rPr>
            <sz val="9"/>
            <color indexed="81"/>
            <rFont val="Tahoma"/>
            <family val="2"/>
          </rPr>
          <t>Total of object codes: 200-599, 630, 700-899</t>
        </r>
      </text>
    </comment>
    <comment ref="A701" authorId="0" shapeId="0" xr:uid="{00000000-0006-0000-5E00-000032000000}">
      <text>
        <r>
          <rPr>
            <b/>
            <sz val="9"/>
            <color indexed="81"/>
            <rFont val="Tahoma"/>
            <family val="2"/>
          </rPr>
          <t>Fund Classification: 7000 - 7099 Trust Funds Only - Do not Report Agency Funds Here!</t>
        </r>
        <r>
          <rPr>
            <sz val="9"/>
            <color indexed="81"/>
            <rFont val="Tahoma"/>
            <family val="2"/>
          </rPr>
          <t xml:space="preserve">
</t>
        </r>
      </text>
    </comment>
    <comment ref="A778" authorId="0" shapeId="0" xr:uid="{00000000-0006-0000-5E00-000033000000}">
      <text>
        <r>
          <rPr>
            <b/>
            <sz val="9"/>
            <color indexed="81"/>
            <rFont val="Tahoma"/>
            <family val="2"/>
          </rPr>
          <t>Fund Classification: 7100 - 7999 All Agency Funds</t>
        </r>
        <r>
          <rPr>
            <sz val="9"/>
            <color indexed="81"/>
            <rFont val="Tahoma"/>
            <family val="2"/>
          </rPr>
          <t xml:space="preserve">
</t>
        </r>
      </text>
    </comment>
    <comment ref="C869" authorId="0" shapeId="0" xr:uid="{00000000-0006-0000-5E00-000034000000}">
      <text>
        <r>
          <rPr>
            <sz val="9"/>
            <color indexed="81"/>
            <rFont val="Tahoma"/>
            <family val="2"/>
          </rPr>
          <t xml:space="preserve">Total of object codes: 200-599, 630, 700-899
</t>
        </r>
      </text>
    </comment>
    <comment ref="C874" authorId="0" shapeId="0" xr:uid="{00000000-0006-0000-5E00-000035000000}">
      <text>
        <r>
          <rPr>
            <sz val="9"/>
            <color indexed="81"/>
            <rFont val="Tahoma"/>
            <family val="2"/>
          </rPr>
          <t xml:space="preserve">
Total of object codes: 200-599, 630, 700-899</t>
        </r>
      </text>
    </comment>
    <comment ref="C879" authorId="0" shapeId="0" xr:uid="{00000000-0006-0000-5E00-000036000000}">
      <text>
        <r>
          <rPr>
            <sz val="9"/>
            <color indexed="81"/>
            <rFont val="Tahoma"/>
            <family val="2"/>
          </rPr>
          <t>Total of object codes: 200-599, 630, 700-899</t>
        </r>
      </text>
    </comment>
    <comment ref="C884" authorId="0" shapeId="0" xr:uid="{00000000-0006-0000-5E00-000037000000}">
      <text>
        <r>
          <rPr>
            <sz val="9"/>
            <color indexed="81"/>
            <rFont val="Tahoma"/>
            <family val="2"/>
          </rPr>
          <t>Total of object codes: 200-599, 630, 700-899</t>
        </r>
      </text>
    </comment>
    <comment ref="C889" authorId="0" shapeId="0" xr:uid="{00000000-0006-0000-5E00-000038000000}">
      <text>
        <r>
          <rPr>
            <sz val="9"/>
            <color indexed="81"/>
            <rFont val="Tahoma"/>
            <family val="2"/>
          </rPr>
          <t>Total of object codes: 200-599, 630, 700-899</t>
        </r>
      </text>
    </comment>
    <comment ref="C894" authorId="0" shapeId="0" xr:uid="{00000000-0006-0000-5E00-000039000000}">
      <text>
        <r>
          <rPr>
            <sz val="9"/>
            <color indexed="81"/>
            <rFont val="Tahoma"/>
            <family val="2"/>
          </rPr>
          <t>Total of object codes: 200-599, 630, 700-899</t>
        </r>
      </text>
    </comment>
    <comment ref="C899" authorId="0" shapeId="0" xr:uid="{00000000-0006-0000-5E00-00003A000000}">
      <text>
        <r>
          <rPr>
            <sz val="9"/>
            <color indexed="81"/>
            <rFont val="Tahoma"/>
            <family val="2"/>
          </rPr>
          <t>Total of object codes: 200-599, 630, 700-899</t>
        </r>
      </text>
    </comment>
    <comment ref="C904" authorId="0" shapeId="0" xr:uid="{00000000-0006-0000-5E00-00003B000000}">
      <text>
        <r>
          <rPr>
            <sz val="9"/>
            <color indexed="81"/>
            <rFont val="Tahoma"/>
            <family val="2"/>
          </rPr>
          <t>Total of object codes: 200-599, 630, 700-899</t>
        </r>
      </text>
    </comment>
    <comment ref="C909" authorId="0" shapeId="0" xr:uid="{00000000-0006-0000-5E00-00003C000000}">
      <text>
        <r>
          <rPr>
            <sz val="9"/>
            <color indexed="81"/>
            <rFont val="Tahoma"/>
            <family val="2"/>
          </rPr>
          <t>Total of object codes: 200-599, 630, 700-899</t>
        </r>
      </text>
    </comment>
    <comment ref="C914" authorId="0" shapeId="0" xr:uid="{00000000-0006-0000-5E00-00003D000000}">
      <text>
        <r>
          <rPr>
            <sz val="9"/>
            <color indexed="81"/>
            <rFont val="Tahoma"/>
            <family val="2"/>
          </rPr>
          <t>Total of object codes: 200-599, 630, 700-899</t>
        </r>
      </text>
    </comment>
    <comment ref="C919" authorId="0" shapeId="0" xr:uid="{00000000-0006-0000-5E00-00003E000000}">
      <text>
        <r>
          <rPr>
            <sz val="9"/>
            <color indexed="81"/>
            <rFont val="Tahoma"/>
            <family val="2"/>
          </rPr>
          <t>Total of object codes: 200-599, 630, 700-899</t>
        </r>
      </text>
    </comment>
    <comment ref="C924" authorId="0" shapeId="0" xr:uid="{00000000-0006-0000-5E00-00003F000000}">
      <text>
        <r>
          <rPr>
            <sz val="9"/>
            <color indexed="81"/>
            <rFont val="Tahoma"/>
            <family val="2"/>
          </rPr>
          <t>Total of object codes: 200-599, 630, 700-899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60" authorId="0" shapeId="0" xr:uid="{00000000-0006-0000-0600-000001000000}">
      <text>
        <r>
          <rPr>
            <b/>
            <sz val="9"/>
            <color indexed="81"/>
            <rFont val="Tahoma"/>
            <family val="2"/>
          </rPr>
          <t xml:space="preserve">The report submitted to LGSB through the portal does not require a signature.
Please sign the permanent copy kept at the Local Government.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7" authorId="0" shapeId="0" xr:uid="{00000000-0006-0000-0A00-000003000000}">
      <text>
        <r>
          <rPr>
            <sz val="10"/>
            <color indexed="81"/>
            <rFont val="Tahoma"/>
            <family val="2"/>
          </rPr>
          <t xml:space="preserve">Close due to/due from and advance to/advance from here
</t>
        </r>
      </text>
    </comment>
    <comment ref="C34" authorId="0" shapeId="0" xr:uid="{00000000-0006-0000-0A00-000004000000}">
      <text>
        <r>
          <rPr>
            <sz val="10"/>
            <color indexed="81"/>
            <rFont val="Tahoma"/>
            <family val="2"/>
          </rPr>
          <t xml:space="preserve">CAUTION: FORMULAS IN THIS COLUMN
 - DO NOT OVERWRITE!
</t>
        </r>
      </text>
    </comment>
    <comment ref="B51" authorId="0" shapeId="0" xr:uid="{00000000-0006-0000-0A00-000005000000}">
      <text>
        <r>
          <rPr>
            <sz val="10"/>
            <color indexed="81"/>
            <rFont val="Tahoma"/>
            <family val="2"/>
          </rPr>
          <t xml:space="preserve">CAUTION: FORMULAS IN THIS COLUMN
 - DO NOT OVERWRITE!
</t>
        </r>
      </text>
    </comment>
    <comment ref="C51" authorId="0" shapeId="0" xr:uid="{00000000-0006-0000-0A00-000006000000}">
      <text>
        <r>
          <rPr>
            <sz val="10"/>
            <color indexed="81"/>
            <rFont val="Tahoma"/>
            <family val="2"/>
          </rPr>
          <t xml:space="preserve">CAUTION: FORMULAS IN THIS COLUMN
 - DO NOT OVERWRITE!
</t>
        </r>
      </text>
    </comment>
    <comment ref="D51" authorId="0" shapeId="0" xr:uid="{00000000-0006-0000-0A00-000007000000}">
      <text>
        <r>
          <rPr>
            <sz val="10"/>
            <color indexed="81"/>
            <rFont val="Tahoma"/>
            <family val="2"/>
          </rPr>
          <t xml:space="preserve">CAUTION: FORMULAS IN THIS COLUMN
 - DO NOT OVERWRITE!
</t>
        </r>
      </text>
    </comment>
    <comment ref="D52" authorId="0" shapeId="0" xr:uid="{00000000-0006-0000-0A00-000008000000}">
      <text>
        <r>
          <rPr>
            <sz val="10"/>
            <color indexed="81"/>
            <rFont val="Tahoma"/>
            <family val="2"/>
          </rPr>
          <t xml:space="preserve">CAUTION: FORMULAS IN THIS COLUMN
 - DO NOT OVERWRITE!
</t>
        </r>
      </text>
    </comment>
    <comment ref="B54" authorId="0" shapeId="0" xr:uid="{00000000-0006-0000-0A00-000009000000}">
      <text>
        <r>
          <rPr>
            <sz val="10"/>
            <color indexed="81"/>
            <rFont val="Tahoma"/>
            <family val="2"/>
          </rPr>
          <t xml:space="preserve">This information does not transfer from the Conversion worksheet.
</t>
        </r>
      </text>
    </comment>
    <comment ref="C54" authorId="1" shapeId="0" xr:uid="{00000000-0006-0000-0A00-00000A000000}">
      <text>
        <r>
          <rPr>
            <sz val="9"/>
            <color indexed="81"/>
            <rFont val="Tahoma"/>
            <family val="2"/>
          </rPr>
          <t xml:space="preserve">Remove and reclassify replacement &amp; depreciation from this number. Place Depr under other
</t>
        </r>
      </text>
    </comment>
    <comment ref="C56"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67"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H45" authorId="0" shapeId="0" xr:uid="{00000000-0006-0000-0B00-000009000000}">
      <text>
        <r>
          <rPr>
            <sz val="10"/>
            <color indexed="81"/>
            <rFont val="Tahoma"/>
            <family val="2"/>
          </rPr>
          <t xml:space="preserve">DO NOT ENTER INFORMATION IN THIS SECTION - IT TRANSFERS FROM REVENUE ANALYSIS
</t>
        </r>
      </text>
    </comment>
    <comment ref="I45" authorId="0" shapeId="0" xr:uid="{00000000-0006-0000-0B00-00000A000000}">
      <text>
        <r>
          <rPr>
            <sz val="10"/>
            <color indexed="81"/>
            <rFont val="Tahoma"/>
            <family val="2"/>
          </rPr>
          <t xml:space="preserve">CAUTION: FORMULA
</t>
        </r>
      </text>
    </comment>
    <comment ref="I50" authorId="0" shapeId="0" xr:uid="{00000000-0006-0000-0B00-00000B000000}">
      <text>
        <r>
          <rPr>
            <sz val="10"/>
            <color indexed="81"/>
            <rFont val="Tahoma"/>
            <family val="2"/>
          </rPr>
          <t xml:space="preserve">CAUTION: FORMULA
</t>
        </r>
      </text>
    </comment>
    <comment ref="I55" authorId="0" shapeId="0" xr:uid="{00000000-0006-0000-0B00-00000C000000}">
      <text>
        <r>
          <rPr>
            <sz val="10"/>
            <color indexed="81"/>
            <rFont val="Tahoma"/>
            <family val="2"/>
          </rPr>
          <t xml:space="preserve">CAUTION: FORMULA
</t>
        </r>
      </text>
    </comment>
    <comment ref="J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H58" authorId="0" shapeId="0" xr:uid="{00000000-0006-0000-0B00-00000E000000}">
      <text>
        <r>
          <rPr>
            <sz val="10"/>
            <color indexed="81"/>
            <rFont val="Tahoma"/>
            <family val="2"/>
          </rPr>
          <t xml:space="preserve">FORMULA - DO NOT OVERWRITE
</t>
        </r>
      </text>
    </comment>
    <comment ref="I58" authorId="0" shapeId="0" xr:uid="{00000000-0006-0000-0B00-00000F000000}">
      <text>
        <r>
          <rPr>
            <sz val="10"/>
            <color indexed="81"/>
            <rFont val="Tahoma"/>
            <family val="2"/>
          </rPr>
          <t xml:space="preserve">FORMULA: DO NOT OVERWRITE
</t>
        </r>
      </text>
    </comment>
    <comment ref="H61" authorId="0" shapeId="0" xr:uid="{00000000-0006-0000-0B00-000010000000}">
      <text>
        <r>
          <rPr>
            <sz val="10"/>
            <color indexed="81"/>
            <rFont val="Tahoma"/>
            <family val="2"/>
          </rPr>
          <t xml:space="preserve">FORMULA: DO NOT OVERWRITE
</t>
        </r>
      </text>
    </comment>
    <comment ref="I61"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E8" authorId="0" shapeId="0" xr:uid="{00000000-0006-0000-0C00-000008000000}">
      <text>
        <r>
          <rPr>
            <sz val="9"/>
            <color indexed="81"/>
            <rFont val="Tahoma"/>
            <family val="2"/>
          </rPr>
          <t xml:space="preserve">Remove "Fund Name" and insert the title of your major fund, this title will auto fill on pages 16, 41 &amp; 44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4"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3" authorId="1" shapeId="0" xr:uid="{00000000-0006-0000-0C00-000013000000}">
      <text>
        <r>
          <rPr>
            <sz val="10"/>
            <color indexed="81"/>
            <rFont val="Tahoma"/>
            <family val="2"/>
          </rPr>
          <t xml:space="preserve">CAUTION: FORMULAS IN THIS COLUMN
 - DO NOT OVERWRITE!
</t>
        </r>
      </text>
    </comment>
    <comment ref="L54" authorId="0" shapeId="0" xr:uid="{00000000-0006-0000-0C00-000014000000}">
      <text>
        <r>
          <rPr>
            <sz val="9"/>
            <color indexed="81"/>
            <rFont val="Tahoma"/>
            <family val="2"/>
          </rPr>
          <t xml:space="preserve">Formula will subtract inventory for other governmental funds from the non-spendable total
</t>
        </r>
      </text>
    </comment>
    <comment ref="M54" authorId="1" shapeId="0" xr:uid="{00000000-0006-0000-0C00-000015000000}">
      <text>
        <r>
          <rPr>
            <sz val="10"/>
            <color indexed="81"/>
            <rFont val="Tahoma"/>
            <family val="2"/>
          </rPr>
          <t xml:space="preserve">CAUTION: FORMULAS IN THIS COLUMN
 - DO NOT OVERWRITE!
</t>
        </r>
      </text>
    </comment>
    <comment ref="M55" authorId="1" shapeId="0" xr:uid="{00000000-0006-0000-0C00-000016000000}">
      <text>
        <r>
          <rPr>
            <sz val="10"/>
            <color indexed="81"/>
            <rFont val="Tahoma"/>
            <family val="2"/>
          </rPr>
          <t xml:space="preserve">CAUTION: FORMULAS IN THIS COLUMN
 - DO NOT OVERWRITE!
</t>
        </r>
      </text>
    </comment>
    <comment ref="L56" authorId="0" shapeId="0" xr:uid="{00000000-0006-0000-0C00-000017000000}">
      <text>
        <r>
          <rPr>
            <sz val="9"/>
            <color indexed="81"/>
            <rFont val="Tahoma"/>
            <family val="2"/>
          </rPr>
          <t xml:space="preserve">A formula will subtract the restricted amount from cell L55 - when you add the amounts by function
</t>
        </r>
      </text>
    </comment>
    <comment ref="M56" authorId="1" shapeId="0" xr:uid="{00000000-0006-0000-0C00-000018000000}">
      <text>
        <r>
          <rPr>
            <sz val="10"/>
            <color indexed="81"/>
            <rFont val="Tahoma"/>
            <family val="2"/>
          </rPr>
          <t xml:space="preserve">CAUTION: FORMULAS IN THIS COLUMN
 - DO NOT OVERWRITE!
</t>
        </r>
      </text>
    </comment>
    <comment ref="M57" authorId="1" shapeId="0" xr:uid="{00000000-0006-0000-0C00-000019000000}">
      <text>
        <r>
          <rPr>
            <sz val="10"/>
            <color indexed="81"/>
            <rFont val="Tahoma"/>
            <family val="2"/>
          </rPr>
          <t xml:space="preserve">CAUTION: FORMULAS IN THIS COLUMN
 - DO NOT OVERWRITE!
</t>
        </r>
      </text>
    </comment>
    <comment ref="M58" authorId="1" shapeId="0" xr:uid="{00000000-0006-0000-0C00-00001A000000}">
      <text>
        <r>
          <rPr>
            <sz val="10"/>
            <color indexed="81"/>
            <rFont val="Tahoma"/>
            <family val="2"/>
          </rPr>
          <t xml:space="preserve">CAUTION: FORMULAS IN THIS COLUMN
 - DO NOT OVERWRITE!
</t>
        </r>
      </text>
    </comment>
    <comment ref="M59" authorId="1" shapeId="0" xr:uid="{00000000-0006-0000-0C00-00001B000000}">
      <text>
        <r>
          <rPr>
            <sz val="10"/>
            <color indexed="81"/>
            <rFont val="Tahoma"/>
            <family val="2"/>
          </rPr>
          <t xml:space="preserve">CAUTION: FORMULAS IN THIS COLUMN
 - DO NOT OVERWRITE!
</t>
        </r>
      </text>
    </comment>
    <comment ref="M60" authorId="1" shapeId="0" xr:uid="{00000000-0006-0000-0C00-00001C000000}">
      <text>
        <r>
          <rPr>
            <sz val="10"/>
            <color indexed="81"/>
            <rFont val="Tahoma"/>
            <family val="2"/>
          </rPr>
          <t xml:space="preserve">CAUTION: FORMULAS IN THIS COLUMN
 - DO NOT OVERWRITE!
</t>
        </r>
      </text>
    </comment>
    <comment ref="M61" authorId="1" shapeId="0" xr:uid="{00000000-0006-0000-0C00-00001D000000}">
      <text>
        <r>
          <rPr>
            <sz val="10"/>
            <color indexed="81"/>
            <rFont val="Tahoma"/>
            <family val="2"/>
          </rPr>
          <t xml:space="preserve">CAUTION: FORMULAS IN THIS COLUMN
 - DO NOT OVERWRITE!
</t>
        </r>
      </text>
    </comment>
    <comment ref="M62" authorId="1" shapeId="0" xr:uid="{00000000-0006-0000-0C00-00001E000000}">
      <text>
        <r>
          <rPr>
            <sz val="10"/>
            <color indexed="81"/>
            <rFont val="Tahoma"/>
            <family val="2"/>
          </rPr>
          <t xml:space="preserve">CAUTION: FORMULAS IN THIS COLUMN
 - DO NOT OVERWRITE!
</t>
        </r>
      </text>
    </comment>
    <comment ref="M63" authorId="1" shapeId="0" xr:uid="{00000000-0006-0000-0C00-00001F000000}">
      <text>
        <r>
          <rPr>
            <sz val="10"/>
            <color indexed="81"/>
            <rFont val="Tahoma"/>
            <family val="2"/>
          </rPr>
          <t xml:space="preserve">CAUTION: FORMULAS IN THIS COLUMN
 - DO NOT OVERWRITE!
</t>
        </r>
      </text>
    </comment>
    <comment ref="M64" authorId="1" shapeId="0" xr:uid="{00000000-0006-0000-0C00-000020000000}">
      <text>
        <r>
          <rPr>
            <sz val="10"/>
            <color indexed="81"/>
            <rFont val="Tahoma"/>
            <family val="2"/>
          </rPr>
          <t xml:space="preserve">CAUTION: FORMULAS IN THIS COLUMN
 - DO NOT OVERWRITE!
</t>
        </r>
      </text>
    </comment>
    <comment ref="M65" authorId="1" shapeId="0" xr:uid="{00000000-0006-0000-0C00-000021000000}">
      <text>
        <r>
          <rPr>
            <sz val="10"/>
            <color indexed="81"/>
            <rFont val="Tahoma"/>
            <family val="2"/>
          </rPr>
          <t xml:space="preserve">CAUTION: FORMULAS IN THIS COLUMN
 - DO NOT OVERWRITE!
</t>
        </r>
      </text>
    </comment>
    <comment ref="M66" authorId="1" shapeId="0" xr:uid="{00000000-0006-0000-0C00-000022000000}">
      <text>
        <r>
          <rPr>
            <sz val="10"/>
            <color indexed="81"/>
            <rFont val="Tahoma"/>
            <family val="2"/>
          </rPr>
          <t xml:space="preserve">CAUTION: FORMULAS IN THIS COLUMN
 - DO NOT OVERWRITE!
</t>
        </r>
      </text>
    </comment>
    <comment ref="M67" authorId="1" shapeId="0" xr:uid="{00000000-0006-0000-0C00-000023000000}">
      <text>
        <r>
          <rPr>
            <sz val="10"/>
            <color indexed="81"/>
            <rFont val="Tahoma"/>
            <family val="2"/>
          </rPr>
          <t xml:space="preserve">CAUTION: FORMULAS IN THIS COLUMN
 - DO NOT OVERWRITE!
</t>
        </r>
      </text>
    </comment>
    <comment ref="M68" authorId="1" shapeId="0" xr:uid="{00000000-0006-0000-0C00-000024000000}">
      <text>
        <r>
          <rPr>
            <sz val="10"/>
            <color indexed="81"/>
            <rFont val="Tahoma"/>
            <family val="2"/>
          </rPr>
          <t xml:space="preserve">CAUTION: FORMULAS IN THIS COLUMN
 - DO NOT OVERWRITE!
</t>
        </r>
      </text>
    </comment>
    <comment ref="M69" authorId="1" shapeId="0" xr:uid="{00000000-0006-0000-0C00-000025000000}">
      <text>
        <r>
          <rPr>
            <sz val="10"/>
            <color indexed="81"/>
            <rFont val="Tahoma"/>
            <family val="2"/>
          </rPr>
          <t xml:space="preserve">CAUTION: FORMULAS IN THIS COLUMN
 - DO NOT OVERWRITE!
</t>
        </r>
      </text>
    </comment>
    <comment ref="M70" authorId="1" shapeId="0" xr:uid="{00000000-0006-0000-0C00-000026000000}">
      <text>
        <r>
          <rPr>
            <sz val="10"/>
            <color indexed="81"/>
            <rFont val="Tahoma"/>
            <family val="2"/>
          </rPr>
          <t xml:space="preserve">CAUTION: FORMULAS IN THIS COLUMN
 - DO NOT OVERWRITE!
</t>
        </r>
      </text>
    </comment>
    <comment ref="D71"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1"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1"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1"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1"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1"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1"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1"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1" authorId="1" shapeId="0" xr:uid="{00000000-0006-0000-0C00-00002F000000}">
      <text>
        <r>
          <rPr>
            <sz val="10"/>
            <color indexed="81"/>
            <rFont val="Tahoma"/>
            <family val="2"/>
          </rPr>
          <t xml:space="preserve">CAUTION: FORMULAS IN THIS COLUMN
 - DO NOT OVERWRITE!
</t>
        </r>
      </text>
    </comment>
    <comment ref="M78" authorId="1" shapeId="0" xr:uid="{00000000-0006-0000-0C00-000030000000}">
      <text>
        <r>
          <rPr>
            <sz val="10"/>
            <color indexed="81"/>
            <rFont val="Tahoma"/>
            <family val="2"/>
          </rPr>
          <t xml:space="preserve">CAUTION: FORMULAS IN THIS COLUMN
 - DO NOT OVERWRITE!
</t>
        </r>
      </text>
    </comment>
    <comment ref="L85" authorId="1" shapeId="0" xr:uid="{00000000-0006-0000-0C00-000031000000}">
      <text>
        <r>
          <rPr>
            <sz val="10"/>
            <color indexed="81"/>
            <rFont val="Tahoma"/>
            <family val="2"/>
          </rPr>
          <t xml:space="preserve">CAUTION: FORMULAS IN THIS COLUMN
 - DO NOT OVERWRITE!
</t>
        </r>
      </text>
    </comment>
    <comment ref="M92"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D57" authorId="1" shapeId="0" xr:uid="{00000000-0006-0000-0D00-00000A000000}">
      <text>
        <r>
          <rPr>
            <sz val="10"/>
            <color indexed="81"/>
            <rFont val="Tahoma"/>
            <family val="2"/>
          </rPr>
          <t xml:space="preserve">This Cell should balance with Page 15 Cell D72
</t>
        </r>
      </text>
    </comment>
    <comment ref="E57" authorId="1" shapeId="0" xr:uid="{00000000-0006-0000-0D00-00000B000000}">
      <text>
        <r>
          <rPr>
            <sz val="10"/>
            <color indexed="81"/>
            <rFont val="Tahoma"/>
            <family val="2"/>
          </rPr>
          <t xml:space="preserve">This Cell should balance with Page 15 Cell E72
</t>
        </r>
      </text>
    </comment>
    <comment ref="F57" authorId="1" shapeId="0" xr:uid="{00000000-0006-0000-0D00-00000C000000}">
      <text>
        <r>
          <rPr>
            <sz val="10"/>
            <color indexed="81"/>
            <rFont val="Tahoma"/>
            <family val="2"/>
          </rPr>
          <t xml:space="preserve">This Cell should balance with Page 15 Cell F72
</t>
        </r>
      </text>
    </comment>
    <comment ref="G57" authorId="1" shapeId="0" xr:uid="{00000000-0006-0000-0D00-00000D000000}">
      <text>
        <r>
          <rPr>
            <sz val="10"/>
            <color indexed="81"/>
            <rFont val="Tahoma"/>
            <family val="2"/>
          </rPr>
          <t xml:space="preserve">This Cell should balance with Page 15 Cell G72
</t>
        </r>
      </text>
    </comment>
    <comment ref="H57" authorId="1" shapeId="0" xr:uid="{00000000-0006-0000-0D00-00000E000000}">
      <text>
        <r>
          <rPr>
            <sz val="10"/>
            <color indexed="81"/>
            <rFont val="Tahoma"/>
            <family val="2"/>
          </rPr>
          <t xml:space="preserve">This Cell should balance with Page 15 Cell H72
</t>
        </r>
      </text>
    </comment>
    <comment ref="I57" authorId="1" shapeId="0" xr:uid="{00000000-0006-0000-0D00-00000F000000}">
      <text>
        <r>
          <rPr>
            <sz val="10"/>
            <color indexed="81"/>
            <rFont val="Tahoma"/>
            <family val="2"/>
          </rPr>
          <t xml:space="preserve">This Cell should balance with Page 15 Cell I72
</t>
        </r>
      </text>
    </comment>
    <comment ref="J57" authorId="1" shapeId="0" xr:uid="{00000000-0006-0000-0D00-000010000000}">
      <text>
        <r>
          <rPr>
            <sz val="10"/>
            <color indexed="81"/>
            <rFont val="Tahoma"/>
            <family val="2"/>
          </rPr>
          <t xml:space="preserve">This Cell should balance with Page 15 Cell J72
</t>
        </r>
      </text>
    </comment>
    <comment ref="K57" authorId="1" shapeId="0" xr:uid="{00000000-0006-0000-0D00-000011000000}">
      <text>
        <r>
          <rPr>
            <sz val="10"/>
            <color indexed="81"/>
            <rFont val="Tahoma"/>
            <family val="2"/>
          </rPr>
          <t xml:space="preserve">This Cell should balance with Page 15 Cell K72
</t>
        </r>
      </text>
    </comment>
    <comment ref="L57" authorId="1" shapeId="0" xr:uid="{00000000-0006-0000-0D00-000012000000}">
      <text>
        <r>
          <rPr>
            <sz val="10"/>
            <color indexed="81"/>
            <rFont val="Tahoma"/>
            <family val="2"/>
          </rPr>
          <t xml:space="preserve">This Cell should balance with Page 15 Cell L72
</t>
        </r>
      </text>
    </comment>
    <comment ref="M57" authorId="1" shapeId="0" xr:uid="{00000000-0006-0000-0D00-000013000000}">
      <text>
        <r>
          <rPr>
            <sz val="10"/>
            <color indexed="81"/>
            <rFont val="Tahoma"/>
            <family val="2"/>
          </rPr>
          <t xml:space="preserve">This Cell should balance with Page 15 Cell M72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<sst xmlns="http://schemas.openxmlformats.org/spreadsheetml/2006/main" count="15253" uniqueCount="3743">
  <si>
    <t xml:space="preserve">    (Increase) decrease in accounts receivable</t>
  </si>
  <si>
    <t xml:space="preserve">    (Increase) decrease in intergovernmental receivables</t>
  </si>
  <si>
    <t xml:space="preserve">    (Increase) decrease in due from other funds</t>
  </si>
  <si>
    <t>TOTALS (to be accounted for)</t>
  </si>
  <si>
    <t>61-62</t>
  </si>
  <si>
    <t>COMBINING STATEMENT OF CASH FLOWS</t>
  </si>
  <si>
    <t>accounting and expenses for vacation and sick leave benefits are recorded when accrued in the proprietary funds on the full accrual basis of</t>
  </si>
  <si>
    <t>Appropriations are created by fund, function, and activity and may further be detailed by department.  Expenditure limitations imposed by law</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</si>
  <si>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</si>
  <si>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</si>
  <si>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</si>
  <si>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</si>
  <si>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</si>
  <si>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</si>
  <si>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Advances between funds are not available for appropriation and are not expendable available financial resources.</t>
  </si>
  <si>
    <t>budget. The real estate taxes are payable in two installments, the first due by November 30 and the second by May 31.  Personal property</t>
  </si>
  <si>
    <t>they are not available to pay liabilities of the current period.  All property tax levies are set at the time of the adoption of the annual</t>
  </si>
  <si>
    <t>Property taxes, licenses and interest associated with the current fiscal period are all considered to be susceptible to accrual and so have been</t>
  </si>
  <si>
    <t>Governmental fund financial statements are reported using the current financial resources measurement focus and the modified accrual basis</t>
  </si>
  <si>
    <t xml:space="preserve">of accounting.  Revenues are recognized as soon as they are both measurable and available.  Revenues are considered to be available when </t>
  </si>
  <si>
    <t>they are collectible within the current period or soon enough thereafter to pay liabilities of the current period.  For this purpose, the government</t>
  </si>
  <si>
    <t xml:space="preserve">considers revenues  to be available if they are collected within 60 days of the end of the current fiscal period.  Expenditures generally are </t>
  </si>
  <si>
    <t xml:space="preserve">  Contracts/loans/notes payable</t>
  </si>
  <si>
    <t>recorded when a liability is incurred, as under accrual accounting.  However, debt service expenditures, as well as expenditures related to</t>
  </si>
  <si>
    <t>compensated absences and claims and judgments, are recorded only when payment is due.</t>
  </si>
  <si>
    <t>TOTAL PERMANENT FUNDS</t>
  </si>
  <si>
    <t>DEBT SERVICE FUNDS (list)</t>
  </si>
  <si>
    <t>CAPITAL PROJECTS FUNDS (list)</t>
  </si>
  <si>
    <t>TOTAL CAPITAL PROJECTS FUNDS</t>
  </si>
  <si>
    <t>TOTAL DEBT SERVICE FUNDS</t>
  </si>
  <si>
    <t>ENTERPRISE FUNDS (list)</t>
  </si>
  <si>
    <t>TOTAL ENTERPRISE FUNDS</t>
  </si>
  <si>
    <t>INTERNAL SERVICE FUNDS (list)</t>
  </si>
  <si>
    <t>TOTAL  INTERNAL SERVICE FUNDS</t>
  </si>
  <si>
    <t>**PROPERTY TAXES COLLECTED</t>
  </si>
  <si>
    <t xml:space="preserve">     ALL FUNDS</t>
  </si>
  <si>
    <t>CASH RECONCILIATION</t>
  </si>
  <si>
    <t>BANK NAME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</si>
  <si>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</si>
  <si>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</si>
  <si>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</si>
  <si>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</si>
  <si>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</si>
  <si>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</si>
  <si>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</si>
  <si>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</si>
  <si>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</si>
  <si>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</si>
  <si>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</si>
  <si>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</si>
  <si>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</si>
  <si>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</si>
  <si>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</si>
  <si>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Proceeds from debt</t>
  </si>
  <si>
    <t xml:space="preserve">  Capital contributions</t>
  </si>
  <si>
    <t xml:space="preserve">  Purchases/acquisition/construction of capital assets</t>
  </si>
  <si>
    <t xml:space="preserve">  Principal on debt</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</si>
  <si>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</si>
  <si>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</si>
  <si>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</si>
  <si>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</si>
  <si>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</si>
  <si>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</si>
  <si>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</si>
  <si>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</si>
  <si>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CONSTRUCTION IN PROGRESS</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</si>
  <si>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</si>
  <si>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</si>
  <si>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</si>
  <si>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</si>
  <si>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</si>
  <si>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</si>
  <si>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</si>
  <si>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</si>
  <si>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</si>
  <si>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</si>
  <si>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</si>
  <si>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</si>
  <si>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</si>
  <si>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</si>
  <si>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</si>
  <si>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</si>
  <si>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</si>
  <si>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</si>
  <si>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</si>
  <si>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</si>
  <si>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4.</t>
  </si>
  <si>
    <t>DETAILED NOTES ON ALL FUNDS</t>
  </si>
  <si>
    <t>Deposits and Investments</t>
  </si>
  <si>
    <t>Receipts</t>
  </si>
  <si>
    <t xml:space="preserve">  Transfers in</t>
  </si>
  <si>
    <t>Disbursements</t>
  </si>
  <si>
    <t xml:space="preserve">  Transfers  Out</t>
  </si>
  <si>
    <t>GENERAL</t>
  </si>
  <si>
    <t>SPECIAL REVENUE FUNDS</t>
  </si>
  <si>
    <t>Resort Tax</t>
  </si>
  <si>
    <t>Road</t>
  </si>
  <si>
    <t>Poor</t>
  </si>
  <si>
    <t>Bridge</t>
  </si>
  <si>
    <t>Judgement payable</t>
  </si>
  <si>
    <t>235100</t>
  </si>
  <si>
    <t>235200</t>
  </si>
  <si>
    <t xml:space="preserve">Installment purchase contract </t>
  </si>
  <si>
    <t>235300</t>
  </si>
  <si>
    <t>Capital lease agreement</t>
  </si>
  <si>
    <t>235400</t>
  </si>
  <si>
    <t>Notes/Loans/Intercap</t>
  </si>
  <si>
    <t>239000</t>
  </si>
  <si>
    <t>Compensated absences payable</t>
  </si>
  <si>
    <t>TOTAL DEBT PAYABLE</t>
  </si>
  <si>
    <t>*Total assets must equal total debt payable.</t>
  </si>
  <si>
    <t>Beginning balance should equal with the ending balance of the previous fiscal year annual report and/or audit report.</t>
  </si>
  <si>
    <t xml:space="preserve">The ending debt payable balances should equal the long-term debt balances reported in the "Notes to the </t>
  </si>
  <si>
    <t>Page 73</t>
  </si>
  <si>
    <t>Add Capital Assets Beginning (to fund balance)</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</si>
  <si>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</si>
  <si>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</si>
  <si>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</si>
  <si>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</si>
  <si>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</si>
  <si>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</si>
  <si>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</si>
  <si>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</si>
  <si>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</si>
  <si>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</si>
  <si>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</si>
  <si>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</si>
  <si>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</si>
  <si>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</si>
  <si>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</si>
  <si>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</si>
  <si>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</si>
  <si>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r>
      <t>ADD</t>
    </r>
    <r>
      <rPr>
        <sz val="10"/>
        <rFont val="Arial"/>
        <family val="2"/>
      </rPr>
      <t xml:space="preserve">                                                      Deposits in transit</t>
    </r>
  </si>
  <si>
    <r>
      <t>ADD</t>
    </r>
    <r>
      <rPr>
        <sz val="10"/>
        <rFont val="Arial"/>
        <family val="2"/>
      </rPr>
      <t xml:space="preserve">                                                      Investments</t>
    </r>
  </si>
  <si>
    <t>**TOTAL ACCOUNTED                               FOR</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</si>
  <si>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</si>
  <si>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</si>
  <si>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</si>
  <si>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</si>
  <si>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</si>
  <si>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</si>
  <si>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</si>
  <si>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</si>
  <si>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</si>
  <si>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</si>
  <si>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</si>
  <si>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</si>
  <si>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</si>
  <si>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</si>
  <si>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</si>
  <si>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</si>
  <si>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</si>
  <si>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</si>
  <si>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</si>
  <si>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</si>
  <si>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</si>
  <si>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</si>
  <si>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</si>
  <si>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</si>
  <si>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</si>
  <si>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</si>
  <si>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</si>
  <si>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</si>
  <si>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</si>
  <si>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</si>
  <si>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DEBT PAYABLE</t>
  </si>
  <si>
    <t>231100</t>
  </si>
  <si>
    <t>investment of the principal or the entire amount may be used in accordance with the terms of the donor.</t>
  </si>
  <si>
    <t>Long-term debt - cont.</t>
  </si>
  <si>
    <t>1.  General Obligation Bonds</t>
  </si>
  <si>
    <t>2.  Revenue Bonds</t>
  </si>
  <si>
    <t>3.  Special Assessment Bonds</t>
  </si>
  <si>
    <t>Total G.O. Bonds</t>
  </si>
  <si>
    <t>Total Revenue Bonds</t>
  </si>
  <si>
    <t>Total Sp. Assess. Bonds</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</si>
  <si>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</si>
  <si>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</si>
  <si>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</si>
  <si>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</si>
  <si>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</si>
  <si>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</si>
  <si>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</si>
  <si>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</si>
  <si>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</si>
  <si>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</si>
  <si>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</si>
  <si>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</si>
  <si>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</si>
  <si>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</si>
  <si>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</si>
  <si>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</si>
  <si>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</si>
  <si>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</si>
  <si>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</si>
  <si>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</si>
  <si>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</si>
  <si>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</si>
  <si>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</si>
  <si>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</si>
  <si>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</si>
  <si>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</si>
  <si>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</si>
  <si>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</si>
  <si>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</si>
  <si>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</si>
  <si>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</si>
  <si>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</si>
  <si>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</si>
  <si>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</si>
  <si>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</si>
  <si>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</si>
  <si>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</si>
  <si>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</si>
  <si>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</si>
  <si>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</si>
  <si>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</si>
  <si>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</si>
  <si>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</si>
  <si>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</si>
  <si>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</si>
  <si>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</si>
  <si>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</si>
  <si>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</si>
  <si>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</si>
  <si>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</si>
  <si>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</si>
  <si>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Debt Service:</t>
  </si>
  <si>
    <t xml:space="preserve">  Principal</t>
  </si>
  <si>
    <t xml:space="preserve">  Interest</t>
  </si>
  <si>
    <t>Total Expenditures</t>
  </si>
  <si>
    <t>OTHER FINANCING SOURCES (USES):</t>
  </si>
  <si>
    <t>Transfers In</t>
  </si>
  <si>
    <t>Transfers out</t>
  </si>
  <si>
    <t>Inception of capital lease</t>
  </si>
  <si>
    <t>Weed control</t>
  </si>
  <si>
    <t xml:space="preserve">  Economic Development</t>
  </si>
  <si>
    <t>Gain (Loss) on Sale of Capital Assets</t>
  </si>
  <si>
    <t>Total other financing sources (uses)</t>
  </si>
  <si>
    <t>Net change in fund balances</t>
  </si>
  <si>
    <t>Major Funds</t>
  </si>
  <si>
    <t>AND CHANGES IN FUND BALANCES OF GOVERNMENTAL FUNDS</t>
  </si>
  <si>
    <t>COMPREHENSIVE ANNUAL FINANCIAL REPORT</t>
  </si>
  <si>
    <t>program revenues are reported instead as general revenues.</t>
  </si>
  <si>
    <t>Cash in all depositories</t>
  </si>
  <si>
    <t>BALANCE PER STATEMENTS</t>
  </si>
  <si>
    <t>Service charges</t>
  </si>
  <si>
    <t>Total to add</t>
  </si>
  <si>
    <t>Total to subtract</t>
  </si>
  <si>
    <t>TOTAL CASH                           IN DEPOSITS</t>
  </si>
  <si>
    <t>Due from other funds</t>
  </si>
  <si>
    <t>Due from other governments</t>
  </si>
  <si>
    <t xml:space="preserve">  Due to other governments</t>
  </si>
  <si>
    <t xml:space="preserve">  Due to other funds</t>
  </si>
  <si>
    <t>Remove interfund receivables and payables (governmental funds only)</t>
  </si>
  <si>
    <t>TOTAL IN                                   DEPOSITORIES</t>
  </si>
  <si>
    <t>Permanent Funds - These funds are used to account for certain funds held in a trust capacity wherein the principle balance of the</t>
  </si>
  <si>
    <t>trust cannot be expended, only the interest earned on the investment of such funds.</t>
  </si>
  <si>
    <t xml:space="preserve">Annotated.  Statute requires the adoption of a preliminary budget, public hearings on the preliminary budget and the final adoption of the </t>
  </si>
  <si>
    <t xml:space="preserve">                             Capital lease obligation principal payments</t>
  </si>
  <si>
    <t>As a general rule the effect of interfund activity has been eliminated from the government-wide financial statements.  Exceptions to this general</t>
  </si>
  <si>
    <t>government.  Elimination of these charges would distort the direct costs and program revenues reported for the various functions.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</si>
  <si>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</si>
  <si>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</si>
  <si>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</si>
  <si>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</si>
  <si>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</si>
  <si>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</si>
  <si>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</si>
  <si>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</si>
  <si>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</si>
  <si>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</si>
  <si>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</si>
  <si>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</si>
  <si>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</si>
  <si>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</si>
  <si>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</si>
  <si>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</si>
  <si>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</si>
  <si>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</si>
  <si>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</si>
  <si>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</si>
  <si>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</si>
  <si>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</si>
  <si>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</si>
  <si>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</si>
  <si>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</si>
  <si>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</si>
  <si>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</si>
  <si>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</si>
  <si>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</si>
  <si>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</si>
  <si>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Proprietary funds distinguish operating revenues and expenses from nonoperating items.  Operating revenues and expenses generally result</t>
  </si>
  <si>
    <t>from providing services and producing and delivering goods in connection with a proprietary fund's principal ongoing operations.  The principal</t>
  </si>
  <si>
    <t>Sewer Enterprise Fund - This fund is used to account for the operating and nonoperating revenues and expenses of the public sewer</t>
  </si>
  <si>
    <t>Internal Service Funds - These funds account for services provided by the government to its various departments or agencies or to</t>
  </si>
  <si>
    <t>Private Purpose Trust Funds - These funds are used to account for resources legally held in trust for use by another government,</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</si>
  <si>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</si>
  <si>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</si>
  <si>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</si>
  <si>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</si>
  <si>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</si>
  <si>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</si>
  <si>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</si>
  <si>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</si>
  <si>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</si>
  <si>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</si>
  <si>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</si>
  <si>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</si>
  <si>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</si>
  <si>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</si>
  <si>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</si>
  <si>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</si>
  <si>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</si>
  <si>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</si>
  <si>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</si>
  <si>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</si>
  <si>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</si>
  <si>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Such amounts are reported as liabilities in the appropriate governmental or business-type activity in the government wide statements. </t>
  </si>
  <si>
    <t xml:space="preserve">Expenditures for unpaid vacation and sick leave benefits are recorded when paid in the governmental funds on the modified accrual basis of </t>
  </si>
  <si>
    <t>accounting.</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</si>
  <si>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</si>
  <si>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</si>
  <si>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</si>
  <si>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</si>
  <si>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</si>
  <si>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</si>
  <si>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</si>
  <si>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</si>
  <si>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</si>
  <si>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</si>
  <si>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</si>
  <si>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</si>
  <si>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</si>
  <si>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</si>
  <si>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</si>
  <si>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</si>
  <si>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</si>
  <si>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</si>
  <si>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</si>
  <si>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</si>
  <si>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</si>
  <si>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</si>
  <si>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</si>
  <si>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</si>
  <si>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</si>
  <si>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</si>
  <si>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</si>
  <si>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</si>
  <si>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</si>
  <si>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</si>
  <si>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</si>
  <si>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</si>
  <si>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</si>
  <si>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</si>
  <si>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</si>
  <si>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 xml:space="preserve">The governmental fund statement of revenues, expenditures, and changes in fund balances includes a reconciliation between net changes in </t>
  </si>
  <si>
    <t>3.</t>
  </si>
  <si>
    <t>COMPLIANCE AND ACCOUNTABILITY</t>
  </si>
  <si>
    <t>Budgetary Information</t>
  </si>
  <si>
    <t>Account Number</t>
  </si>
  <si>
    <t>FROM GOVERNMENTAL FUNDS</t>
  </si>
  <si>
    <t>Remove Principal Debt Payments</t>
  </si>
  <si>
    <t>Remove Capital Outlay Purchases</t>
  </si>
  <si>
    <t>Total Operating Expenses</t>
  </si>
  <si>
    <r>
      <t xml:space="preserve">3 - Remote - </t>
    </r>
    <r>
      <rPr>
        <sz val="10"/>
        <rFont val="Arial"/>
        <family val="2"/>
      </rPr>
      <t>The chance of the future event or events occurring is slight.</t>
    </r>
  </si>
  <si>
    <t>In the fund financial statements, governmental fund types recognize bond premiums and discounts, as well as bond issuance costs, during the</t>
  </si>
  <si>
    <t>current period.  The face amount of debt issued is reported as other financing sources.  Premiums received on debt issuances are reported as</t>
  </si>
  <si>
    <t>other financing sources while discounts on debt issuance are reported as other financing uses.  Issuance costs, whether or not withheld from</t>
  </si>
  <si>
    <t>2.</t>
  </si>
  <si>
    <r>
      <t>SUBTRACT</t>
    </r>
    <r>
      <rPr>
        <sz val="10"/>
        <rFont val="Arial"/>
        <family val="2"/>
      </rPr>
      <t xml:space="preserve">                                                  Outstanding checks</t>
    </r>
  </si>
  <si>
    <t xml:space="preserve">     Conservation of Natural Resources</t>
  </si>
  <si>
    <t xml:space="preserve">     Interest on long-term debt</t>
  </si>
  <si>
    <t xml:space="preserve">     Miscellaneous</t>
  </si>
  <si>
    <t>Total governmental activities</t>
  </si>
  <si>
    <t xml:space="preserve">  Business-type activities:</t>
  </si>
  <si>
    <t xml:space="preserve">     Water</t>
  </si>
  <si>
    <t xml:space="preserve">     Sewer</t>
  </si>
  <si>
    <t xml:space="preserve">     Ambulance</t>
  </si>
  <si>
    <t xml:space="preserve">     Hospital</t>
  </si>
  <si>
    <t xml:space="preserve">     Airport</t>
  </si>
  <si>
    <t xml:space="preserve">     Gas/Electric</t>
  </si>
  <si>
    <t xml:space="preserve">     Solid Waste/Landfill</t>
  </si>
  <si>
    <t>Total business-type activities</t>
  </si>
  <si>
    <t>Component Units:</t>
  </si>
  <si>
    <t xml:space="preserve">as are the proprietary fund and fiduciary fund financial statements.  Revenues are recorded when earned and expenses are recorded when a </t>
  </si>
  <si>
    <t xml:space="preserve">extend to the department level which is identified as the legal level of budgetary control.  </t>
  </si>
  <si>
    <t>RECONCILIATION OF GOVERNMENT-WIDE AND FUND FINANCIAL STATEMENTS</t>
  </si>
  <si>
    <t>Planning/Zoning</t>
  </si>
  <si>
    <t>Disaster</t>
  </si>
  <si>
    <t>Mental health</t>
  </si>
  <si>
    <t>Senior citizens</t>
  </si>
  <si>
    <t>Senior citizens transp.</t>
  </si>
  <si>
    <t>Extension service</t>
  </si>
  <si>
    <t>Public safety</t>
  </si>
  <si>
    <t>Economic Development</t>
  </si>
  <si>
    <t>Rodent control</t>
  </si>
  <si>
    <t>Fire control</t>
  </si>
  <si>
    <t>Museum</t>
  </si>
  <si>
    <t>Employer retirement</t>
  </si>
  <si>
    <t>Health insurance</t>
  </si>
  <si>
    <t>D.A.R.E.</t>
  </si>
  <si>
    <t>Records preservation</t>
  </si>
  <si>
    <t>Alcohol rehabilitation</t>
  </si>
  <si>
    <t>Police reserve</t>
  </si>
  <si>
    <t>Gas tax</t>
  </si>
  <si>
    <t>Weed grant</t>
  </si>
  <si>
    <t>911 Emergency</t>
  </si>
  <si>
    <t>Land planning</t>
  </si>
  <si>
    <t>P.I.L.T.</t>
  </si>
  <si>
    <t>C.D.B.G.</t>
  </si>
  <si>
    <t>Health grants (all)</t>
  </si>
  <si>
    <t>Aging services</t>
  </si>
  <si>
    <t>TOTAL SPECIAL REVENUE</t>
  </si>
  <si>
    <t>Bed tax collection</t>
  </si>
  <si>
    <t>Transportation H.S./Elementary</t>
  </si>
  <si>
    <t>S.I.D. revolving</t>
  </si>
  <si>
    <t>Hospital/Nursing</t>
  </si>
  <si>
    <t>Water</t>
  </si>
  <si>
    <t>Solid Waste</t>
  </si>
  <si>
    <t>Fire disability pension</t>
  </si>
  <si>
    <t>Cemetery perpetual care</t>
  </si>
  <si>
    <t xml:space="preserve">Fire disability </t>
  </si>
  <si>
    <t>Protested tax</t>
  </si>
  <si>
    <t>Public administrator</t>
  </si>
  <si>
    <t>Redemptions</t>
  </si>
  <si>
    <t>Clerk of district court</t>
  </si>
  <si>
    <t>Partial tax payments</t>
  </si>
  <si>
    <t>Migratory stock</t>
  </si>
  <si>
    <t>Agency - State (all)</t>
  </si>
  <si>
    <t>District schools (all)</t>
  </si>
  <si>
    <t>reported separately from business-type activities, which rely to a significant extent on fees and charges for support.  Likewise, the primary</t>
  </si>
  <si>
    <t>government is reported separately from certain legally separate component units for which the primary governments is financially accountable.</t>
  </si>
  <si>
    <t>Separate financial statements are provided for governmental funds, proprietary funds, and fiduciary funds, even though the latter are excluded</t>
  </si>
  <si>
    <t xml:space="preserve">from the government-wide statements.  Major individual governmental funds and major individual enterprise funds are reported in separate </t>
  </si>
  <si>
    <t>1.  Deposits and investments</t>
  </si>
  <si>
    <t>2.  Receivables and payables</t>
  </si>
  <si>
    <t>to/from other funds" (i.e., the current portion of interfund loans) or "advances to/from other funds" (i.e., the non-current portion of interfund loans).</t>
  </si>
  <si>
    <t>FUNCTION</t>
  </si>
  <si>
    <t>COST</t>
  </si>
  <si>
    <t>EXPECTED USEFUL LIFE</t>
  </si>
  <si>
    <t>ANNUAL DEPRECIATION (STRAIGHT LINE)</t>
  </si>
  <si>
    <t xml:space="preserve">  Letter of Transmittal ………………………………………………………………………………………………….</t>
  </si>
  <si>
    <t>Year ending June 30</t>
  </si>
  <si>
    <t>20__</t>
  </si>
  <si>
    <t>20___-20___</t>
  </si>
  <si>
    <t>Amount</t>
  </si>
  <si>
    <t>E.</t>
  </si>
  <si>
    <t>Long-term debt</t>
  </si>
  <si>
    <t>Purpose</t>
  </si>
  <si>
    <t>Issue</t>
  </si>
  <si>
    <t>Date</t>
  </si>
  <si>
    <t>Interest</t>
  </si>
  <si>
    <t>Rate</t>
  </si>
  <si>
    <t>Term of</t>
  </si>
  <si>
    <t>years</t>
  </si>
  <si>
    <t>Final</t>
  </si>
  <si>
    <t>maturity</t>
  </si>
  <si>
    <t>Bonds</t>
  </si>
  <si>
    <t>issued</t>
  </si>
  <si>
    <t>Outstanding</t>
  </si>
  <si>
    <t>Annual</t>
  </si>
  <si>
    <t>serial payment</t>
  </si>
  <si>
    <t>Explanation of certain differences between the governmental fund statement of revenues, expenditures, and changes in fund</t>
  </si>
  <si>
    <t>balances and the government-wide statement of activities</t>
  </si>
  <si>
    <t>revenues. Direct expenses are those that are clearly identifiable with a specific function.  Program revenues include: 1) charges to customers</t>
  </si>
  <si>
    <t>RECONCILIATION OF THE STATEMENT OF REVENUES, EXPENDITURES,</t>
  </si>
  <si>
    <t>other governments, on a cost recovery basis.</t>
  </si>
  <si>
    <t xml:space="preserve">individual, or organization as identified by the donor.  The use of these funds may be restricted to only the interest earned on the </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</si>
  <si>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</si>
  <si>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</si>
  <si>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</si>
  <si>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</si>
  <si>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</si>
  <si>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</si>
  <si>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</si>
  <si>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</si>
  <si>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</si>
  <si>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</si>
  <si>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</si>
  <si>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</si>
  <si>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</si>
  <si>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 xml:space="preserve">in the applicable governmental or business-type activities columns in the government-wide financial statements.  Capital assets, other than </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</si>
  <si>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</si>
  <si>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</si>
  <si>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</si>
  <si>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</si>
  <si>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</si>
  <si>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</si>
  <si>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</si>
  <si>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</si>
  <si>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</si>
  <si>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</si>
  <si>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</si>
  <si>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</si>
  <si>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</si>
  <si>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taxes are assessed in April or May and are payable within 30 days of the issuance of the notice.</t>
  </si>
  <si>
    <t>3.  Inventories and prepaid items</t>
  </si>
  <si>
    <t>Inventory</t>
  </si>
  <si>
    <t>Tag No.</t>
  </si>
  <si>
    <t>year depreciation</t>
  </si>
  <si>
    <t>Adjustments for</t>
  </si>
  <si>
    <t>Use your long-term debt, notes, loans, lease and compensated absences information to complete the GLTDAAG</t>
  </si>
  <si>
    <t>STEP 2: BS CONVERSION</t>
  </si>
  <si>
    <t>Complete the BS Conversion Worksheet: this converts governmental fund balance sheet information to full</t>
  </si>
  <si>
    <t xml:space="preserve">STEP 3: OP CONVERSION </t>
  </si>
  <si>
    <t>Complete the OP Conversion Worksheet. Follow the instructions at the top of the page</t>
  </si>
  <si>
    <t xml:space="preserve">Some adjustments you will make: Add the prior year's deferred revenue as a negative number. Remove principal </t>
  </si>
  <si>
    <t>payments.</t>
  </si>
  <si>
    <t>STEP 4: REVENUE ANALYSIS</t>
  </si>
  <si>
    <t>program and general revenues. Separate assessments and taxes between program and general revenues.</t>
  </si>
  <si>
    <t>Charges for services can be obtained from the Statement of Revenues, Expenditures at the Fund Level</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</si>
  <si>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</si>
  <si>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</si>
  <si>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</si>
  <si>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</si>
  <si>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</si>
  <si>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</si>
  <si>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</si>
  <si>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</si>
  <si>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</si>
  <si>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</si>
  <si>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</si>
  <si>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</si>
  <si>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</si>
  <si>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</si>
  <si>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</si>
  <si>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</si>
  <si>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</si>
  <si>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</si>
  <si>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</si>
  <si>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</si>
  <si>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</si>
  <si>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</si>
  <si>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</si>
  <si>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</si>
  <si>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</si>
  <si>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</si>
  <si>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</si>
  <si>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</si>
  <si>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</si>
  <si>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</si>
  <si>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</si>
  <si>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</si>
  <si>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</si>
  <si>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</si>
  <si>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columns in the fund financial statements.</t>
  </si>
  <si>
    <t>SUMMARY OF SIGNIFICANT ACCOUNTING POLICIES - cont.</t>
  </si>
  <si>
    <t>C.</t>
  </si>
  <si>
    <t>Notes/loans/intercap issued</t>
  </si>
  <si>
    <t xml:space="preserve"> Notes/loans/intercap issued</t>
  </si>
  <si>
    <t xml:space="preserve">State statute limits the making of expenditures or incurring of obligations to the amount of the final budget as adopted or as amended.  Budget </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</si>
  <si>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</si>
  <si>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</si>
  <si>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</si>
  <si>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</si>
  <si>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</si>
  <si>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liability is incurred, regardless of the timing of related cash flows.  Property taxes are recognized as revenues in the year for which they are</t>
  </si>
  <si>
    <t>levied.  Grants and similar items are recognized as revenue as soon as all eligibility requirements imposed by the provider have been met.</t>
  </si>
  <si>
    <t>TOTAL GENERAL PLANT</t>
  </si>
  <si>
    <t>GRAND TOTAL</t>
  </si>
  <si>
    <t>Business-type activities:</t>
  </si>
  <si>
    <t>General plant</t>
  </si>
  <si>
    <t>Source of supply</t>
  </si>
  <si>
    <t>Pumping plant</t>
  </si>
  <si>
    <t>Treatment plant</t>
  </si>
  <si>
    <t>Transmission and distribution</t>
  </si>
  <si>
    <t>Capital assets - cont.</t>
  </si>
  <si>
    <t>Depreciation expense was charged to functions/programs of the primary government as follows:</t>
  </si>
  <si>
    <t>Total depreciation expense - governmental activities</t>
  </si>
  <si>
    <t xml:space="preserve">  </t>
  </si>
  <si>
    <t>Contracts/Loans/Notes Payable</t>
  </si>
  <si>
    <t>Total depreciation expense - business-type activities</t>
  </si>
  <si>
    <t>Operating leases</t>
  </si>
  <si>
    <t>is considered to be financially accountable.  Blended component units are part of the government's operations.  Each discretely</t>
  </si>
  <si>
    <t>presented component unit is reported in a separate column in the government-wide financial statements to emphasize that it is</t>
  </si>
  <si>
    <t xml:space="preserve">considered to be susceptible to accrual as revenue of the current period.  All other revenue items are considered to be measurable and </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</si>
  <si>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</si>
  <si>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</si>
  <si>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</si>
  <si>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</si>
  <si>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**THIS INFORMATION CAN BE TAKEN FROM FP-6b REPORT (TREASURER'S REPORT OF COUNTY WIDE SCHOOL FUNDS.)</t>
  </si>
  <si>
    <t>AGENCY - OTHER</t>
  </si>
  <si>
    <t>SPECIAL DISTRICTS   (list)</t>
  </si>
  <si>
    <t>AGENCY  FUNDS  (list)</t>
  </si>
  <si>
    <t>TRUST  FUNDS (list)</t>
  </si>
  <si>
    <t>PERMANENT FUNDS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</si>
  <si>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</si>
  <si>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</si>
  <si>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</si>
  <si>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</si>
  <si>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</si>
  <si>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</si>
  <si>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</si>
  <si>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</si>
  <si>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</si>
  <si>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</si>
  <si>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</si>
  <si>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</si>
  <si>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</si>
  <si>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</si>
  <si>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</si>
  <si>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</si>
  <si>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</si>
  <si>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</si>
  <si>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</si>
  <si>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</si>
  <si>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</si>
  <si>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</si>
  <si>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</si>
  <si>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omission from the financial statements would be misleading or incomplete.</t>
  </si>
  <si>
    <t>Cash and cash equivalents - June 30, 20____</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</si>
  <si>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</si>
  <si>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</si>
  <si>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</si>
  <si>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</si>
  <si>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</si>
  <si>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</si>
  <si>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</si>
  <si>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</si>
  <si>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</si>
  <si>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</si>
  <si>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</si>
  <si>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</si>
  <si>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</si>
  <si>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t xml:space="preserve">end are reported as reservations of fund balances and do not constitute expenditures or liabilities because the commitments will be </t>
  </si>
  <si>
    <t>reappropriated and honored during the subsequent fiscal year.</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</si>
  <si>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</si>
  <si>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</si>
  <si>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</si>
  <si>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</si>
  <si>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</si>
  <si>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</si>
  <si>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</si>
  <si>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</si>
  <si>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</si>
  <si>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</si>
  <si>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 xml:space="preserve">                           Capital assets purchased </t>
  </si>
  <si>
    <t xml:space="preserve">                            Depreciation expense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</si>
  <si>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</si>
  <si>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</si>
  <si>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</si>
  <si>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</si>
  <si>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</si>
  <si>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</si>
  <si>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</si>
  <si>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</si>
  <si>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</si>
  <si>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</si>
  <si>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</si>
  <si>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</si>
  <si>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</si>
  <si>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</si>
  <si>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</si>
  <si>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</si>
  <si>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</si>
  <si>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</si>
  <si>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</si>
  <si>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</si>
  <si>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</si>
  <si>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</si>
  <si>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</si>
  <si>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</si>
  <si>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The government-wide financial statements are reported using the economic resources measurement focus and the accrual basis of accounting,</t>
  </si>
  <si>
    <t>rule are payments-in-lieu of taxes and other charges between the governments' enterprise functions and various other functions of the</t>
  </si>
  <si>
    <t xml:space="preserve">          Internal service funds are used by management to charge the costs of certain activities, </t>
  </si>
  <si>
    <t>Accounts/other receivables - (net of allowance for uncollectibles)</t>
  </si>
  <si>
    <t>Accounts/other receivables (net of allowance for uncollectibles)</t>
  </si>
  <si>
    <t>Property, plant, and equipment of the primary government, as well as the component units, is depreciated using the straight line method over</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</si>
  <si>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</si>
  <si>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</si>
  <si>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</si>
  <si>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</si>
  <si>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</si>
  <si>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</si>
  <si>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</si>
  <si>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</si>
  <si>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</si>
  <si>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</si>
  <si>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</si>
  <si>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</si>
  <si>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</si>
  <si>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</si>
  <si>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</si>
  <si>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</si>
  <si>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</si>
  <si>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</si>
  <si>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</si>
  <si>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</si>
  <si>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</si>
  <si>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</si>
  <si>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</si>
  <si>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</si>
  <si>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</si>
  <si>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</si>
  <si>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</si>
  <si>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</si>
  <si>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</si>
  <si>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t>Encumbrance accounting is (is not) employed for the governmental funds.  Encumbrances (e.g. purchase orders, contracts) outstanding at year</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</si>
  <si>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</si>
  <si>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</si>
  <si>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</si>
  <si>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</si>
  <si>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</si>
  <si>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</si>
  <si>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</si>
  <si>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</si>
  <si>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</si>
  <si>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</si>
  <si>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</si>
  <si>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</si>
  <si>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</si>
  <si>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Assessor</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</si>
  <si>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</si>
  <si>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</si>
  <si>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</si>
  <si>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</si>
  <si>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</si>
  <si>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</si>
  <si>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</si>
  <si>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</si>
  <si>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</si>
  <si>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</si>
  <si>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</si>
  <si>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</si>
  <si>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</si>
  <si>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</si>
  <si>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</si>
  <si>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Held in trust for pension benefits and other purposes</t>
  </si>
  <si>
    <t>Warrants payable</t>
  </si>
  <si>
    <t>Agency Composite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</si>
  <si>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</si>
  <si>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</si>
  <si>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</si>
  <si>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</si>
  <si>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</si>
  <si>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</si>
  <si>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</si>
  <si>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</si>
  <si>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</si>
  <si>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</si>
  <si>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</si>
  <si>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</si>
  <si>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</si>
  <si>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</si>
  <si>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</si>
  <si>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</si>
  <si>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</si>
  <si>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</si>
  <si>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 xml:space="preserve">    Cash Reconciliation ………………………………………………………………………………………………..</t>
  </si>
  <si>
    <t>M01</t>
  </si>
  <si>
    <t>reserve for the purpose of replacing the system in the future.</t>
  </si>
  <si>
    <t>5.  Capital assets</t>
  </si>
  <si>
    <t>Capital assets, which include property, plant, equipment, and infrastructure assets (e.g., roads, bridges, sidewalks, curbs, etc), are reported</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</si>
  <si>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</si>
  <si>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</si>
  <si>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</si>
  <si>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</si>
  <si>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</si>
  <si>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</si>
  <si>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</si>
  <si>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</si>
  <si>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</si>
  <si>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</si>
  <si>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</si>
  <si>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</si>
  <si>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</si>
  <si>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</si>
  <si>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</si>
  <si>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</si>
  <si>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</si>
  <si>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</si>
  <si>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</si>
  <si>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</si>
  <si>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</si>
  <si>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</si>
  <si>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</si>
  <si>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</si>
  <si>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Add Accumulated Depreciation on Capital Assets</t>
  </si>
  <si>
    <t>ADJUSTED AMOUNT FOR ENTITY-WIDE STATEMENTS</t>
  </si>
  <si>
    <t xml:space="preserve">  Reserved (Restricted) for:</t>
  </si>
  <si>
    <t xml:space="preserve">In the government-wide financial statements, and proprietary fund types in the fund financial statements, long-term debt and other long-term </t>
  </si>
  <si>
    <t>obligations are reported as liabilities in the applicable governmental activities, business-type activities, or proprietary fund type statement of</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</si>
  <si>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</si>
  <si>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</si>
  <si>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</si>
  <si>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</si>
  <si>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</si>
  <si>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</si>
  <si>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</si>
  <si>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</si>
  <si>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</si>
  <si>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</si>
  <si>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</si>
  <si>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</si>
  <si>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</si>
  <si>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</si>
  <si>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</si>
  <si>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</si>
  <si>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</si>
  <si>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</si>
  <si>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</si>
  <si>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</si>
  <si>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the issuance and sale of the revenue bonds representing a liability to the enterprise funds.  These restricted assets represent cash and cash</t>
  </si>
  <si>
    <t>equivalents restricted for use to repay current debt, establish a reserve for future debt and the establish a replacement and depreciation</t>
  </si>
  <si>
    <t>Maintenance districts (all)</t>
  </si>
  <si>
    <t>Light maintenance districts (all)</t>
  </si>
  <si>
    <t>2960-79</t>
  </si>
  <si>
    <r>
      <t>ADD</t>
    </r>
    <r>
      <rPr>
        <sz val="10"/>
        <rFont val="Arial"/>
        <family val="2"/>
      </rPr>
      <t xml:space="preserve">                                                      Cash and cash items on hand</t>
    </r>
  </si>
  <si>
    <t xml:space="preserve">Activity between funds that are representative of lending/borrowing arrangements outstanding at fiscal year end are referred to as either "due </t>
  </si>
  <si>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</si>
  <si>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</si>
  <si>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</si>
  <si>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</si>
  <si>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</si>
  <si>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</si>
  <si>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</si>
  <si>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</si>
  <si>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</si>
  <si>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</si>
  <si>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</si>
  <si>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</si>
  <si>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</si>
  <si>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</si>
  <si>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</si>
  <si>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</si>
  <si>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</si>
  <si>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</si>
  <si>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</si>
  <si>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</si>
  <si>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</si>
  <si>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</si>
  <si>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</si>
  <si>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</si>
  <si>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</si>
  <si>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 xml:space="preserve">  Depreciation</t>
  </si>
  <si>
    <t>NONOPERATING REVENUES (EXPENSES)</t>
  </si>
  <si>
    <t xml:space="preserve">  Taxes/assessment revenue</t>
  </si>
  <si>
    <t xml:space="preserve">  Licenses/permits revenue</t>
  </si>
  <si>
    <t xml:space="preserve">Certain payments reflect costs applicable to future accounting periods and are recorded as prepaid items in both the government-wide and </t>
  </si>
  <si>
    <t>fund financial statements.</t>
  </si>
  <si>
    <t>4.  Restricted assets</t>
  </si>
  <si>
    <t xml:space="preserve">Certain assets of the enterprise funds are restricted for specific use as required by the bond indenture agreement covenants established with </t>
  </si>
  <si>
    <t>Excess of revenues over (under)expenditures</t>
  </si>
  <si>
    <t>Excess of revenues over (under) expenditures</t>
  </si>
  <si>
    <t>Excess of revenues (under)           expenditures</t>
  </si>
  <si>
    <t xml:space="preserve">operating revenues of the enterprise funds and the government's internal service funds are charges to customers for services provided. </t>
  </si>
  <si>
    <t>FOR DEPARTMENT OF ADMINSTRATION USE ONLY</t>
  </si>
  <si>
    <t xml:space="preserve">Grants and </t>
  </si>
  <si>
    <t>Capital contributions</t>
  </si>
  <si>
    <t>FIDUCIARY FUNDS</t>
  </si>
  <si>
    <t>Receivables:</t>
  </si>
  <si>
    <t>Interest receivable</t>
  </si>
  <si>
    <t>Investments (at fair value)</t>
  </si>
  <si>
    <t>Agency Funds</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</si>
  <si>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</si>
  <si>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</si>
  <si>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</si>
  <si>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</si>
  <si>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</si>
  <si>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</si>
  <si>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</si>
  <si>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</si>
  <si>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</si>
  <si>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</si>
  <si>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</si>
  <si>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</si>
  <si>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</si>
  <si>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</si>
  <si>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</si>
  <si>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Cash and cash equivalents - July 1, 20____</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</si>
  <si>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</si>
  <si>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</si>
  <si>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</si>
  <si>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</si>
  <si>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</si>
  <si>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</si>
  <si>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</si>
  <si>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</si>
  <si>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</si>
  <si>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</si>
  <si>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</si>
  <si>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</si>
  <si>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</si>
  <si>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</si>
  <si>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</si>
  <si>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</si>
  <si>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</si>
  <si>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</si>
  <si>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</si>
  <si>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</si>
  <si>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</si>
  <si>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</si>
  <si>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</si>
  <si>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</si>
  <si>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</si>
  <si>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</si>
  <si>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Remove long-term debt from other financing sources (enter as negative)</t>
  </si>
  <si>
    <t>Total Federal Shared Revenues</t>
  </si>
  <si>
    <t>Total State Grants/Entitlements</t>
  </si>
  <si>
    <t>Total State Shared Revenues</t>
  </si>
  <si>
    <t>Record Depreciation Expense</t>
  </si>
  <si>
    <t>Record Current Year Compensated Absences</t>
  </si>
  <si>
    <t>ADJUSTED AMOUNT FOR ENTITY-WIDE STATEMENT</t>
  </si>
  <si>
    <t>BALANCE</t>
  </si>
  <si>
    <t>ACCOUNT DESCRIPTION</t>
  </si>
  <si>
    <t>DEBITS</t>
  </si>
  <si>
    <t>CREDIT</t>
  </si>
  <si>
    <t>LAND</t>
  </si>
  <si>
    <t>BUILDINGS</t>
  </si>
  <si>
    <t xml:space="preserve">    ALLOWANCE FOR DEPRECIATION</t>
  </si>
  <si>
    <t>IMPROVEMENTS OTHER THAN BUILDINGS</t>
  </si>
  <si>
    <t>MACHINERY &amp; EQUIPMENT</t>
  </si>
  <si>
    <t>H-2</t>
  </si>
  <si>
    <t>INFRASTRUCTURE</t>
  </si>
  <si>
    <t>DEPRECIATION EXPENSE:</t>
  </si>
  <si>
    <t xml:space="preserve">  GENERAL GOVERNMENT</t>
  </si>
  <si>
    <t xml:space="preserve">  PUBLIC SAFETY</t>
  </si>
  <si>
    <t xml:space="preserve">  PUBLIC WORKS</t>
  </si>
  <si>
    <t xml:space="preserve">  PUBLIC HEALTH</t>
  </si>
  <si>
    <t xml:space="preserve">  SOCIAL/ECONOMIC SERVICES</t>
  </si>
  <si>
    <t xml:space="preserve">  CULTURE AND RECREATION</t>
  </si>
  <si>
    <t xml:space="preserve">  HOUSING/COMMUNITY DEVELOPMENT</t>
  </si>
  <si>
    <t xml:space="preserve">  CONSERVATION OF NATURAL RESOURCES</t>
  </si>
  <si>
    <t>TOTAL DEPRECIATION EXPENSE</t>
  </si>
  <si>
    <t>Lewis and Clark Bicentennial Grant</t>
  </si>
  <si>
    <t>State allocated federal mineral royalties</t>
  </si>
  <si>
    <t>Duration of lease</t>
  </si>
  <si>
    <t>Minimum annual payment</t>
  </si>
  <si>
    <t>G.</t>
  </si>
  <si>
    <t>NONMAJOR ENTERPRISE FUNDS</t>
  </si>
  <si>
    <t>Pending Litigation</t>
  </si>
  <si>
    <t>Case</t>
  </si>
  <si>
    <t>Damages requested</t>
  </si>
  <si>
    <t>Potential of loss* (Mark with X)</t>
  </si>
  <si>
    <t>1</t>
  </si>
  <si>
    <t>2</t>
  </si>
  <si>
    <t>3</t>
  </si>
  <si>
    <t>of loss column if all or a portion of the damages will be coverd by insurance if the entity suffers a loss.</t>
  </si>
  <si>
    <t>The following is a list of pending litigation against the entity and the amount of damages claimed by the plaintiff.  Indicate in the potential</t>
  </si>
  <si>
    <t>H.</t>
  </si>
  <si>
    <t>Restatements/prior period adjustments</t>
  </si>
  <si>
    <t>The following is a schedule of these adjustments:</t>
  </si>
  <si>
    <t>Fund</t>
  </si>
  <si>
    <t>Reason for adjustment</t>
  </si>
  <si>
    <t xml:space="preserve">transfers and amendments are authorized by law, and in some instances, may require further public hearings.  Any budget amendments </t>
  </si>
  <si>
    <t>providing for additional appropriations must identify the fund reserves, unanticipated revenue, or previously unbudgeted revenue that will fund the</t>
  </si>
  <si>
    <t>appropriations.</t>
  </si>
  <si>
    <t>Government-wide and fund financial statements</t>
  </si>
  <si>
    <t xml:space="preserve">on all of the nonfiduciary activities of the primary government and its component units.  For the most part, the effect of interfund activity has </t>
  </si>
  <si>
    <t>been removed from these statements.  Governmental activities, which normally are supported by taxes and intergovernmental revenues, are</t>
  </si>
  <si>
    <t>Original Amount</t>
  </si>
  <si>
    <t>Date of Issue</t>
  </si>
  <si>
    <t>Date of</t>
  </si>
  <si>
    <t>Payment</t>
  </si>
  <si>
    <t>F.</t>
  </si>
  <si>
    <t>Property leased to others</t>
  </si>
  <si>
    <t>individuals for specific purposes: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</si>
  <si>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</si>
  <si>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</si>
  <si>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</si>
  <si>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</si>
  <si>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</si>
  <si>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</si>
  <si>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</si>
  <si>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</si>
  <si>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</si>
  <si>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</si>
  <si>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</si>
  <si>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</si>
  <si>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</si>
  <si>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</si>
  <si>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</si>
  <si>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</si>
  <si>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</si>
  <si>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</si>
  <si>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</si>
  <si>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</si>
  <si>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</si>
  <si>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</si>
  <si>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</si>
  <si>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</si>
  <si>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</si>
  <si>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</si>
  <si>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</si>
  <si>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</si>
  <si>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</si>
  <si>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</si>
  <si>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</si>
  <si>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</si>
  <si>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</si>
  <si>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</si>
  <si>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</si>
  <si>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</si>
  <si>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 xml:space="preserve">legally separate from the government, but is financially accountable to or fiscally dependent upon the primary government or their </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</si>
  <si>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</si>
  <si>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</si>
  <si>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</si>
  <si>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</si>
  <si>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</si>
  <si>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</si>
  <si>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</si>
  <si>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</si>
  <si>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</si>
  <si>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</si>
  <si>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</si>
  <si>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</si>
  <si>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</si>
  <si>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</si>
  <si>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</si>
  <si>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</si>
  <si>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</si>
  <si>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</si>
  <si>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</si>
  <si>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</si>
  <si>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</si>
  <si>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</si>
  <si>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</si>
  <si>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</si>
  <si>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</si>
  <si>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</si>
  <si>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</si>
  <si>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</si>
  <si>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</si>
  <si>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</si>
  <si>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</si>
  <si>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</si>
  <si>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</si>
  <si>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</si>
  <si>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</si>
  <si>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</si>
  <si>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</si>
  <si>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</si>
  <si>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</si>
  <si>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</si>
  <si>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</si>
  <si>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</si>
  <si>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</si>
  <si>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</si>
  <si>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</si>
  <si>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</si>
  <si>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</si>
  <si>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</si>
  <si>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</si>
  <si>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</si>
  <si>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</si>
  <si>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 DEPARTMENT OF ADMINISTRATION</t>
  </si>
  <si>
    <t>Local Government Services Bureau</t>
  </si>
  <si>
    <t>MONTANA</t>
  </si>
  <si>
    <t>-30-</t>
  </si>
  <si>
    <t>-31-</t>
  </si>
  <si>
    <t>-32-</t>
  </si>
  <si>
    <t>-33-</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</si>
  <si>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</si>
  <si>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</si>
  <si>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</si>
  <si>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</si>
  <si>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</si>
  <si>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</si>
  <si>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</si>
  <si>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</si>
  <si>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</si>
  <si>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</si>
  <si>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</si>
  <si>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</si>
  <si>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</si>
  <si>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</si>
  <si>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</si>
  <si>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</si>
  <si>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</si>
  <si>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</si>
  <si>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</si>
  <si>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</si>
  <si>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</si>
  <si>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</si>
  <si>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</si>
  <si>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Measurement focus, basis of accounting, and financial statement presentation</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</si>
  <si>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</si>
  <si>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</si>
  <si>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</si>
  <si>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</si>
  <si>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</si>
  <si>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</si>
  <si>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</si>
  <si>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 xml:space="preserve">Pension Trust Funds - These funds are used to account for the activities of a local retirement plan which accumulates resources for </t>
  </si>
  <si>
    <t>Remove proceeds from sale of assets from other financing sources</t>
  </si>
  <si>
    <t xml:space="preserve">                              Proceeds from the sale of capital assets</t>
  </si>
  <si>
    <t>ANNUAL FINANCIAL</t>
  </si>
  <si>
    <t>REPORT</t>
  </si>
  <si>
    <t>Conservation of Natural Resources</t>
  </si>
  <si>
    <t>Debt Service</t>
  </si>
  <si>
    <t>Capital expenditures</t>
  </si>
  <si>
    <t>The accompanying financial statements present the primary government and its component units, entities for which the government</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</si>
  <si>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</si>
  <si>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</si>
  <si>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</si>
  <si>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</si>
  <si>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</si>
  <si>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</si>
  <si>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</si>
  <si>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</si>
  <si>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</si>
  <si>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</si>
  <si>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</si>
  <si>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</si>
  <si>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</si>
  <si>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Trust and agency funds (7000)</t>
  </si>
  <si>
    <t>Debt Service funds (3000)</t>
  </si>
  <si>
    <t>Capital projects funds (4000)</t>
  </si>
  <si>
    <t>Enterprise funds (5000)</t>
  </si>
  <si>
    <t>Internal services funds (6000)</t>
  </si>
  <si>
    <t>ALL FUNDS</t>
  </si>
  <si>
    <t>SCHEDULE OF CASH RECEIPTS AND DISBURSEMENTS - ALL FUNDS</t>
  </si>
  <si>
    <t>Account number</t>
  </si>
  <si>
    <t>restricted to meeting the operational or capital requirements of a particular function.  Taxes and other items not properly included among</t>
  </si>
  <si>
    <t>The statement of activities demonstrates the degree to which the direct expenses of a given function or segment are offset by program</t>
  </si>
  <si>
    <t>Total Non-Operating Revenues (Expenses)</t>
  </si>
  <si>
    <t>who purchase, use, or directly benefit from goods, services, or privileges provided by a given function and 2) grants and contributions that are</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</si>
  <si>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</si>
  <si>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</si>
  <si>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</si>
  <si>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</si>
  <si>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</si>
  <si>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</si>
  <si>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</si>
  <si>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</si>
  <si>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</si>
  <si>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Predatory animal</t>
  </si>
  <si>
    <t>Fair</t>
  </si>
  <si>
    <t>Airport</t>
  </si>
  <si>
    <t>District court</t>
  </si>
  <si>
    <t>Comprehensive Insurance</t>
  </si>
  <si>
    <t>Property insurance</t>
  </si>
  <si>
    <t>Mosquito</t>
  </si>
  <si>
    <t>Parks/Recreation/Civic  center</t>
  </si>
  <si>
    <t>Library</t>
  </si>
  <si>
    <t>Ambulance</t>
  </si>
  <si>
    <t>Cemetery</t>
  </si>
  <si>
    <t>Planning</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</si>
  <si>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</si>
  <si>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</si>
  <si>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</si>
  <si>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</si>
  <si>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</si>
  <si>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</si>
  <si>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</si>
  <si>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</si>
  <si>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</si>
  <si>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</si>
  <si>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</si>
  <si>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Capital lease proceeds</t>
  </si>
  <si>
    <t xml:space="preserve">   Local grants</t>
  </si>
  <si>
    <t xml:space="preserve">   Local shared revenues</t>
  </si>
  <si>
    <t xml:space="preserve">   Local shared revenue</t>
  </si>
  <si>
    <t xml:space="preserve">  Prior period adjustments</t>
  </si>
  <si>
    <t>Sale of capital assets</t>
  </si>
  <si>
    <t xml:space="preserve">  Air quality control</t>
  </si>
  <si>
    <t>Total expenditures</t>
  </si>
  <si>
    <t>Excess of revenues over expenditures</t>
  </si>
  <si>
    <t>OTHER FINANCING SOURCES (USES)</t>
  </si>
  <si>
    <t xml:space="preserve"> Sale of assets</t>
  </si>
  <si>
    <t xml:space="preserve"> Inception of capital lease</t>
  </si>
  <si>
    <t xml:space="preserve"> Transfers In</t>
  </si>
  <si>
    <t xml:space="preserve">   Uncatagorized</t>
  </si>
  <si>
    <t>the following estimated useful lives:</t>
  </si>
  <si>
    <t>Assets</t>
  </si>
  <si>
    <t>Years</t>
  </si>
  <si>
    <t>Buildings</t>
  </si>
  <si>
    <t>Building improvements</t>
  </si>
  <si>
    <t>Public domain infrastructure</t>
  </si>
  <si>
    <t>System infrastructure</t>
  </si>
  <si>
    <t>Vehicles</t>
  </si>
  <si>
    <t>Office equipment</t>
  </si>
  <si>
    <t>Computer equipment</t>
  </si>
  <si>
    <t>Equipment other than vehicles</t>
  </si>
  <si>
    <t>Unused vacation leave benefits are 100 percent payable upon termination and 1/4 of unused sick leave benefits are payable upon termination.</t>
  </si>
  <si>
    <t>deferred charges and amortized over the term of the related debt.</t>
  </si>
  <si>
    <t>the actual debt proceeds received, are reported as debt service expenditures.</t>
  </si>
  <si>
    <t xml:space="preserve">   *The potential for loss</t>
  </si>
  <si>
    <t>Add Principal balance of long-term loans, contracts, and bonds</t>
  </si>
  <si>
    <t>Add Capital assets</t>
  </si>
  <si>
    <t>Other accrued payables</t>
  </si>
  <si>
    <t>Noncurrent Liabilities</t>
  </si>
  <si>
    <t>Due to other funds</t>
  </si>
  <si>
    <t>effective interest method.  Bonds payable are reported net of the applicable bond premium or discount.  Bond issuance costs are reported as</t>
  </si>
  <si>
    <t>Operating expenses for enterprise funds and internal service funds include the cost of providing such services and the depreciation of capital</t>
  </si>
  <si>
    <t>assets.  All revenues and expenses not meeting this definition are reported as nonoperating revenues and expenses.</t>
  </si>
  <si>
    <t>D.</t>
  </si>
  <si>
    <t xml:space="preserve">recognized as revenues of the current period.  Only the portion of special assessments receivable due within the current fiscal period is </t>
  </si>
  <si>
    <t>Undisbursed receipts 06/30/20___</t>
  </si>
  <si>
    <t>General School H.S.</t>
  </si>
  <si>
    <t>Community College</t>
  </si>
  <si>
    <t>Retirement H.S.</t>
  </si>
  <si>
    <t>Retirement elementary</t>
  </si>
  <si>
    <t>AGENCY - CITIES AND TOWNS (list)</t>
  </si>
  <si>
    <t>Payroll fund</t>
  </si>
  <si>
    <t>Claims fund</t>
  </si>
  <si>
    <t>TOTAL TRUST AND AGENCY FUNDS</t>
  </si>
  <si>
    <t>Fund number</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</si>
  <si>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</si>
  <si>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</si>
  <si>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</si>
  <si>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</si>
  <si>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</si>
  <si>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</si>
  <si>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</si>
  <si>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</si>
  <si>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</si>
  <si>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</si>
  <si>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</si>
  <si>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</si>
  <si>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</si>
  <si>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</si>
  <si>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</si>
  <si>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</si>
  <si>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</si>
  <si>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</si>
  <si>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</si>
  <si>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</si>
  <si>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</si>
  <si>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</si>
  <si>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</si>
  <si>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UNALLOCATED DEPRECIATION</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</si>
  <si>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</si>
  <si>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</si>
  <si>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</si>
  <si>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</si>
  <si>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</si>
  <si>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</si>
  <si>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</si>
  <si>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</si>
  <si>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</si>
  <si>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pension benefit payments to qualified employees.</t>
  </si>
  <si>
    <t>Operating Income (Loss)</t>
  </si>
  <si>
    <t xml:space="preserve">    Long-term liabilities, including bonds payable, are not due and payable</t>
  </si>
  <si>
    <t>General School Elementary</t>
  </si>
  <si>
    <t xml:space="preserve">  Intergovernmental revenue</t>
  </si>
  <si>
    <t xml:space="preserve">  Interest revenue</t>
  </si>
  <si>
    <t>utility system.  The fund is maintained on the full accrual basis of accounting.</t>
  </si>
  <si>
    <t>Water Enterprise Fund - This fund is used to account for the operating and nonoperating revenues and expenses of the public water</t>
  </si>
  <si>
    <t>Instructions for Completing This Report</t>
  </si>
  <si>
    <t>General Information:</t>
  </si>
  <si>
    <t>The instructions are intended to provide a logical sequence of preparation of the annual report</t>
  </si>
  <si>
    <t xml:space="preserve">  using this excel spreadsheet. You may develop your own preference.</t>
  </si>
  <si>
    <t>Be sure to complete all year-end adjustments that are necessary.</t>
  </si>
  <si>
    <t xml:space="preserve">Sheets within this spreadsheet are protected to avoid accidental overwriting of formulas. </t>
  </si>
  <si>
    <t>The file provides for 62 nonmajor special revenue funds. This is the maximum number of funds the</t>
  </si>
  <si>
    <t>Cover Page, Table of Contents &amp; Headings:</t>
  </si>
  <si>
    <t xml:space="preserve">COVER PAGE </t>
  </si>
  <si>
    <t>HEADINGS AND DATES</t>
  </si>
  <si>
    <r>
      <t>Page 14:</t>
    </r>
    <r>
      <rPr>
        <sz val="10"/>
        <rFont val="Arial"/>
        <family val="2"/>
      </rPr>
      <t xml:space="preserve">  Line 3 - enter the date of the statement (Fiscal year ended June 30, 20XX) By doing this</t>
    </r>
  </si>
  <si>
    <t xml:space="preserve">  all operating statements within the report will have the date entered automatically. Input the </t>
  </si>
  <si>
    <t>show only when printed. To the change the information for your government take the following steps:</t>
  </si>
  <si>
    <t xml:space="preserve">center box and move up to enter the fiscal year and your entity name (Delete the entity references </t>
  </si>
  <si>
    <t>that don't apply ex. City, County)</t>
  </si>
  <si>
    <t>Notes, Statements and Schedules:</t>
  </si>
  <si>
    <t>PREPARATION STEPS:</t>
  </si>
  <si>
    <t>DETERMINE THE MAJOR FUNDS</t>
  </si>
  <si>
    <t>Determine your major funds by downloading (DOA website) and completing the major fund calculator.</t>
  </si>
  <si>
    <t>To complete the major fund calculator you will use a trial balance, revenue and expenditure report</t>
  </si>
  <si>
    <t xml:space="preserve">  If a fund qualifies as a major fund it will state YES in the far left column </t>
  </si>
  <si>
    <t xml:space="preserve">  (General Fund is always a major fund)</t>
  </si>
  <si>
    <t>DEPRECIATION, COMPENSATED ABSENCES ADJUSTMENTS</t>
  </si>
  <si>
    <t>Make the necessary journal entries in your system before printing reports to use in the AFR preparation</t>
  </si>
  <si>
    <t>Update your depreciation schedules for items purchased, disposed of. Calculate the annual depreciation</t>
  </si>
  <si>
    <t>ANNUAL FINANCIAL REPORT (AFR) BODY</t>
  </si>
  <si>
    <t>The Annual Financial Report consists of these parts:</t>
  </si>
  <si>
    <t>Government-wide Statements</t>
  </si>
  <si>
    <t>Pages 13-17</t>
  </si>
  <si>
    <t>Enterprise/Proprietary Statements</t>
  </si>
  <si>
    <t>Pages 18-20</t>
  </si>
  <si>
    <t>Fiduciary Statements</t>
  </si>
  <si>
    <t>Pages 21-22</t>
  </si>
  <si>
    <t>Notes</t>
  </si>
  <si>
    <t>Fund-Level Statements</t>
  </si>
  <si>
    <t>Supporting Documents</t>
  </si>
  <si>
    <t>STEP 1: SETTING UP THE MAJOR FUNDS</t>
  </si>
  <si>
    <r>
      <t>Begin on Page 15:</t>
    </r>
    <r>
      <rPr>
        <sz val="10"/>
        <rFont val="Arial"/>
        <family val="2"/>
      </rPr>
      <t xml:space="preserve"> List the major funds in numerical order beginning in row E</t>
    </r>
  </si>
  <si>
    <t xml:space="preserve">  If you want to change the page layout: print preview on the task bar, setup and choose portrait and</t>
  </si>
  <si>
    <t xml:space="preserve">  click on fit to one page.</t>
  </si>
  <si>
    <t>STEP 2: COMPLETING THE GOVERNMENTAL FUNDS BALANCE SHEET</t>
  </si>
  <si>
    <t>Page 15: Use your Software's Annual Report Package or a Trial Balance to enter the General Fund</t>
  </si>
  <si>
    <t>STEP 3: COMPLETE THE GENERAL FUND REVENUES, EXPENDITURES &amp; CHANGES IN FUND BALANCE</t>
  </si>
  <si>
    <t>will automatically transfer to page 16). The original and final budget numbers will be the same unless</t>
  </si>
  <si>
    <t>This should balance with your software AFR fund balance, if not check for prior period adjustments.</t>
  </si>
  <si>
    <t>These pages are the General Fund Statement of Revenues, Expenditures and Changes in Fund Balance</t>
  </si>
  <si>
    <t>STEP 4: COMPLETE THE MAJOR FUND REVENUES, EXPENDITURES &amp; CHANGES IN FUND BALANCE</t>
  </si>
  <si>
    <t>fund balances on page 16. Columns L &amp; M have formulas - do not enter information there.</t>
  </si>
  <si>
    <t>STEP 6: NONMAJOR FUNDS</t>
  </si>
  <si>
    <t>Rows 3-5: delete Name and enter your Fund name. Enter the assets and liabilities of these funds.</t>
  </si>
  <si>
    <t>Input the budget vs. actual revenue information for the Non-Major Special Revenue Funds</t>
  </si>
  <si>
    <t>Input the budget vs. actual expenditure information for the Non-Major Special Revenue Funds</t>
  </si>
  <si>
    <t>STEP 7: NONMAJOR DEBT SERVICE FUNDS</t>
  </si>
  <si>
    <t>STEP 8: NONMAJOR CAPITAL PROJECT FUNDS</t>
  </si>
  <si>
    <t>STEP 9: PERMANENT FUNDS</t>
  </si>
  <si>
    <t>Complete the Permanent Funds Balance Sheet and Statement of Revenues, Expenditures &amp; Changes in Fund</t>
  </si>
  <si>
    <t>Balance if applicable.</t>
  </si>
  <si>
    <t>STEP 10: FIDUCIARY FUNDS</t>
  </si>
  <si>
    <t xml:space="preserve">Pages 21 &amp; 22: Complete the Fiduciary Funds information (Agency and Trust Information) </t>
  </si>
  <si>
    <t>STEP 11: SUPPORTING &amp; ADDITIONAL INFORMATION</t>
  </si>
  <si>
    <t xml:space="preserve">Page 70: Complete the Schedule of Cash Receipts &amp; Distribution by Fund Information </t>
  </si>
  <si>
    <t>*You may choose to complete the Governmental Funds &amp; Conversion before starting the Enterprise/Internal Funds</t>
  </si>
  <si>
    <t>STEP 12: ENTERPRISE FUNDS &amp; NONMAJOR ENTERPRISE FUNDS*</t>
  </si>
  <si>
    <t xml:space="preserve">    Utility systems capital assets (I.e. transmission/distribution, source of supply, pumping plant, treatment</t>
  </si>
  <si>
    <t xml:space="preserve">    plant &amp; general plant) are considered to be infrastructure when completing the AFR.</t>
  </si>
  <si>
    <t xml:space="preserve">    On page 18 separate the current portion of long-term liabilities.</t>
  </si>
  <si>
    <t>STEP 13: INTERNAL SERVICE FUNDS*</t>
  </si>
  <si>
    <t>STEP 14: TRANSFER ENTERPRISE FUND INFORMATION TO PAGE 14</t>
  </si>
  <si>
    <t>Page 14: Transfer the Enterprise revenues and expense information from page 19 to page 14.</t>
  </si>
  <si>
    <t>STEP 15: COMPLETE THE SCHEDULE OF CASH AND CASH RECONCILIATION</t>
  </si>
  <si>
    <t xml:space="preserve">STEP 17: COMPLETE ALL OTHER REQUIRED SECTIONS </t>
  </si>
  <si>
    <t>Complete the MD&amp;A, General Statistics, Letter of Transmittal, Elected Officials Page.</t>
  </si>
  <si>
    <t>Conversion, and Analysis Worksheets:</t>
  </si>
  <si>
    <t xml:space="preserve">4.  Contracts, notes, or loans </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</si>
  <si>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</si>
  <si>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</si>
  <si>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</si>
  <si>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</si>
  <si>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</si>
  <si>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</si>
  <si>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</si>
  <si>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</si>
  <si>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</si>
  <si>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</si>
  <si>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</si>
  <si>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</si>
  <si>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</si>
  <si>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</si>
  <si>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</si>
  <si>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</si>
  <si>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</si>
  <si>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</si>
  <si>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</si>
  <si>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</si>
  <si>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</si>
  <si>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</si>
  <si>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</si>
  <si>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</si>
  <si>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</si>
  <si>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</si>
  <si>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</si>
  <si>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</si>
  <si>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</si>
  <si>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</si>
  <si>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</si>
  <si>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</si>
  <si>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</si>
  <si>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Amounts reported as program revenues include: 1) charges to customers for goods, services, or privileges provided, 2) operating grants and</t>
  </si>
  <si>
    <t xml:space="preserve">    Statement of Revenues, Expenditures and Changes in Fund Balance - Budget and</t>
  </si>
  <si>
    <t>contributions, and 3) capital grants and contributions, including special assessments.  Internally dedicated resources are reported as general</t>
  </si>
  <si>
    <t>available only when cash is received by the government.  Taxes and assessments receivable remaining uncollected at year end are offset by</t>
  </si>
  <si>
    <t>General Fund - This is the government's primary operating fund.  It accounts for all financial resources of the general government,</t>
  </si>
  <si>
    <t>The government reports the following major governmental funds:</t>
  </si>
  <si>
    <t>The government reports the following major proprietary funds:</t>
  </si>
  <si>
    <t>except those required to be accounted for in another fund.</t>
  </si>
  <si>
    <t>Additionally, the government reports the following fund types:</t>
  </si>
  <si>
    <t>Measurement focus, basis of accounting, and financial statement presentation - cont.</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</si>
  <si>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</si>
  <si>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</si>
  <si>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</si>
  <si>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</si>
  <si>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</si>
  <si>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</si>
  <si>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</si>
  <si>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</si>
  <si>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</si>
  <si>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</si>
  <si>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</si>
  <si>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</si>
  <si>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</si>
  <si>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</si>
  <si>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</si>
  <si>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</si>
  <si>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</si>
  <si>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</si>
  <si>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</si>
  <si>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</si>
  <si>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</si>
  <si>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</si>
  <si>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</si>
  <si>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</si>
  <si>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</si>
  <si>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</si>
  <si>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</si>
  <si>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</si>
  <si>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</si>
  <si>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</si>
  <si>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</si>
  <si>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</si>
  <si>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</si>
  <si>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</si>
  <si>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</si>
  <si>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</si>
  <si>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</si>
  <si>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</si>
  <si>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</si>
  <si>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</si>
  <si>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</si>
  <si>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</si>
  <si>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</si>
  <si>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</si>
  <si>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</si>
  <si>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</si>
  <si>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</si>
  <si>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</si>
  <si>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</si>
  <si>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</si>
  <si>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</si>
  <si>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</si>
  <si>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</si>
  <si>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</si>
  <si>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</si>
  <si>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</si>
  <si>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</si>
  <si>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</si>
  <si>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</si>
  <si>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</si>
  <si>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</si>
  <si>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</si>
  <si>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</si>
  <si>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Interest paid on debt</t>
  </si>
  <si>
    <t xml:space="preserve">    Notes to the Financial Statements ………………………………………………………………………………..</t>
  </si>
  <si>
    <t xml:space="preserve">       General Fund ……………………………………………………………………………………………………..</t>
  </si>
  <si>
    <t>revenues rather than as program revenues.  Likewise, general revenues include all taxes.</t>
  </si>
  <si>
    <t>OPEB Liability</t>
  </si>
  <si>
    <t xml:space="preserve">   AMORTIZATION/ALLOW. FOR DEPRECIATION</t>
  </si>
  <si>
    <t>County Clerk and Recorder or City/Town Clerk-Treasurer</t>
  </si>
  <si>
    <t>Respectfully submitted;</t>
  </si>
  <si>
    <t xml:space="preserve">Outstanding as of </t>
  </si>
  <si>
    <t>.</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</si>
  <si>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</si>
  <si>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</si>
  <si>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</si>
  <si>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</si>
  <si>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</si>
  <si>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</si>
  <si>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</si>
  <si>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</si>
  <si>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</si>
  <si>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</si>
  <si>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</si>
  <si>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</si>
  <si>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</si>
  <si>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</si>
  <si>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</si>
  <si>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</si>
  <si>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</si>
  <si>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</si>
  <si>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</si>
  <si>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</si>
  <si>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</si>
  <si>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</si>
  <si>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</si>
  <si>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</si>
  <si>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</si>
  <si>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</si>
  <si>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</si>
  <si>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</si>
  <si>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</si>
  <si>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</si>
  <si>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</si>
  <si>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</si>
  <si>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</si>
  <si>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</si>
  <si>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</si>
  <si>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</si>
  <si>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t>
  </si>
  <si>
    <t xml:space="preserve">      Actual - Permanent Funds ………………………………………………………………………………………..</t>
  </si>
  <si>
    <t>(Note: The following note disclosure should be modified, as appropriate, to correctly describe the local government's</t>
  </si>
  <si>
    <t>Post Employment Benefits Other Than Pensions (OPEB)</t>
  </si>
  <si>
    <t xml:space="preserve">OPEB is considered to be a long-term liability and is recorded on the modified accrual basis for governmental funds, </t>
  </si>
  <si>
    <t>until the retiree becomes eligible for Medicare coverage. To continue this health insurance coverage, the retirees are</t>
  </si>
  <si>
    <t>rates to retirees as it pays for its active employees, nor does it require that the City pay any portion of the retiree</t>
  </si>
  <si>
    <t>premiums. Premium rates and healthcare benefits may be administratively altered at the end of any contract year.</t>
  </si>
  <si>
    <t>premium on a "pay-as-you-go" basis.</t>
  </si>
  <si>
    <t>OR</t>
  </si>
  <si>
    <t>insured purchase a commercial group insurance plan, belong to MACO Health Care Trust, etc.)</t>
  </si>
  <si>
    <t>plan. The "Plan Description" portion of this illustration will need to be modified for local governments that are self-</t>
  </si>
  <si>
    <t>that does not cover all of the related healthcare costs. This results in an OPEB referred to as an "implicit rate subsidy."</t>
  </si>
  <si>
    <t>OPEB Continued:</t>
  </si>
  <si>
    <t>OTHER POST EMPLOYMENT BENEFITS (OPEB) NOTE DISCLOSURE</t>
  </si>
  <si>
    <t>unfunded actuarial liabilities over a period not to exceed 30 years.</t>
  </si>
  <si>
    <t>Annual OPEB Cost</t>
  </si>
  <si>
    <t>Annual Required Contributions (ARC) as of June 30, 20___</t>
  </si>
  <si>
    <t>Interest on Net OPEB Obligation</t>
  </si>
  <si>
    <t>Amortization Factor</t>
  </si>
  <si>
    <t>ARC Adjustments</t>
  </si>
  <si>
    <t>Annual OPEB Cost (Expense)</t>
  </si>
  <si>
    <t>Contributions Made</t>
  </si>
  <si>
    <t>% of Annual OPEB Cost Contributed</t>
  </si>
  <si>
    <r>
      <t>Funded Status</t>
    </r>
    <r>
      <rPr>
        <sz val="10"/>
        <rFont val="Arial"/>
        <family val="2"/>
      </rPr>
      <t xml:space="preserve"> </t>
    </r>
    <r>
      <rPr>
        <i/>
        <sz val="10"/>
        <rFont val="Arial"/>
        <family val="2"/>
      </rPr>
      <t>(Note: This example assumes no funding of the liability. Adjust as necessary.)</t>
    </r>
  </si>
  <si>
    <t>Actuarial Valuation Date</t>
  </si>
  <si>
    <t>Actuarial Value of Assets</t>
  </si>
  <si>
    <t>Actuarial Accrued Liability (AAL)</t>
  </si>
  <si>
    <t>Unfunded Actuarial Accrued Liability (UAAL)</t>
  </si>
  <si>
    <t>Funded Ratio</t>
  </si>
  <si>
    <t>Annual Covered Payroll</t>
  </si>
  <si>
    <t>Ratio of UAAL to Annual Covered Payroll</t>
  </si>
  <si>
    <t>a level of funding that, if paid on an ongoing basis, is projected to cover the normal cost each year and amortize any</t>
  </si>
  <si>
    <r>
      <t xml:space="preserve">Actuarial Methods and Assumptions: </t>
    </r>
    <r>
      <rPr>
        <sz val="10"/>
        <rFont val="Arial"/>
        <family val="2"/>
      </rPr>
      <t>Actuarial valuations involve estimates of the value of reported amounts and</t>
    </r>
  </si>
  <si>
    <t>assumptions about the probability of events far into the future. As such, actuarially determined amounts are subject</t>
  </si>
  <si>
    <t>to continual revision as actual results are compared to past expectations and new estimates are made about the future.</t>
  </si>
  <si>
    <t xml:space="preserve">Actuarial calculations reflect a long-term perspective. Consistent with that perspective, actuarial methods and </t>
  </si>
  <si>
    <t xml:space="preserve">assumptions used include techniques that are designed to reduce short-term volatility in actuarial accrued liabilities </t>
  </si>
  <si>
    <t>(AAL) and the actuarial value of assets.</t>
  </si>
  <si>
    <t>Calculations are based on the types of benefits provided under the terms of substantive plan (the plan terms as</t>
  </si>
  <si>
    <t xml:space="preserve">understood by the City/Town and plan members) at the time of the Fiscal Year _____ actuarial valuation and on the </t>
  </si>
  <si>
    <t>pattern of sharing of costs between the City/Town and plan members to that point. The projection of benefits for financial</t>
  </si>
  <si>
    <t xml:space="preserve">reporting purposes does not explicitly incorporate the potential effects of legal or contractual fund limitations on the </t>
  </si>
  <si>
    <t>pattern of cost sharing between the employer and plan members in the future.</t>
  </si>
  <si>
    <r>
      <t xml:space="preserve">Actuarial methods and significant assumptions used: </t>
    </r>
    <r>
      <rPr>
        <i/>
        <sz val="10"/>
        <rFont val="Arial"/>
        <family val="2"/>
      </rPr>
      <t>(disclose items with * only if applicable)</t>
    </r>
  </si>
  <si>
    <t>Actuarial cost method:</t>
  </si>
  <si>
    <t>Method(s) used to determine the actuarial value of assets</t>
  </si>
  <si>
    <t xml:space="preserve">    (N/A if OPEB not funded):</t>
  </si>
  <si>
    <t>Inflation rate:</t>
  </si>
  <si>
    <t>Investment return:</t>
  </si>
  <si>
    <t>Participation rate:</t>
  </si>
  <si>
    <t>Post-retirement benefit increases:</t>
  </si>
  <si>
    <t>Projected salary increases:</t>
  </si>
  <si>
    <t>Healthcare cost trend rate (include different rates for successive</t>
  </si>
  <si>
    <t xml:space="preserve">     year, if applicable)</t>
  </si>
  <si>
    <t>Amortization method (level dollar or level percentage or</t>
  </si>
  <si>
    <t xml:space="preserve">     projected payroll):</t>
  </si>
  <si>
    <t>Amortization period and basis (e.g. 30 years; open OR closed):</t>
  </si>
  <si>
    <t>The required Schedule of Funding Progress immediately following the notes to the financial statement is designed</t>
  </si>
  <si>
    <t>to present multiyear trend information about whether the actuarial value of plan assets is increasing or decreasing over</t>
  </si>
  <si>
    <t>time relative to the actuarial accrued liability for benefits.</t>
  </si>
  <si>
    <t>Note: If the Alternative Measurement Method has been used, that fact should be disclosed, along with the source</t>
  </si>
  <si>
    <t>or basis of all significant assumptions or methods selected.</t>
  </si>
  <si>
    <t>REQUIRED SUPPLEMENTARY INFORMATION</t>
  </si>
  <si>
    <t>OTHER POST EMPLOYMENT BENEFITS PLAN</t>
  </si>
  <si>
    <t>RETIREE HEALTH INSURANCE</t>
  </si>
  <si>
    <t>SCHEDULE OF FUNDING PROGRESS</t>
  </si>
  <si>
    <t>Actuarial Accrued Liability</t>
  </si>
  <si>
    <t>FY20__</t>
  </si>
  <si>
    <t>information from only one actuarial valuation is available. As additional actuarial valuations are performed, this</t>
  </si>
  <si>
    <t xml:space="preserve">Schedule will be expanded to include information for the most recent and two preceding valuations, and will </t>
  </si>
  <si>
    <t>include disclosure of any factors that significantly affect the identification of trends in the amounts reported.</t>
  </si>
  <si>
    <t>The City is required to have biennial OR triennial actuarial valuations.</t>
  </si>
  <si>
    <t xml:space="preserve">* For single-employer or (agent) individual-employer OPEB plans with a total membership of 200 or more an </t>
  </si>
  <si>
    <t>actuarial valuation is required at least triennially.</t>
  </si>
  <si>
    <t>* For single-employer or (agent) individual-employer OPEB plans with a total membership of fewer than 200 an</t>
  </si>
  <si>
    <t>with fewer than 100 total plan members.</t>
  </si>
  <si>
    <t xml:space="preserve">* The Alternative Measurement Method (AMM) may be used if your government is either a sole or agent employer </t>
  </si>
  <si>
    <t>**Plan members are defined as:</t>
  </si>
  <si>
    <t>2. Terminated employees who have accumulated benefits but are not yet receiving them</t>
  </si>
  <si>
    <t>3. Retired employees and beneficiaries currently receiving benefits</t>
  </si>
  <si>
    <t>1. Employees in active service</t>
  </si>
  <si>
    <t>Cell L60</t>
  </si>
  <si>
    <t>Cell H74/H79</t>
  </si>
  <si>
    <t>OPEB. This illustration represents a disclosure for a city or town that participates in the MMIA group health insurance</t>
  </si>
  <si>
    <t>actuarial valuation is required at least biennially.</t>
  </si>
  <si>
    <t>ANNUAL FINANCIAL REPORT FOR THE</t>
  </si>
  <si>
    <t>Or the unused special revenue columns - Do not delete the totals columns as the formulas feed</t>
  </si>
  <si>
    <t>(Enterprise fund debt is not listed on the GLTDAAG, it is recorded in the actual fund.)</t>
  </si>
  <si>
    <t>Internal Balances</t>
  </si>
  <si>
    <t>-</t>
  </si>
  <si>
    <t>Balance check (Should equal zero):</t>
  </si>
  <si>
    <t>Balance check ( should equal zero)</t>
  </si>
  <si>
    <t xml:space="preserve">     IN ACCORDANCE WITH STATE LAW, I HEREBY TRANSMIT THE </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</si>
  <si>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</si>
  <si>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</si>
  <si>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</si>
  <si>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</si>
  <si>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</si>
  <si>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</si>
  <si>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</si>
  <si>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</si>
  <si>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</si>
  <si>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</si>
  <si>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</si>
  <si>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</si>
  <si>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</si>
  <si>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</si>
  <si>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</si>
  <si>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 xml:space="preserve">   Other: (input explanation</t>
  </si>
  <si>
    <t>The Governmental Accounting Standards Board, Statement No. 54, requires presentation of governmental</t>
  </si>
  <si>
    <t xml:space="preserve">fund balances by specific purpose. In the basic financial statements, the fund balance classifications </t>
  </si>
  <si>
    <t>are presented in the aggregate for the following fund  balance classifications: non-spendable, restricted,</t>
  </si>
  <si>
    <t xml:space="preserve">committed, assigned and unassigned. </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</si>
  <si>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</si>
  <si>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</si>
  <si>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</si>
  <si>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</si>
  <si>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</si>
  <si>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</si>
  <si>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</si>
  <si>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</si>
  <si>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</si>
  <si>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</si>
  <si>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</si>
  <si>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</si>
  <si>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</si>
  <si>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</si>
  <si>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</si>
  <si>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 xml:space="preserve">for use in the General fund. The Fund will expend those resources on multiple purposes of the local </t>
  </si>
  <si>
    <t>government. The intention of this spending policy is to identify the expenditure order of resource categories</t>
  </si>
  <si>
    <t>for the General Fund. Resources will be categorized according to Generally Accepted Accounting Principles</t>
  </si>
  <si>
    <t xml:space="preserve">(GAAP) for state and local governments. When both restricted and unrestricted resources are available in the </t>
  </si>
  <si>
    <t>1st:</t>
  </si>
  <si>
    <t>2nd:</t>
  </si>
  <si>
    <t>3rd:</t>
  </si>
  <si>
    <t>4th:</t>
  </si>
  <si>
    <t xml:space="preserve">resources on the specific purpose of the fund. </t>
  </si>
  <si>
    <t xml:space="preserve">for use in the Special Revenue, Debt Service and Capital Projects funds. These funds will expend those </t>
  </si>
  <si>
    <t>The intention of this spending policy is to identify the expenditure order of resource categories for these</t>
  </si>
  <si>
    <t>Funds. Resources will be categorized according to Generally Accepted Accounting Principles</t>
  </si>
  <si>
    <t xml:space="preserve">(GAAP) for state and local governments. When both restricted and unrestricted resources are available in </t>
  </si>
  <si>
    <t>these funds, the following spending policy will apply or the default will apply if a policy has not been adopted:</t>
  </si>
  <si>
    <t xml:space="preserve">General Fund, the following spending policy will apply or the default will apply if a policy has not been adopted: </t>
  </si>
  <si>
    <t>balance policy is applicable).</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</si>
  <si>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</si>
  <si>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</si>
  <si>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</si>
  <si>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</si>
  <si>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</si>
  <si>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</si>
  <si>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</si>
  <si>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</si>
  <si>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</si>
  <si>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</si>
  <si>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</si>
  <si>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</si>
  <si>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</si>
  <si>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</si>
  <si>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</si>
  <si>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</si>
  <si>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</si>
  <si>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</si>
  <si>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</si>
  <si>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</si>
  <si>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</si>
  <si>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</si>
  <si>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</si>
  <si>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</si>
  <si>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</si>
  <si>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</si>
  <si>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</si>
  <si>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</si>
  <si>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</si>
  <si>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</si>
  <si>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</si>
  <si>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</si>
  <si>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</si>
  <si>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</si>
  <si>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fund balances by classification: non-spendable, restricted, committed, assigned or unassigned.</t>
  </si>
  <si>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</si>
  <si>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</si>
  <si>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</si>
  <si>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</si>
  <si>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</si>
  <si>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</si>
  <si>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</si>
  <si>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</si>
  <si>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</si>
  <si>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</si>
  <si>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</si>
  <si>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</si>
  <si>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</si>
  <si>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</si>
  <si>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</si>
  <si>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</si>
  <si>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</si>
  <si>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</si>
  <si>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</si>
  <si>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</si>
  <si>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</si>
  <si>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</si>
  <si>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</si>
  <si>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</si>
  <si>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</si>
  <si>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</si>
  <si>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</si>
  <si>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</si>
  <si>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</si>
  <si>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</si>
  <si>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</si>
  <si>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</si>
  <si>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</si>
  <si>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</si>
  <si>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</si>
  <si>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</si>
  <si>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</si>
  <si>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</si>
  <si>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</si>
  <si>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</si>
  <si>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</si>
  <si>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</si>
  <si>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</si>
  <si>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</si>
  <si>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</si>
  <si>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</si>
  <si>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</si>
  <si>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</si>
  <si>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</si>
  <si>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</si>
  <si>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</si>
  <si>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</si>
  <si>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</si>
  <si>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</si>
  <si>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Invest.</t>
  </si>
  <si>
    <t>Private P.</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</si>
  <si>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</si>
  <si>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</si>
  <si>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</si>
  <si>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</si>
  <si>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</si>
  <si>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</si>
  <si>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</si>
  <si>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</si>
  <si>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</si>
  <si>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</si>
  <si>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</si>
  <si>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</si>
  <si>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</si>
  <si>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</si>
  <si>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</si>
  <si>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</si>
  <si>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</si>
  <si>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</si>
  <si>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</si>
  <si>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</si>
  <si>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</si>
  <si>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</si>
  <si>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</si>
  <si>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</si>
  <si>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</si>
  <si>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</si>
  <si>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</si>
  <si>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</si>
  <si>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</si>
  <si>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</si>
  <si>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</si>
  <si>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</si>
  <si>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r>
      <t>Elected Officials Page:</t>
    </r>
    <r>
      <rPr>
        <sz val="10"/>
        <rFont val="Arial"/>
        <family val="2"/>
      </rPr>
      <t xml:space="preserve"> Complete the appropriate section for your government type</t>
    </r>
  </si>
  <si>
    <t xml:space="preserve">Select &lt;custom header&gt;, when the box opens place  your cursor in the </t>
  </si>
  <si>
    <t xml:space="preserve">&lt;page layout or view (older versions of excel)&gt; click the dialog box launcher (box with arrow), &lt;header and footer&gt; </t>
  </si>
  <si>
    <t>expense by fund for enterprise or by expenditure account type (function) in the governmental funds.</t>
  </si>
  <si>
    <t>- or -</t>
  </si>
  <si>
    <t>The annual required contribution (ARC) was determined by using the alternative measurement method permitted by</t>
  </si>
  <si>
    <t>GASB Statement 45 for employers with fewer than one hundred total plan members. The ARC represents a level of</t>
  </si>
  <si>
    <t>funding that, if paid on an ongoing basis, is projected to cover normal cost each year and to amortize any unfunded</t>
  </si>
  <si>
    <t xml:space="preserve">actuarial liabilities (or funding excess) over a period not to exceed 30 years. </t>
  </si>
  <si>
    <t>Annual Required Contributions:</t>
  </si>
  <si>
    <t>The annual required contribution (ARC), was calculated by using an actuarially determined amount, represents</t>
  </si>
  <si>
    <t>Net OPEB Obligation at beginning of year</t>
  </si>
  <si>
    <t>Action Taken:</t>
  </si>
  <si>
    <t>Source of Restriction:</t>
  </si>
  <si>
    <t>Major Purpose:</t>
  </si>
  <si>
    <t xml:space="preserve"> You may hide the columns you are not using as long as it will not affect the information at the bottom of</t>
  </si>
  <si>
    <t xml:space="preserve">                                                                                                                                                      </t>
  </si>
  <si>
    <t>INVESTMENT IN GENERAL CAPITAL ASSETS</t>
  </si>
  <si>
    <t>Extraordinary items - revenue</t>
  </si>
  <si>
    <t>Specail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</si>
  <si>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</si>
  <si>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</si>
  <si>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</si>
  <si>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</si>
  <si>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</si>
  <si>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</si>
  <si>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</si>
  <si>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</si>
  <si>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</si>
  <si>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</si>
  <si>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 xml:space="preserve">  Transfers</t>
  </si>
  <si>
    <t>Special/      Extra-     ordinary Items</t>
  </si>
  <si>
    <t>Special/Extraordinary items</t>
  </si>
  <si>
    <t xml:space="preserve">  Special/Extraordinary items</t>
  </si>
  <si>
    <t>Gain or Loss on sale of capital assets</t>
  </si>
  <si>
    <t xml:space="preserve">    </t>
  </si>
  <si>
    <t xml:space="preserve">         </t>
  </si>
  <si>
    <r>
      <t>For example - extra major funds on Page 15 and 16 - (</t>
    </r>
    <r>
      <rPr>
        <b/>
        <sz val="9"/>
        <rFont val="Arial"/>
        <family val="2"/>
      </rPr>
      <t>do not delete or hide any totals columns)</t>
    </r>
  </si>
  <si>
    <r>
      <t xml:space="preserve">to other pages!  </t>
    </r>
    <r>
      <rPr>
        <b/>
        <u/>
        <sz val="9"/>
        <rFont val="Arial"/>
        <family val="2"/>
      </rPr>
      <t>Do not add columns or rows!</t>
    </r>
  </si>
  <si>
    <t>Entered into Database</t>
  </si>
  <si>
    <t>Reviewed by System's Staff</t>
  </si>
  <si>
    <t>Prior year:</t>
  </si>
  <si>
    <t>Difference:</t>
  </si>
  <si>
    <t>FOR DEPARTMENT OF ADMINISTRATION USE ONLY</t>
  </si>
  <si>
    <r>
      <t xml:space="preserve">(Before printing the report you may want to </t>
    </r>
    <r>
      <rPr>
        <b/>
        <u/>
        <sz val="9"/>
        <rFont val="Arial"/>
        <family val="2"/>
      </rPr>
      <t>hide</t>
    </r>
    <r>
      <rPr>
        <sz val="9"/>
        <rFont val="Arial"/>
        <family val="2"/>
      </rPr>
      <t xml:space="preserve"> the unused columns on certain worksheets.  </t>
    </r>
  </si>
  <si>
    <t>If you are unsure of the effect - do not delete! Use hide rather than delete.</t>
  </si>
  <si>
    <t>Balance check with page 18:</t>
  </si>
  <si>
    <r>
      <rPr>
        <b/>
        <sz val="10"/>
        <rFont val="Arial"/>
        <family val="2"/>
      </rPr>
      <t>Account Description</t>
    </r>
    <r>
      <rPr>
        <sz val="10"/>
        <rFont val="Arial"/>
        <family val="2"/>
      </rPr>
      <t xml:space="preserve">               </t>
    </r>
    <r>
      <rPr>
        <sz val="9"/>
        <rFont val="Arial"/>
        <family val="2"/>
      </rPr>
      <t>(not full acct #)</t>
    </r>
  </si>
  <si>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</si>
  <si>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</si>
  <si>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</si>
  <si>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</si>
  <si>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</si>
  <si>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Principal on debt (Enter as a negative)</t>
  </si>
  <si>
    <t xml:space="preserve">  Interest paid on debt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</si>
  <si>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</si>
  <si>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</si>
  <si>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</si>
  <si>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</si>
  <si>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</si>
  <si>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</si>
  <si>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</si>
  <si>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</si>
  <si>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</si>
  <si>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</si>
  <si>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</si>
  <si>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</si>
  <si>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</si>
  <si>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</si>
  <si>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</si>
  <si>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</si>
  <si>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</si>
  <si>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</si>
  <si>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</si>
  <si>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</si>
  <si>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The government-wide financial statements (i.e., the statement of net position and the statement of changes in net position) report information</t>
  </si>
  <si>
    <t>Explanation of certain differences between the governmental fund balance sheet and the government-wide statement of net position</t>
  </si>
  <si>
    <t>The governmental fund balance sheet includes a reconciliation between fund balance - total governmental funds and net position - governmental</t>
  </si>
  <si>
    <t>fund balances - total governmental funds and changes in net position of governmental activities as reported in the government-wide statement of</t>
  </si>
  <si>
    <t xml:space="preserve">net position.  </t>
  </si>
  <si>
    <t>and on the accrual basis for proprietary funds and the Government-wide Statements of Net Position and Activities.</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</si>
  <si>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</si>
  <si>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</si>
  <si>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</si>
  <si>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</si>
  <si>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</si>
  <si>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</si>
  <si>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</si>
  <si>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2013</t>
  </si>
  <si>
    <t>DEPR. FYE 2014</t>
  </si>
  <si>
    <t>DEPR. FYE 2015</t>
  </si>
  <si>
    <t>DEPR. FYE 2016</t>
  </si>
  <si>
    <t>DEPR. FYE 2017</t>
  </si>
  <si>
    <t>DEPR. FYE 2018</t>
  </si>
  <si>
    <t>FYE 2013</t>
  </si>
  <si>
    <t>FYE 2014</t>
  </si>
  <si>
    <t>FYE 2015</t>
  </si>
  <si>
    <t>FYE 2016</t>
  </si>
  <si>
    <t>FYE 2017</t>
  </si>
  <si>
    <t>Pages 18-20 - Major Enterprise Funds: Complete the Statement of Net Position, Statement of Revenues,</t>
  </si>
  <si>
    <t>Expenses and Changes in Net Position and then the Cash Flow.</t>
  </si>
  <si>
    <t>Expenses and Changes in Net Position and then the Cash Flow if applicable.</t>
  </si>
  <si>
    <t>The Total Net Position for the Enterprise Funds should balance on page 13, 14, 18 and 19</t>
  </si>
  <si>
    <t>Change in Net Position on Page 19 should balance with the change in net position on page 14</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</si>
  <si>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</si>
  <si>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</si>
  <si>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</si>
  <si>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</si>
  <si>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</si>
  <si>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</si>
  <si>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</si>
  <si>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</si>
  <si>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</si>
  <si>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</si>
  <si>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</si>
  <si>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</si>
  <si>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repayment reduces long-term debt in the Statement of Net Position:</t>
  </si>
  <si>
    <t xml:space="preserve">  Change in net position of business-type activities</t>
  </si>
  <si>
    <t>Assets, liabilities, and net position or equity - cont.</t>
  </si>
  <si>
    <t>net position.  Bond premiums and discounts, as well as issuance costs, are deferred and amortized over the life of the bond issue using the</t>
  </si>
  <si>
    <t>Explanation of certain differences between the proprietary fund statement of net position and the government-wide statement of</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</si>
  <si>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
    </r>
  </si>
  <si>
    <t>Add change in net position of internal service funds applicable to governmental activities</t>
  </si>
  <si>
    <t xml:space="preserve">Net Investment in Capital Assets </t>
  </si>
  <si>
    <t>Net Investmentment in Capital Assets</t>
  </si>
  <si>
    <t>Net Investment in capital assets</t>
  </si>
  <si>
    <t>Net Investment in Capital assets</t>
  </si>
  <si>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"State Treasurer" in the amount of the required fee.</t>
    </r>
  </si>
  <si>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</si>
  <si>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</si>
  <si>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</si>
  <si>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</si>
  <si>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</si>
  <si>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</si>
  <si>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</si>
  <si>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</si>
  <si>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</si>
  <si>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</si>
  <si>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</si>
  <si>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</si>
  <si>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</si>
  <si>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</si>
  <si>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</si>
  <si>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</si>
  <si>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</si>
  <si>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</si>
  <si>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</si>
  <si>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</si>
  <si>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</si>
  <si>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</si>
  <si>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</si>
  <si>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</si>
  <si>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</si>
  <si>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STEP 1: Complete the GCAAG and GLTDAAG</t>
  </si>
  <si>
    <t>Use your Depreciation Schedule to complete the GCAAG (Enterprise fund capital assets are not listed on GCAAG)</t>
  </si>
  <si>
    <t xml:space="preserve">Depreciation information will transfer from the GCAAG. Input Compensated absences info from GLTDAAG </t>
  </si>
  <si>
    <r>
      <t>Remove the sale of capital assets. Add changes to capital assets.</t>
    </r>
    <r>
      <rPr>
        <u/>
        <sz val="10"/>
        <rFont val="Arial"/>
        <family val="2"/>
      </rPr>
      <t xml:space="preserve"> The balance check at the bottom should be 0.</t>
    </r>
  </si>
  <si>
    <t xml:space="preserve">As required by State law, the Local Government allows for employees to accumulate earned but unused vacation and sick leave benefits.   </t>
  </si>
  <si>
    <t>The Local Government adopts an annual budget for all of its funds in accordance with Title 7, Chapter 6, Part 40 of the Montana Code</t>
  </si>
  <si>
    <t>The Local Government has assumed the following long-term debt:</t>
  </si>
  <si>
    <t>The following represents property owned by the Local Government which is leased to other governments, organizations, or</t>
  </si>
  <si>
    <t>The Local Government allows its retired employees to continue to participate in its group health insurance plan at a premium rate</t>
  </si>
  <si>
    <t>required to pay the full amount of their premium. State law does not require that the Local Government provide the same premium</t>
  </si>
  <si>
    <t xml:space="preserve">Funding Policy: The plan is unfunded by the Local Government, and retirees receiving benefits contribute 100% of their </t>
  </si>
  <si>
    <t xml:space="preserve">For the current fiscal year, premiums for the Local Government's retirees and active employees were at the same rate, and </t>
  </si>
  <si>
    <t>eligible spouses and dependents, the option ton continue to participate in the Local Government's group health insurance plan</t>
  </si>
  <si>
    <t>The Local Government receives inflows from revenue and other financial sources from numerous sources</t>
  </si>
  <si>
    <r>
      <t xml:space="preserve">The Local Government has/or does not have a minimum fund balance policy in place. </t>
    </r>
    <r>
      <rPr>
        <i/>
        <sz val="10"/>
        <rFont val="Arial"/>
        <family val="2"/>
      </rPr>
      <t>(Describe the fund</t>
    </r>
  </si>
  <si>
    <r>
      <t xml:space="preserve">Note: </t>
    </r>
    <r>
      <rPr>
        <sz val="10"/>
        <rFont val="Arial"/>
        <family val="2"/>
      </rPr>
      <t>The Local Government implemented GASB Statement 45 for the fiscal year ending June 30, 20___. As such,</t>
    </r>
  </si>
  <si>
    <t>budget by the later of the first Thursday after the first Tuesday in September or within 30 calendar days of the receipt of the certified taxable</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</si>
  <si>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</si>
  <si>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</si>
  <si>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</si>
  <si>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</si>
  <si>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</si>
  <si>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</si>
  <si>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</si>
  <si>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</si>
  <si>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</si>
  <si>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Filing Fee Form - auto calculates if using the spreadsheet </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</si>
  <si>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</si>
  <si>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</si>
  <si>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</si>
  <si>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</si>
  <si>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</si>
  <si>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</si>
  <si>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</si>
  <si>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The Government-Wide Statements must be included and balanced</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</si>
  <si>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</si>
  <si>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</si>
  <si>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</si>
  <si>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</si>
  <si>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</si>
  <si>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</si>
  <si>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</si>
  <si>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</si>
  <si>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</si>
  <si>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</si>
  <si>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</si>
  <si>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</si>
  <si>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</si>
  <si>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</si>
  <si>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</si>
  <si>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</si>
  <si>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</si>
  <si>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</si>
  <si>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</si>
  <si>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 xml:space="preserve">   budget by fund, description of prior period adjustments, fund balance classifications, OBEP</t>
  </si>
  <si>
    <t>Other Information Required:</t>
  </si>
  <si>
    <r>
      <t xml:space="preserve">A schedule of </t>
    </r>
    <r>
      <rPr>
        <b/>
        <sz val="12"/>
        <rFont val="Arial"/>
        <family val="2"/>
      </rPr>
      <t>intergovernmental revenues</t>
    </r>
    <r>
      <rPr>
        <sz val="12"/>
        <rFont val="Arial"/>
        <family val="2"/>
      </rPr>
      <t xml:space="preserve"> must be included that details all intergovernmental revenues</t>
    </r>
  </si>
  <si>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</si>
  <si>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</si>
  <si>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</si>
  <si>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</si>
  <si>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r>
      <t xml:space="preserve">A </t>
    </r>
    <r>
      <rPr>
        <b/>
        <sz val="12"/>
        <rFont val="Arial"/>
        <family val="2"/>
      </rPr>
      <t>cash reconciliation</t>
    </r>
    <r>
      <rPr>
        <sz val="12"/>
        <rFont val="Arial"/>
        <family val="2"/>
      </rPr>
      <t xml:space="preserve"> report by cash, cash equivalents and investments that reconciles to the cash</t>
    </r>
  </si>
  <si>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</si>
  <si>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</si>
  <si>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</si>
  <si>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</si>
  <si>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</si>
  <si>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</si>
  <si>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</si>
  <si>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</si>
  <si>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</si>
  <si>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</si>
  <si>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 xml:space="preserve">        *Total cash must agree with total cash reported within report</t>
  </si>
  <si>
    <t>CONVERSION</t>
  </si>
  <si>
    <t>Deferred Inflows of Tax Resources</t>
  </si>
  <si>
    <t>FILING FEE FORM:</t>
  </si>
  <si>
    <t>The self-calculating filing fee form after the cover page</t>
  </si>
  <si>
    <t>BALANCE CHECK PAGE:</t>
  </si>
  <si>
    <t xml:space="preserve">  enter revenues and expenditures</t>
  </si>
  <si>
    <t xml:space="preserve">  by fund. Enter the assets + deferred outflows and liabilities + deferred inflows from the trial balance, </t>
  </si>
  <si>
    <t xml:space="preserve">  Examples are: depreciation, compensated absences, long-term debt, revenue &amp; expenditure recognition requirements</t>
  </si>
  <si>
    <t>box will appear with options. Left click on hide.</t>
  </si>
  <si>
    <t>To unhide a column - use the same steps as above and click on unhide.</t>
  </si>
  <si>
    <r>
      <rPr>
        <b/>
        <sz val="10"/>
        <rFont val="Arial"/>
        <family val="2"/>
      </rPr>
      <t>To hide a column</t>
    </r>
    <r>
      <rPr>
        <sz val="10"/>
        <rFont val="Arial"/>
        <family val="2"/>
      </rPr>
      <t xml:space="preserve"> - right click on the column, it will become highlighted and a drop-down</t>
    </r>
  </si>
  <si>
    <r>
      <rPr>
        <b/>
        <sz val="10"/>
        <rFont val="Arial"/>
        <family val="2"/>
      </rPr>
      <t xml:space="preserve">To hide workbook tabs </t>
    </r>
    <r>
      <rPr>
        <sz val="10"/>
        <rFont val="Arial"/>
        <family val="2"/>
      </rPr>
      <t>you aren't using - right click on the tab name at the bottom of the workbook</t>
    </r>
  </si>
  <si>
    <t>Other Information - Filing Fee Form, Worksheet Protection &amp; Hiding Columns/Pages:</t>
  </si>
  <si>
    <t>Are the Government-wide Statements included and in balance?</t>
  </si>
  <si>
    <t>Is the report in balance per fund, by fund type and in total?</t>
  </si>
  <si>
    <t>Are the notes to the financial statements included?</t>
  </si>
  <si>
    <t>Is the filing fee form completed and the filing fee included if applicable?</t>
  </si>
  <si>
    <t xml:space="preserve">COMPLETE YEAR-END CLOSING/ADJUSTMENTS BEFORE STARTING THE ANNUAL FINANCIAL REPORT </t>
  </si>
  <si>
    <t>FYE 2018</t>
  </si>
  <si>
    <t>FYE 2019</t>
  </si>
  <si>
    <t>FYE 2020</t>
  </si>
  <si>
    <t>FYE 2021</t>
  </si>
  <si>
    <t>DEPR. PRIOR TO FYE 2013</t>
  </si>
  <si>
    <t>DEPR. FYE 2019</t>
  </si>
  <si>
    <t>DEPR. FYE 2020</t>
  </si>
  <si>
    <t>DEPR. FYE 2021</t>
  </si>
  <si>
    <t>GENERAL/GOV</t>
  </si>
  <si>
    <t>#</t>
  </si>
  <si>
    <t>rec type</t>
  </si>
  <si>
    <t>business_unit</t>
  </si>
  <si>
    <t>ledger</t>
  </si>
  <si>
    <t>account</t>
  </si>
  <si>
    <t>altacct</t>
  </si>
  <si>
    <t>deptid</t>
  </si>
  <si>
    <t>operating_unit</t>
  </si>
  <si>
    <t>product</t>
  </si>
  <si>
    <t>fund_code</t>
  </si>
  <si>
    <t>class_fld</t>
  </si>
  <si>
    <t>program_code</t>
  </si>
  <si>
    <t>budget_ref</t>
  </si>
  <si>
    <t>affiliate</t>
  </si>
  <si>
    <t>affiliate_intra1</t>
  </si>
  <si>
    <t>affiliate_intra2</t>
  </si>
  <si>
    <t>chartfield1</t>
  </si>
  <si>
    <t>chartfield2</t>
  </si>
  <si>
    <t>chartfield3</t>
  </si>
  <si>
    <t>project_id</t>
  </si>
  <si>
    <t>book_code</t>
  </si>
  <si>
    <t>gl_adjust_type</t>
  </si>
  <si>
    <t>currency_cd</t>
  </si>
  <si>
    <t>statistics_code</t>
  </si>
  <si>
    <t>fiscal_year</t>
  </si>
  <si>
    <t>accounting_period</t>
  </si>
  <si>
    <t>posted_total_amt</t>
  </si>
  <si>
    <t>posted_base_amt</t>
  </si>
  <si>
    <t>posted_tran_amt</t>
  </si>
  <si>
    <t>Ledger</t>
  </si>
  <si>
    <t>County Code</t>
  </si>
  <si>
    <t>Fund Code</t>
  </si>
  <si>
    <t>Expenditure Object</t>
  </si>
  <si>
    <t>County, City, or Town ID</t>
  </si>
  <si>
    <t>Currency</t>
  </si>
  <si>
    <t>Fiscal Year</t>
  </si>
  <si>
    <t>Accounting Period</t>
  </si>
  <si>
    <r>
      <t xml:space="preserve">AN EXAMPLE IS BELOW.  </t>
    </r>
    <r>
      <rPr>
        <b/>
        <sz val="10"/>
        <color indexed="10"/>
        <rFont val="Myriad Web"/>
        <family val="2"/>
      </rPr>
      <t>START ENTERING DATA ON LINE 6.</t>
    </r>
  </si>
  <si>
    <t>NOTE:  COLUMNS A and B MUST BOTH HAVE AN S IN THEM.</t>
  </si>
  <si>
    <t>S</t>
  </si>
  <si>
    <t>LOCAL</t>
  </si>
  <si>
    <t>311000</t>
  </si>
  <si>
    <t>012501</t>
  </si>
  <si>
    <t>1000</t>
  </si>
  <si>
    <t>100</t>
  </si>
  <si>
    <t>010101</t>
  </si>
  <si>
    <t>USD</t>
  </si>
  <si>
    <t>Revenues collected in advance</t>
  </si>
  <si>
    <t xml:space="preserve">  Revenues collected in advance</t>
  </si>
  <si>
    <t>Formulas to assist with SABHRS Ledger Load:</t>
  </si>
  <si>
    <t>Fiscal Year:</t>
  </si>
  <si>
    <t>DATE</t>
  </si>
  <si>
    <t>FY</t>
  </si>
  <si>
    <t>Fiscal year ending June 30, 2013</t>
  </si>
  <si>
    <t>Fiscal year ending June 30, 2014</t>
  </si>
  <si>
    <t>Fiscal year ending June 30, 2015</t>
  </si>
  <si>
    <t>Fiscal year ending June 30, 2016</t>
  </si>
  <si>
    <t>Fiscal year ending June 30, 2017</t>
  </si>
  <si>
    <t>Fiscal year ending June 30, 2018</t>
  </si>
  <si>
    <t>Fiscal year ending June 30, 2020</t>
  </si>
  <si>
    <t>Fiscal year ending June 30, 2021</t>
  </si>
  <si>
    <t>Fiscal year ending June 30, 2022</t>
  </si>
  <si>
    <t>Fiscal year ending June 30, 2023</t>
  </si>
  <si>
    <t>Fiscal year ending June 30, 2024</t>
  </si>
  <si>
    <t>Fiscal year ending June 30, 2025</t>
  </si>
  <si>
    <t>Fiscal year ending June 30, 2026</t>
  </si>
  <si>
    <t>Fiscal year ending June 30, 2027</t>
  </si>
  <si>
    <t>Fiscal year ending June 30, 2019</t>
  </si>
  <si>
    <t>Fiscal year ending June 30, 2028</t>
  </si>
  <si>
    <t>Fiscal year ending June 30, 2029</t>
  </si>
  <si>
    <t>Fiscal year ending June 30, 2030</t>
  </si>
  <si>
    <t>Fiscal year ending June 30, 2031</t>
  </si>
  <si>
    <t>Fiscal year ending June 30, 2032</t>
  </si>
  <si>
    <t>Fiscal year ending June 30, 2033</t>
  </si>
  <si>
    <t>Fiscal year ending June 30, 2034</t>
  </si>
  <si>
    <t>Fiscal year ending June 30, 2035</t>
  </si>
  <si>
    <t>Fiscal year ending June 30, 2036</t>
  </si>
  <si>
    <t>Fiscal year ending June 30, 2037</t>
  </si>
  <si>
    <t>Fiscal year ending June 30, 2038</t>
  </si>
  <si>
    <t>Fiscal year ending June 30, 2039</t>
  </si>
  <si>
    <t>Major Fund 1:</t>
  </si>
  <si>
    <t>Major Fund 2:</t>
  </si>
  <si>
    <t>Major Fund 3:</t>
  </si>
  <si>
    <t>Major Fund 4:</t>
  </si>
  <si>
    <t>Major Fund 5:</t>
  </si>
  <si>
    <t>Major Fund 6:</t>
  </si>
  <si>
    <t>Major Fund 7:</t>
  </si>
  <si>
    <t>Fund #2000</t>
  </si>
  <si>
    <t>Fund #3000</t>
  </si>
  <si>
    <t>Fund #4000</t>
  </si>
  <si>
    <t>Fund #8000</t>
  </si>
  <si>
    <t>Fund #1000</t>
  </si>
  <si>
    <t>Balance Sheet (Pg15):</t>
  </si>
  <si>
    <t>Rev, Exp, Statement of Activities (Pgs41,44)</t>
  </si>
  <si>
    <t>Major Fund #1 - Pg 15 Col E; Pg 41 Col E; Pg 44 Col E</t>
  </si>
  <si>
    <t>x</t>
  </si>
  <si>
    <t>Major Fund #2 - P5 15 Col F; Pg 41 &amp; 44 Col I</t>
  </si>
  <si>
    <t>Major Fund #3: B46; Pag 15 Col G; Pg 41 &amp; 44</t>
  </si>
  <si>
    <t>Major Fund #4: B47, Page 15 Col H; Pg 41 &amp; 44 Col Q</t>
  </si>
  <si>
    <t>Major Fund #5: B48; Page 15 Col I; Pg 41 &amp; 44 Col U</t>
  </si>
  <si>
    <t>Major Fund #6: B49; Pg 15 Col J; Pg 41 &amp; 44 Col Y</t>
  </si>
  <si>
    <t>Major Fund #7: B50; Pg 15 Col K; Pg 41 &amp; 44 Col AC</t>
  </si>
  <si>
    <t>Total of Major Funds</t>
  </si>
  <si>
    <t>STATEMENT OF CHANGES IN GOVERNMENTAL FUNDS LONG-TERM DEBT</t>
  </si>
  <si>
    <t>GOVERNMENTAL FUNDS CAPITAL ASSETS/DEPRECIATION</t>
  </si>
  <si>
    <t>22xxxx</t>
  </si>
  <si>
    <t>Revenues Collected in Advance</t>
  </si>
  <si>
    <t>(Disclose here any element of that reconciliation which may require further analysis for the reader to understand)</t>
  </si>
  <si>
    <t xml:space="preserve">activities as reported in the government-wide statement of net position.  </t>
  </si>
  <si>
    <t xml:space="preserve">activities.  </t>
  </si>
  <si>
    <r>
      <t>type activities</t>
    </r>
    <r>
      <rPr>
        <sz val="10"/>
        <rFont val="Arial"/>
        <family val="2"/>
      </rPr>
      <t xml:space="preserve"> as reported in the government-wide statement of net position. </t>
    </r>
  </si>
  <si>
    <t>valuations from the Department of Revenue.  The Local Government must also submit a copy of the final budget to  the Department of</t>
  </si>
  <si>
    <t xml:space="preserve">Administration by the later of October 1 or 60 days after the receipt of taxable values from the Department of Revenue.  </t>
  </si>
  <si>
    <t>Interfund receivables and payables</t>
  </si>
  <si>
    <t>The due from/advance from other funds and due to/advance to other funds consist(s) of the following:</t>
  </si>
  <si>
    <t>Account Number 131XXX/133XXX</t>
  </si>
  <si>
    <t>Account 211XXX/233XXX</t>
  </si>
  <si>
    <t>The Local Government leases facilities and equipment under noncancelable operating lease arrangements.  Total</t>
  </si>
  <si>
    <t>lease payments for these leases are as follows:</t>
  </si>
  <si>
    <t xml:space="preserve">costs of the leases for the fiscal year ended June 30, 20___ were $_______ for the year.  The future minimum </t>
  </si>
  <si>
    <t>During the current fiscal year, adjustments relating to prior year's transactions were made to the fund balance and net position accounts.</t>
  </si>
  <si>
    <t xml:space="preserve">Accounts receivables are shown net of allowance for uncollectibles.  Property tax receivables are offset by a deferred inflow account since </t>
  </si>
  <si>
    <t>Beaverhead County</t>
  </si>
  <si>
    <t>010201</t>
  </si>
  <si>
    <t>Big Horn County</t>
  </si>
  <si>
    <t>010301</t>
  </si>
  <si>
    <t>Blaine County</t>
  </si>
  <si>
    <t>010401</t>
  </si>
  <si>
    <t>Broadwater County</t>
  </si>
  <si>
    <t>010501</t>
  </si>
  <si>
    <t>Carbon County</t>
  </si>
  <si>
    <t>010601</t>
  </si>
  <si>
    <t>Carter County</t>
  </si>
  <si>
    <t>010701</t>
  </si>
  <si>
    <t>Cascade County</t>
  </si>
  <si>
    <t>Cascade</t>
  </si>
  <si>
    <t>010801</t>
  </si>
  <si>
    <t>Chouteau County</t>
  </si>
  <si>
    <t>010901</t>
  </si>
  <si>
    <t>Custer County</t>
  </si>
  <si>
    <t>011001</t>
  </si>
  <si>
    <t>Daniels County</t>
  </si>
  <si>
    <t>011101</t>
  </si>
  <si>
    <t>Dawson County</t>
  </si>
  <si>
    <t>011201</t>
  </si>
  <si>
    <t>Anaconda-Deer Lodge County</t>
  </si>
  <si>
    <t>011301</t>
  </si>
  <si>
    <t>Fallon County</t>
  </si>
  <si>
    <t>011401</t>
  </si>
  <si>
    <t>Fergus County</t>
  </si>
  <si>
    <t>011501</t>
  </si>
  <si>
    <t>Flathead County</t>
  </si>
  <si>
    <t>011601</t>
  </si>
  <si>
    <t>Gallatin County</t>
  </si>
  <si>
    <t>011701</t>
  </si>
  <si>
    <t>Garfield County</t>
  </si>
  <si>
    <t>011801</t>
  </si>
  <si>
    <t>Glacier County</t>
  </si>
  <si>
    <t>011901</t>
  </si>
  <si>
    <t>Golden Valley County</t>
  </si>
  <si>
    <t>012001</t>
  </si>
  <si>
    <t>Granite County</t>
  </si>
  <si>
    <t>012101</t>
  </si>
  <si>
    <t>Hill County</t>
  </si>
  <si>
    <t>012201</t>
  </si>
  <si>
    <t>Jefferson County</t>
  </si>
  <si>
    <t>012301</t>
  </si>
  <si>
    <t>Judith Basin County</t>
  </si>
  <si>
    <t>012401</t>
  </si>
  <si>
    <t>Lake County</t>
  </si>
  <si>
    <t>Lewis and Clark County</t>
  </si>
  <si>
    <t>012601</t>
  </si>
  <si>
    <t>Liberty County</t>
  </si>
  <si>
    <t>012701</t>
  </si>
  <si>
    <t>Lincoln County</t>
  </si>
  <si>
    <t>012801</t>
  </si>
  <si>
    <t>Madison County</t>
  </si>
  <si>
    <t>012901</t>
  </si>
  <si>
    <t>McCone County</t>
  </si>
  <si>
    <t>013001</t>
  </si>
  <si>
    <t>Meagher County</t>
  </si>
  <si>
    <t>013101</t>
  </si>
  <si>
    <t>Mineral County</t>
  </si>
  <si>
    <t>013201</t>
  </si>
  <si>
    <t>Missoula County</t>
  </si>
  <si>
    <t>013301</t>
  </si>
  <si>
    <t>Musselshell County</t>
  </si>
  <si>
    <t>013401</t>
  </si>
  <si>
    <t>Park County</t>
  </si>
  <si>
    <t>013501</t>
  </si>
  <si>
    <t>Petroleum County</t>
  </si>
  <si>
    <t>013601</t>
  </si>
  <si>
    <t>Phillips County</t>
  </si>
  <si>
    <t>013701</t>
  </si>
  <si>
    <t>Pondera County</t>
  </si>
  <si>
    <t>013801</t>
  </si>
  <si>
    <t>Powder River County</t>
  </si>
  <si>
    <t>013901</t>
  </si>
  <si>
    <t>Powell County</t>
  </si>
  <si>
    <t>014001</t>
  </si>
  <si>
    <t>Prairie County</t>
  </si>
  <si>
    <t>014101</t>
  </si>
  <si>
    <t>Ravalli County</t>
  </si>
  <si>
    <t>014201</t>
  </si>
  <si>
    <t>Richland County</t>
  </si>
  <si>
    <t>014301</t>
  </si>
  <si>
    <t>Roosevelt County</t>
  </si>
  <si>
    <t>014401</t>
  </si>
  <si>
    <t>Rosebud County</t>
  </si>
  <si>
    <t>014501</t>
  </si>
  <si>
    <t>Sanders County</t>
  </si>
  <si>
    <t>014601</t>
  </si>
  <si>
    <t>Sheridan County</t>
  </si>
  <si>
    <t>014701</t>
  </si>
  <si>
    <t>014801</t>
  </si>
  <si>
    <t>Stillwater County</t>
  </si>
  <si>
    <t>014901</t>
  </si>
  <si>
    <t>Sweet Grass County</t>
  </si>
  <si>
    <t>015001</t>
  </si>
  <si>
    <t>Teton County</t>
  </si>
  <si>
    <t>015101</t>
  </si>
  <si>
    <t>Toole County</t>
  </si>
  <si>
    <t>015201</t>
  </si>
  <si>
    <t>Treasure County</t>
  </si>
  <si>
    <t>015301</t>
  </si>
  <si>
    <t>Valley County</t>
  </si>
  <si>
    <t>015401</t>
  </si>
  <si>
    <t>Wheatland County</t>
  </si>
  <si>
    <t>015501</t>
  </si>
  <si>
    <t>Wibaux County</t>
  </si>
  <si>
    <t>Wibaux</t>
  </si>
  <si>
    <t>015601</t>
  </si>
  <si>
    <t>Yellowstone County</t>
  </si>
  <si>
    <t>City &amp; County/Butte-Silver Bow</t>
  </si>
  <si>
    <t>020101</t>
  </si>
  <si>
    <t>City of Dillon</t>
  </si>
  <si>
    <t>020102</t>
  </si>
  <si>
    <t>Town of Lima</t>
  </si>
  <si>
    <t>020201</t>
  </si>
  <si>
    <t>City of Hardin</t>
  </si>
  <si>
    <t>020202</t>
  </si>
  <si>
    <t>Town of Lodge Grass</t>
  </si>
  <si>
    <t>020301</t>
  </si>
  <si>
    <t>City of Chinook</t>
  </si>
  <si>
    <t>020302</t>
  </si>
  <si>
    <t>City of Harlem</t>
  </si>
  <si>
    <t>020401</t>
  </si>
  <si>
    <t>City of Townsend</t>
  </si>
  <si>
    <t>020501</t>
  </si>
  <si>
    <t>Town of Bearcreek</t>
  </si>
  <si>
    <t>020502</t>
  </si>
  <si>
    <t>Town of Bridger</t>
  </si>
  <si>
    <t>020503</t>
  </si>
  <si>
    <t>Town of Fromberg</t>
  </si>
  <si>
    <t>020504</t>
  </si>
  <si>
    <t>Town of Joliet</t>
  </si>
  <si>
    <t>020505</t>
  </si>
  <si>
    <t>City of Red Lodge</t>
  </si>
  <si>
    <t>020601</t>
  </si>
  <si>
    <t>Town of Ekalaka</t>
  </si>
  <si>
    <t>020701</t>
  </si>
  <si>
    <t>Town of Belt</t>
  </si>
  <si>
    <t>020702</t>
  </si>
  <si>
    <t>Town of Cascade</t>
  </si>
  <si>
    <t>020703</t>
  </si>
  <si>
    <t>City of Great Falls</t>
  </si>
  <si>
    <t>020704</t>
  </si>
  <si>
    <t>Town of Neihart</t>
  </si>
  <si>
    <t>020801</t>
  </si>
  <si>
    <t>Town of Big Sandy</t>
  </si>
  <si>
    <t>020802</t>
  </si>
  <si>
    <t>City of Fort Benton</t>
  </si>
  <si>
    <t>020803</t>
  </si>
  <si>
    <t>Town of Geraldine</t>
  </si>
  <si>
    <t>020901</t>
  </si>
  <si>
    <t>Town of Ismay</t>
  </si>
  <si>
    <t>020902</t>
  </si>
  <si>
    <t>City of Miles City</t>
  </si>
  <si>
    <t>021001</t>
  </si>
  <si>
    <t>Town of Flaxville</t>
  </si>
  <si>
    <t>021002</t>
  </si>
  <si>
    <t>City of Scobey</t>
  </si>
  <si>
    <t>021101</t>
  </si>
  <si>
    <t>City of Glendive</t>
  </si>
  <si>
    <t>021102</t>
  </si>
  <si>
    <t>Town of Richey</t>
  </si>
  <si>
    <t>021301</t>
  </si>
  <si>
    <t>City of Baker</t>
  </si>
  <si>
    <t>021302</t>
  </si>
  <si>
    <t>Town of Plevna</t>
  </si>
  <si>
    <t>021401</t>
  </si>
  <si>
    <t>Town of Denton</t>
  </si>
  <si>
    <t>021402</t>
  </si>
  <si>
    <t>Town of Grass Range</t>
  </si>
  <si>
    <t>021403</t>
  </si>
  <si>
    <t>City of Lewistown</t>
  </si>
  <si>
    <t>021404</t>
  </si>
  <si>
    <t>Town of Moore</t>
  </si>
  <si>
    <t>021405</t>
  </si>
  <si>
    <t>Town of Winifred</t>
  </si>
  <si>
    <t>021501</t>
  </si>
  <si>
    <t>City of Columbia Falls</t>
  </si>
  <si>
    <t>021502</t>
  </si>
  <si>
    <t>City of Kalispell</t>
  </si>
  <si>
    <t>021503</t>
  </si>
  <si>
    <t>City of Whitefish</t>
  </si>
  <si>
    <t>021601</t>
  </si>
  <si>
    <t>City of Belgrade</t>
  </si>
  <si>
    <t>021602</t>
  </si>
  <si>
    <t>City of Bozeman</t>
  </si>
  <si>
    <t>021603</t>
  </si>
  <si>
    <t>Town of Manhattan</t>
  </si>
  <si>
    <t>021604</t>
  </si>
  <si>
    <t>City of Three Forks</t>
  </si>
  <si>
    <t>021605</t>
  </si>
  <si>
    <t>Town of West Yellowstone</t>
  </si>
  <si>
    <t>021701</t>
  </si>
  <si>
    <t>Town of Jordan</t>
  </si>
  <si>
    <t>021801</t>
  </si>
  <si>
    <t>Town of Browning</t>
  </si>
  <si>
    <t>021802</t>
  </si>
  <si>
    <t>City of Cut Bank</t>
  </si>
  <si>
    <t>021901</t>
  </si>
  <si>
    <t>Town of Lavina</t>
  </si>
  <si>
    <t>021902</t>
  </si>
  <si>
    <t>Town of Ryegate</t>
  </si>
  <si>
    <t>022001</t>
  </si>
  <si>
    <t>Town of Drummond</t>
  </si>
  <si>
    <t>022002</t>
  </si>
  <si>
    <t>Town of Philipsburg</t>
  </si>
  <si>
    <t>022101</t>
  </si>
  <si>
    <t>City of Havre</t>
  </si>
  <si>
    <t>022102</t>
  </si>
  <si>
    <t>Town of Hingham</t>
  </si>
  <si>
    <t>022201</t>
  </si>
  <si>
    <t>City of Boulder</t>
  </si>
  <si>
    <t>022202</t>
  </si>
  <si>
    <t>Town of Whitehall</t>
  </si>
  <si>
    <t>022301</t>
  </si>
  <si>
    <t>Town of Hobson</t>
  </si>
  <si>
    <t>022302</t>
  </si>
  <si>
    <t>Town of Stanford</t>
  </si>
  <si>
    <t>022401</t>
  </si>
  <si>
    <t>City of Polson</t>
  </si>
  <si>
    <t>022402</t>
  </si>
  <si>
    <t>City of Ronan</t>
  </si>
  <si>
    <t>022403</t>
  </si>
  <si>
    <t>Town of St. Ignatius</t>
  </si>
  <si>
    <t>022501</t>
  </si>
  <si>
    <t>City of East Helena</t>
  </si>
  <si>
    <t>022502</t>
  </si>
  <si>
    <t>City of Helena</t>
  </si>
  <si>
    <t>022601</t>
  </si>
  <si>
    <t>Town of Chester</t>
  </si>
  <si>
    <t>022701</t>
  </si>
  <si>
    <t>Town of Eureka</t>
  </si>
  <si>
    <t>022702</t>
  </si>
  <si>
    <t>City of Libby</t>
  </si>
  <si>
    <t>022703</t>
  </si>
  <si>
    <t>Town Of Rexford</t>
  </si>
  <si>
    <t>022704</t>
  </si>
  <si>
    <t>City of Troy</t>
  </si>
  <si>
    <t>022801</t>
  </si>
  <si>
    <t>Town of Ennis</t>
  </si>
  <si>
    <t>022802</t>
  </si>
  <si>
    <t>Town of Sheridan</t>
  </si>
  <si>
    <t>022803</t>
  </si>
  <si>
    <t>Town of Twin Bridges</t>
  </si>
  <si>
    <t>022804</t>
  </si>
  <si>
    <t>Town of Virginia City</t>
  </si>
  <si>
    <t>022901</t>
  </si>
  <si>
    <t>Town of Circle</t>
  </si>
  <si>
    <t>023001</t>
  </si>
  <si>
    <t>City of White Sulphur Springs</t>
  </si>
  <si>
    <t>023101</t>
  </si>
  <si>
    <t>Town of Alberton</t>
  </si>
  <si>
    <t>023102</t>
  </si>
  <si>
    <t>Town Of Superior</t>
  </si>
  <si>
    <t>023201</t>
  </si>
  <si>
    <t>City of Missoula</t>
  </si>
  <si>
    <t>023301</t>
  </si>
  <si>
    <t>Town of Melstone</t>
  </si>
  <si>
    <t>023302</t>
  </si>
  <si>
    <t>City of Roundup</t>
  </si>
  <si>
    <t>023401</t>
  </si>
  <si>
    <t>Town of Clyde Park</t>
  </si>
  <si>
    <t>023402</t>
  </si>
  <si>
    <t>City of Livingston</t>
  </si>
  <si>
    <t>023501</t>
  </si>
  <si>
    <t>Town of Winnett</t>
  </si>
  <si>
    <t>023601</t>
  </si>
  <si>
    <t>Town of Dodson</t>
  </si>
  <si>
    <t>023602</t>
  </si>
  <si>
    <t>City of Malta</t>
  </si>
  <si>
    <t>023603</t>
  </si>
  <si>
    <t>Town of Saco</t>
  </si>
  <si>
    <t>023701</t>
  </si>
  <si>
    <t>City of Conrad</t>
  </si>
  <si>
    <t>023702</t>
  </si>
  <si>
    <t>Town of Valier</t>
  </si>
  <si>
    <t>023801</t>
  </si>
  <si>
    <t>Town of Broadus</t>
  </si>
  <si>
    <t>023901</t>
  </si>
  <si>
    <t>City of Deer Lodge</t>
  </si>
  <si>
    <t>024001</t>
  </si>
  <si>
    <t>Town of Terry</t>
  </si>
  <si>
    <t>024101</t>
  </si>
  <si>
    <t>Town of Darby</t>
  </si>
  <si>
    <t>024102</t>
  </si>
  <si>
    <t>City of Hamilton</t>
  </si>
  <si>
    <t>024103</t>
  </si>
  <si>
    <t>Town of Pinesdale</t>
  </si>
  <si>
    <t>024104</t>
  </si>
  <si>
    <t>Town of Stevensville</t>
  </si>
  <si>
    <t>024201</t>
  </si>
  <si>
    <t>Town of Fairview</t>
  </si>
  <si>
    <t>024202</t>
  </si>
  <si>
    <t>City of Sidney</t>
  </si>
  <si>
    <t>024301</t>
  </si>
  <si>
    <t>Town of Bainville</t>
  </si>
  <si>
    <t>024302</t>
  </si>
  <si>
    <t>Town of Brockton</t>
  </si>
  <si>
    <t>024303</t>
  </si>
  <si>
    <t>Town of Culbertson</t>
  </si>
  <si>
    <t>024304</t>
  </si>
  <si>
    <t>Town of Froid</t>
  </si>
  <si>
    <t>024305</t>
  </si>
  <si>
    <t>City of Poplar</t>
  </si>
  <si>
    <t>024306</t>
  </si>
  <si>
    <t>City of Wolf Point</t>
  </si>
  <si>
    <t>024401</t>
  </si>
  <si>
    <t>City of Forsyth</t>
  </si>
  <si>
    <t>024402</t>
  </si>
  <si>
    <t>City of Colstrip</t>
  </si>
  <si>
    <t>024501</t>
  </si>
  <si>
    <t>Town of Hot Springs</t>
  </si>
  <si>
    <t>024502</t>
  </si>
  <si>
    <t>Town of Plains</t>
  </si>
  <si>
    <t>024503</t>
  </si>
  <si>
    <t>City of Thompson Falls</t>
  </si>
  <si>
    <t>024601</t>
  </si>
  <si>
    <t>Town of Medicine Lake</t>
  </si>
  <si>
    <t>024602</t>
  </si>
  <si>
    <t>Town of Outlook</t>
  </si>
  <si>
    <t>024603</t>
  </si>
  <si>
    <t>City of Plentywood</t>
  </si>
  <si>
    <t>024604</t>
  </si>
  <si>
    <t>Town of Westby</t>
  </si>
  <si>
    <t>024702</t>
  </si>
  <si>
    <t>Town of Walkerville</t>
  </si>
  <si>
    <t>024801</t>
  </si>
  <si>
    <t>Town of Columbus</t>
  </si>
  <si>
    <t>024901</t>
  </si>
  <si>
    <t>City of Big Timber</t>
  </si>
  <si>
    <t>025001</t>
  </si>
  <si>
    <t>City of Choteau</t>
  </si>
  <si>
    <t>025002</t>
  </si>
  <si>
    <t>Town of Dutton</t>
  </si>
  <si>
    <t>025003</t>
  </si>
  <si>
    <t>Town of Fairfield</t>
  </si>
  <si>
    <t>025101</t>
  </si>
  <si>
    <t>Town of Kevin</t>
  </si>
  <si>
    <t>025102</t>
  </si>
  <si>
    <t>City of Shelby</t>
  </si>
  <si>
    <t>025103</t>
  </si>
  <si>
    <t>Town of Sunburst</t>
  </si>
  <si>
    <t>025201</t>
  </si>
  <si>
    <t>Town of Hysham</t>
  </si>
  <si>
    <t>025301</t>
  </si>
  <si>
    <t>Town of Fort Peck</t>
  </si>
  <si>
    <t>025302</t>
  </si>
  <si>
    <t>City of Glasgow</t>
  </si>
  <si>
    <t>025303</t>
  </si>
  <si>
    <t>Town of Nashua</t>
  </si>
  <si>
    <t>025304</t>
  </si>
  <si>
    <t>Town of Opheim</t>
  </si>
  <si>
    <t>025401</t>
  </si>
  <si>
    <t>City of Harlowton</t>
  </si>
  <si>
    <t>025402</t>
  </si>
  <si>
    <t>Town of Judith Gap</t>
  </si>
  <si>
    <t>025501</t>
  </si>
  <si>
    <t>Town of Wibaux</t>
  </si>
  <si>
    <t>025601</t>
  </si>
  <si>
    <t>City of Billings</t>
  </si>
  <si>
    <t>025602</t>
  </si>
  <si>
    <t>Town of Broadview</t>
  </si>
  <si>
    <t>025603</t>
  </si>
  <si>
    <t>City of Laurel</t>
  </si>
  <si>
    <t>Entity Names:</t>
  </si>
  <si>
    <t>Entity #:</t>
  </si>
  <si>
    <t>Entity Names &amp; Numbers:</t>
  </si>
  <si>
    <t xml:space="preserve">ENTITY # </t>
  </si>
  <si>
    <t>County Code #:</t>
  </si>
  <si>
    <t>County #:</t>
  </si>
  <si>
    <t>From cover page</t>
  </si>
  <si>
    <t>Glendive</t>
  </si>
  <si>
    <t>Billings</t>
  </si>
  <si>
    <t>Dillon</t>
  </si>
  <si>
    <t>Lima</t>
  </si>
  <si>
    <t>Hardin</t>
  </si>
  <si>
    <t>Lodge Grass</t>
  </si>
  <si>
    <t>Chinook</t>
  </si>
  <si>
    <t>Harlem</t>
  </si>
  <si>
    <t>Townsend</t>
  </si>
  <si>
    <t>Bearcreed</t>
  </si>
  <si>
    <t>Bridger</t>
  </si>
  <si>
    <t>Fromberg</t>
  </si>
  <si>
    <t>Joliet</t>
  </si>
  <si>
    <t>Red Lodge</t>
  </si>
  <si>
    <t>Ekalaka</t>
  </si>
  <si>
    <t>Belt</t>
  </si>
  <si>
    <t>Great Falls</t>
  </si>
  <si>
    <t>Neihart</t>
  </si>
  <si>
    <t>Big Sandy</t>
  </si>
  <si>
    <t>Fort Benton</t>
  </si>
  <si>
    <t>Geraldine</t>
  </si>
  <si>
    <t>Ismay</t>
  </si>
  <si>
    <t>Miles City</t>
  </si>
  <si>
    <t>Flaxville</t>
  </si>
  <si>
    <t>Scobey</t>
  </si>
  <si>
    <t>Richey</t>
  </si>
  <si>
    <t>Baker</t>
  </si>
  <si>
    <t>Plevna</t>
  </si>
  <si>
    <t>Denton</t>
  </si>
  <si>
    <t>Grass Range</t>
  </si>
  <si>
    <t>Lewistown</t>
  </si>
  <si>
    <t>Moore</t>
  </si>
  <si>
    <t>Winifred</t>
  </si>
  <si>
    <t>Columbia Falls</t>
  </si>
  <si>
    <t>Kalispell</t>
  </si>
  <si>
    <t>Whitefish</t>
  </si>
  <si>
    <t>Belgrade</t>
  </si>
  <si>
    <t>Bozeman</t>
  </si>
  <si>
    <t>Manhattan</t>
  </si>
  <si>
    <t>Three Forks</t>
  </si>
  <si>
    <t>West Yellowstone</t>
  </si>
  <si>
    <t>Jordan</t>
  </si>
  <si>
    <t>Browning</t>
  </si>
  <si>
    <t>Cut Bank</t>
  </si>
  <si>
    <t>Lavina</t>
  </si>
  <si>
    <t>Ryegate</t>
  </si>
  <si>
    <t>Drummond</t>
  </si>
  <si>
    <t>Philipsburg</t>
  </si>
  <si>
    <t>Havre</t>
  </si>
  <si>
    <t>Hingham</t>
  </si>
  <si>
    <t>Boulder</t>
  </si>
  <si>
    <t>Whitehall</t>
  </si>
  <si>
    <t>Hobson</t>
  </si>
  <si>
    <t>Stanford</t>
  </si>
  <si>
    <t>Polson</t>
  </si>
  <si>
    <t>Laurel</t>
  </si>
  <si>
    <t>Broadview</t>
  </si>
  <si>
    <t>Judith Gap</t>
  </si>
  <si>
    <t xml:space="preserve"> Harlowton</t>
  </si>
  <si>
    <t>Opheim</t>
  </si>
  <si>
    <t>Nashua</t>
  </si>
  <si>
    <t>Glasgow</t>
  </si>
  <si>
    <t>Fort Peck</t>
  </si>
  <si>
    <t>Hysham</t>
  </si>
  <si>
    <t>Sunburst</t>
  </si>
  <si>
    <t xml:space="preserve"> Shelby</t>
  </si>
  <si>
    <t>Kevin</t>
  </si>
  <si>
    <t>Fairfield</t>
  </si>
  <si>
    <t>Dutton</t>
  </si>
  <si>
    <t>Choteau</t>
  </si>
  <si>
    <t>Big Timber</t>
  </si>
  <si>
    <t>Columbus</t>
  </si>
  <si>
    <t>Walkerville</t>
  </si>
  <si>
    <t>Westby</t>
  </si>
  <si>
    <t>Ronan</t>
  </si>
  <si>
    <t>St. Ignatius</t>
  </si>
  <si>
    <t>East Helena</t>
  </si>
  <si>
    <t>Helena</t>
  </si>
  <si>
    <t>Chester</t>
  </si>
  <si>
    <t>Eureka</t>
  </si>
  <si>
    <t>Libby</t>
  </si>
  <si>
    <t>Rexford</t>
  </si>
  <si>
    <t>Troy</t>
  </si>
  <si>
    <t>Ennis</t>
  </si>
  <si>
    <t>Sheridan</t>
  </si>
  <si>
    <t>Twin Bridges</t>
  </si>
  <si>
    <t>Virginia City</t>
  </si>
  <si>
    <t>Circle</t>
  </si>
  <si>
    <t>White Sulphur Springs</t>
  </si>
  <si>
    <t>Alberton</t>
  </si>
  <si>
    <t>Superior</t>
  </si>
  <si>
    <t>Missoula</t>
  </si>
  <si>
    <t>Melstone</t>
  </si>
  <si>
    <t>Roundup</t>
  </si>
  <si>
    <t>Clyde Park</t>
  </si>
  <si>
    <t>Livingston</t>
  </si>
  <si>
    <t>Winnett</t>
  </si>
  <si>
    <t>Dodson</t>
  </si>
  <si>
    <t>Malta</t>
  </si>
  <si>
    <t>Saco</t>
  </si>
  <si>
    <t>Conrad</t>
  </si>
  <si>
    <t>Valier</t>
  </si>
  <si>
    <t>Broadus</t>
  </si>
  <si>
    <t>Deer Lodge</t>
  </si>
  <si>
    <t>Terry</t>
  </si>
  <si>
    <t>Darby</t>
  </si>
  <si>
    <t xml:space="preserve"> Hamilton</t>
  </si>
  <si>
    <t>Pinesdale</t>
  </si>
  <si>
    <t>Stevensville</t>
  </si>
  <si>
    <t>Fairview</t>
  </si>
  <si>
    <t>Sidney</t>
  </si>
  <si>
    <t>Bainville</t>
  </si>
  <si>
    <t>Brockton</t>
  </si>
  <si>
    <t>Culbertson</t>
  </si>
  <si>
    <t>Froid</t>
  </si>
  <si>
    <t>Poplar</t>
  </si>
  <si>
    <t>Wolf Point</t>
  </si>
  <si>
    <t>Forsyth</t>
  </si>
  <si>
    <t>Colstrip</t>
  </si>
  <si>
    <t>Hot Springs</t>
  </si>
  <si>
    <t>Plentywood</t>
  </si>
  <si>
    <t>Outlook</t>
  </si>
  <si>
    <t>Medicine Lake</t>
  </si>
  <si>
    <t>Thompson Falls</t>
  </si>
  <si>
    <t>Plains</t>
  </si>
  <si>
    <t>OTH</t>
  </si>
  <si>
    <t>PROPR</t>
  </si>
  <si>
    <t>332000/333</t>
  </si>
  <si>
    <t>335000/336</t>
  </si>
  <si>
    <t xml:space="preserve">This is the signature page of the report. </t>
  </si>
  <si>
    <t>LOCAL GRANTS - (LIST)</t>
  </si>
  <si>
    <t>Fund Name</t>
  </si>
  <si>
    <t xml:space="preserve">Page 16: The major fund titles will auto feed from page 15 to pages 16, 41-43, 44-46 </t>
  </si>
  <si>
    <t xml:space="preserve">The cash balance of all funds in the report should balance with the bank &amp; investment balances </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</si>
  <si>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</si>
  <si>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</si>
  <si>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</si>
  <si>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</si>
  <si>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</si>
  <si>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</si>
  <si>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</si>
  <si>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</si>
  <si>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</si>
  <si>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</si>
  <si>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Columns and rows can't be added to ensure proper formula calculations throughout the report</t>
  </si>
  <si>
    <t>These comments are extremely important to ensure the information accurately transfers into a searchable database.</t>
  </si>
  <si>
    <t xml:space="preserve">  spreadsheet will allow. Additional columns for funds can't be added.</t>
  </si>
  <si>
    <t>PASSWORD PROTECTED CELLS</t>
  </si>
  <si>
    <t>financial data can be manually entered.</t>
  </si>
  <si>
    <t>CELLS CONTAINING ZEROS - DO NOT OVERRIDE FORMULAS</t>
  </si>
  <si>
    <r>
      <rPr>
        <b/>
        <u/>
        <sz val="12"/>
        <rFont val="Arial"/>
        <family val="2"/>
      </rPr>
      <t>Use this exact format</t>
    </r>
    <r>
      <rPr>
        <b/>
        <sz val="12"/>
        <rFont val="Arial"/>
        <family val="2"/>
      </rPr>
      <t xml:space="preserve">: Fund #XXXX - </t>
    </r>
    <r>
      <rPr>
        <b/>
        <sz val="10"/>
        <rFont val="Arial"/>
        <family val="2"/>
      </rPr>
      <t>example: Fund #2400</t>
    </r>
  </si>
  <si>
    <t>Assets and Liabilities, continue with the assets and liabilities for your major funds. Break out the</t>
  </si>
  <si>
    <t xml:space="preserve">*Note: A red triangle in the upper right hand corner of a cell denotes where a useful comment is located. </t>
  </si>
  <si>
    <r>
      <t xml:space="preserve">The worksheet is </t>
    </r>
    <r>
      <rPr>
        <b/>
        <u/>
        <sz val="12"/>
        <color theme="9" tint="-0.249977111117893"/>
        <rFont val="Arial"/>
        <family val="2"/>
      </rPr>
      <t>protected</t>
    </r>
    <r>
      <rPr>
        <b/>
        <sz val="12"/>
        <color theme="9" tint="-0.249977111117893"/>
        <rFont val="Arial"/>
        <family val="2"/>
      </rPr>
      <t>, columns and rows can't be added or deleted - preventing errors in the formulas.</t>
    </r>
  </si>
  <si>
    <t>A Balance Check form is at the end of the workbook and is added for your convenience</t>
  </si>
  <si>
    <r>
      <t xml:space="preserve">   The </t>
    </r>
    <r>
      <rPr>
        <b/>
        <sz val="12"/>
        <rFont val="Arial"/>
        <family val="2"/>
      </rPr>
      <t>cash receipts and disbursements page</t>
    </r>
    <r>
      <rPr>
        <sz val="12"/>
        <rFont val="Arial"/>
        <family val="2"/>
      </rPr>
      <t xml:space="preserve"> (70) is no longer a mandatory page.  It has been included</t>
    </r>
  </si>
  <si>
    <t xml:space="preserve">    in the worksheet section for your convenience if you would like to use it as a cash reconciliation worksheet.</t>
  </si>
  <si>
    <t>THESE PAGES WILL ASSIST WITH THE GASB 34 CONVERSION</t>
  </si>
  <si>
    <r>
      <rPr>
        <b/>
        <u/>
        <sz val="12"/>
        <rFont val="Arial"/>
        <family val="2"/>
      </rPr>
      <t>Use this exact format</t>
    </r>
    <r>
      <rPr>
        <b/>
        <sz val="12"/>
        <rFont val="Arial"/>
        <family val="2"/>
      </rPr>
      <t xml:space="preserve">: </t>
    </r>
    <r>
      <rPr>
        <u/>
        <sz val="12"/>
        <rFont val="Arial"/>
        <family val="2"/>
      </rPr>
      <t>Town of xxx or City of xxx or xxxx County.</t>
    </r>
    <r>
      <rPr>
        <sz val="12"/>
        <rFont val="Arial"/>
        <family val="2"/>
      </rPr>
      <t xml:space="preserve"> </t>
    </r>
    <r>
      <rPr>
        <sz val="10"/>
        <rFont val="Arial"/>
        <family val="2"/>
      </rPr>
      <t>Complete the fiscal year ending date</t>
    </r>
  </si>
  <si>
    <t>Your entity name and the date will auto fill from the Cover Page. Update as needed by hiding rows or using strikeover</t>
  </si>
  <si>
    <t xml:space="preserve">  page 15 reconciliation in column b.</t>
  </si>
  <si>
    <t>you had a budget amendment. The Fund Balance (E-286) can be obtained from the prior year's AFR</t>
  </si>
  <si>
    <t>The BS Conversion sheet, Cell L68 should balance with the OP Conversion sheet, Cell Q57.</t>
  </si>
  <si>
    <t xml:space="preserve">  and record other year-end accruals that may be necessary</t>
  </si>
  <si>
    <t>and a drop-down box will appear. Left click on hide.  DO NOT DELETE THE SHEET!</t>
  </si>
  <si>
    <t>When you see zeroes in a cell - a protected formula exists - If a cell does not contain a formula</t>
  </si>
  <si>
    <t xml:space="preserve">  Examples are: general government, public safety, public works, etc.</t>
  </si>
  <si>
    <t>**For more information please see the Local Government Services Bureau website:</t>
  </si>
  <si>
    <t>Do the beginning balances equal your prior year audit ending balances or prior year annual financial report ending balances if not audited.</t>
  </si>
  <si>
    <t>Proprietary/Enterprise Funds (if applicable):</t>
  </si>
  <si>
    <t>Input the name of your County/City/Town (delete the references that don't apply) and mailing address.</t>
  </si>
  <si>
    <t>deferred tax/assessment revenue, a deferred inflow of resources, since they are not available to pay liabilities of the current period.</t>
  </si>
  <si>
    <t xml:space="preserve">Both financial statements presented on the accrual basis of accounting and the modified accrual basis of accounting recognize grants </t>
  </si>
  <si>
    <t xml:space="preserve">and similar items, pending purely routine requirements such as filing reimbursement and/or progress reports, where all eligibility </t>
  </si>
  <si>
    <t>requirements imposed by the provider have been met, other than time requirements, as revenue in the current period.</t>
  </si>
  <si>
    <t>Grants and similar items received prior to meeting time requirements but after all eligibility requirements are met, are recognized as deferred</t>
  </si>
  <si>
    <t>inflows of resources until use is required or first permitted.</t>
  </si>
  <si>
    <t xml:space="preserve">organizations, other governments, and/or other funds.  These may include (a) expendable trust funds, (b) nonexpendable trust </t>
  </si>
  <si>
    <t>funds, (c) pension trust funds and (d) agency funds.</t>
  </si>
  <si>
    <t xml:space="preserve">Trust &amp; Agency Funds - Used to account for assets held by the City in a trustee capacity or as an agent for individuals, private 
</t>
  </si>
  <si>
    <t>Fiduciary Funds</t>
  </si>
  <si>
    <t xml:space="preserve">The Governmental Accounting Standards Board (GASB) issued Statement No. 62. The Statement codifies the requirements of all </t>
  </si>
  <si>
    <t>pre-November 30, 1989 FASB and AICPA pronouncements that apply to state and local governments.</t>
  </si>
  <si>
    <t>Both the government-wide and proprietary fund financial statements follow the guidance of the Governmental Accounting Standards</t>
  </si>
  <si>
    <t xml:space="preserve">Board. Governments can continue to apply, as other accounting literature, post-November 30, 1989 FASB pronouncements that do not </t>
  </si>
  <si>
    <t xml:space="preserve">conflict with or contradict GASB pronouncements, including Statement No. 62. The government has adopted the provisions of GASB </t>
  </si>
  <si>
    <t>Statement No. 62.</t>
  </si>
  <si>
    <t>Assets, deferred outlflows of resources, liabilities, deferred iutflows of resources, and fund balance/net position</t>
  </si>
  <si>
    <t>6. Deferred outflows of resources</t>
  </si>
  <si>
    <t>and governmental fund balance sheet report a separate section for deferred outflows of resources. Deferred outflows of resources</t>
  </si>
  <si>
    <t>may be disclosed on the face of the financial statements, in the notes to the financial statements, or a combination of both.</t>
  </si>
  <si>
    <t>Deferred outflows of resources not disclosed on the face of the financial statements are as follows:</t>
  </si>
  <si>
    <t>Description:</t>
  </si>
  <si>
    <t>Amount;</t>
  </si>
  <si>
    <t>that is applicable to a future reporting period. The government-wide statement of net position, proprietary fund statement of net position,</t>
  </si>
  <si>
    <t>Deferred outflow of resources is a financial statement element. A deferred outflow of resources is a consumption of net assets by the government</t>
  </si>
  <si>
    <t>7.  Compensated absences</t>
  </si>
  <si>
    <t>8.  Long-term obligations</t>
  </si>
  <si>
    <t>9. Deferred inflows of Resources</t>
  </si>
  <si>
    <t>A deferred inflow of resources is an aquisition of net assets by the government that is applicable to a future reporting period. The government-wide</t>
  </si>
  <si>
    <t>statement of net position, proprietary fund statement of net position, and governmental fund balance sheet report a separate section for deferred</t>
  </si>
  <si>
    <t xml:space="preserve">inflows of resources. Deferred inflows of resources may be disclosed on the face of the financial statements, in the notes to the financial statements, </t>
  </si>
  <si>
    <t>or a combination of both. Deferred inflows of resources not disclosed on the face of the financial statements are as follows:</t>
  </si>
  <si>
    <t>10.  Fund balance/Net Position</t>
  </si>
  <si>
    <t xml:space="preserve">Governmental Accounting Standards Board (GASB) Statement No. 54 requires presentation of governmental fund balances by specific purpose. </t>
  </si>
  <si>
    <t>In the governmental fund financial statements, the fund balance classifications are presented either discretely or in the aggregate for the</t>
  </si>
  <si>
    <t xml:space="preserve">following fund balance classifications: non-spendable, restricted, committed, assigned and unassigned.  </t>
  </si>
  <si>
    <t xml:space="preserve">GASB Statement No. 63 resulted in presentation changes in the government-wide and proprietary fund financial statements. Among other </t>
  </si>
  <si>
    <t>changes, equity is classified as 'net position'. Components of net position are net investment in capital assets, restricted,</t>
  </si>
  <si>
    <t>and unrestricted. See notes J and K for further information.</t>
  </si>
  <si>
    <r>
      <rPr>
        <u/>
        <sz val="10"/>
        <rFont val="Arial"/>
        <family val="2"/>
      </rPr>
      <t>Net OPEB Obligation</t>
    </r>
    <r>
      <rPr>
        <sz val="10"/>
        <rFont val="Arial"/>
        <family val="2"/>
      </rPr>
      <t xml:space="preserve"> </t>
    </r>
    <r>
      <rPr>
        <i/>
        <sz val="10"/>
        <rFont val="Arial"/>
        <family val="2"/>
      </rPr>
      <t>(Note: this example assumes transition year. Provide this information for</t>
    </r>
  </si>
  <si>
    <t>the current and 2 preceding years, as applicable, in subsequent years.)</t>
  </si>
  <si>
    <t>Net OBEP Obligation at July 1, 20__</t>
  </si>
  <si>
    <t>Net OPEB Obligation at June 30, 20__</t>
  </si>
  <si>
    <t>J.</t>
  </si>
  <si>
    <t>1. Fund Balance Disclosure:</t>
  </si>
  <si>
    <t>By taking the following action:</t>
  </si>
  <si>
    <t>2.  Net Position</t>
  </si>
  <si>
    <t xml:space="preserve">The government-wide and proprietary fund financial statements report net position. Net position represent the difference between assets plus </t>
  </si>
  <si>
    <t xml:space="preserve"> deferred outflow of resources and liabilities plus deferred inflows of resources. Components of net position are net investment in capital assets,</t>
  </si>
  <si>
    <t xml:space="preserve"> restricted, and unrestricted. Net investment in capital assets consists of capital assets net of accumulated depreciation </t>
  </si>
  <si>
    <t>plus capital related deferred outflows of resources, less outstanding balance of any related borrowing used for the</t>
  </si>
  <si>
    <t>acquisition, construction, or improvement of those assets and capital related deferred inflows of resources.</t>
  </si>
  <si>
    <t xml:space="preserve">Restricted net position is defined above (see J1.), and unrestricted net position is any portion of net position that does not </t>
  </si>
  <si>
    <t>meet the definition of net investment in capital assets and restricted.</t>
  </si>
  <si>
    <t>K.</t>
  </si>
  <si>
    <t>L.</t>
  </si>
  <si>
    <t>M.</t>
  </si>
  <si>
    <t>N.</t>
  </si>
  <si>
    <t>O.</t>
  </si>
  <si>
    <t>P.</t>
  </si>
  <si>
    <t>either on the balance sheet - governmental funds, in the notes to the financial statements or a combination of both.</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</si>
  <si>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</si>
  <si>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</si>
  <si>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</si>
  <si>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</si>
  <si>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</si>
  <si>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11. Net Position significantly impacted by Deferred Outflows or Deferred Inflows of Resources.</t>
  </si>
  <si>
    <t>Current Year Deferred Inflow of Tax Revenue (Enter as postive on line 11 and/or 17)</t>
  </si>
  <si>
    <t>Prior Year Deferred Inflow of Tax Revenue (Enter as negative on line 11 and/or 17)</t>
  </si>
  <si>
    <t xml:space="preserve">  Principal on debt (enter as a negative)</t>
  </si>
  <si>
    <r>
      <t xml:space="preserve">Q. </t>
    </r>
    <r>
      <rPr>
        <b/>
        <sz val="10"/>
        <rFont val="Arial"/>
        <family val="2"/>
      </rPr>
      <t xml:space="preserve">Fund Balance Classifications </t>
    </r>
    <r>
      <rPr>
        <sz val="10"/>
        <rFont val="Arial"/>
        <family val="2"/>
      </rPr>
      <t>- GASB Statement 54 requires presentation of governmental fund balances by specific major purpose</t>
    </r>
  </si>
  <si>
    <t>Matured interest bonds payable</t>
  </si>
  <si>
    <t>Local Government Services website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</si>
  <si>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</si>
  <si>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</si>
  <si>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</si>
  <si>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</si>
  <si>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</si>
  <si>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</si>
  <si>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</si>
  <si>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</si>
  <si>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</si>
  <si>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</si>
  <si>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</si>
  <si>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</si>
  <si>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</si>
  <si>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</si>
  <si>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</si>
  <si>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Cash reconciles ______     Cash does not reconcile _______</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</si>
  <si>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</si>
  <si>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</si>
  <si>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</si>
  <si>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</si>
  <si>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</si>
  <si>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descr</t>
  </si>
  <si>
    <t>(5)</t>
  </si>
  <si>
    <t>(6)</t>
  </si>
  <si>
    <t>(7)</t>
  </si>
  <si>
    <t>(8)</t>
  </si>
  <si>
    <t>(14)</t>
  </si>
  <si>
    <t>Column 1</t>
  </si>
  <si>
    <t>Column 2</t>
  </si>
  <si>
    <t>Column 3</t>
  </si>
  <si>
    <t>Column 4</t>
  </si>
  <si>
    <t>Column 5</t>
  </si>
  <si>
    <t>Column 6</t>
  </si>
  <si>
    <t>Entity Name:</t>
  </si>
  <si>
    <t>Entity Code</t>
  </si>
  <si>
    <t>Account Number Description</t>
  </si>
  <si>
    <t>Total Amount</t>
  </si>
  <si>
    <t>General Fund - Fund #1000</t>
  </si>
  <si>
    <t>General Fund - Assets &amp; Deferred Outflow of Resources</t>
  </si>
  <si>
    <t>100000-109999</t>
  </si>
  <si>
    <t>Cash/Investments</t>
  </si>
  <si>
    <t>110000-119999</t>
  </si>
  <si>
    <t>Taxes/Special Assess Receivable</t>
  </si>
  <si>
    <t>120000-129999</t>
  </si>
  <si>
    <t>Other Receivables</t>
  </si>
  <si>
    <t>130000-139999</t>
  </si>
  <si>
    <t>Due From/Advance To</t>
  </si>
  <si>
    <t>140000-149999</t>
  </si>
  <si>
    <t>Prepaid Expenses</t>
  </si>
  <si>
    <t>150000-159999</t>
  </si>
  <si>
    <t>160000-169999</t>
  </si>
  <si>
    <t>Restricted Assets</t>
  </si>
  <si>
    <t>180000-189999</t>
  </si>
  <si>
    <t>Capital Assets</t>
  </si>
  <si>
    <t>190000-199999</t>
  </si>
  <si>
    <t>Deferred Outflows of Resouces</t>
  </si>
  <si>
    <t>General Fund - Liabilities &amp; Deferred Inflow of Resources</t>
  </si>
  <si>
    <t>GENERAL FUND BALANCE CHECK</t>
  </si>
  <si>
    <t>200000-209999</t>
  </si>
  <si>
    <t>Short-Term Payables/Liabilities</t>
  </si>
  <si>
    <t>Total Assets:</t>
  </si>
  <si>
    <t>210000-219999</t>
  </si>
  <si>
    <t>Other Short-Term Liabilities</t>
  </si>
  <si>
    <t>Deferred Outflows:</t>
  </si>
  <si>
    <t>220000-229999</t>
  </si>
  <si>
    <t>230000-239999</t>
  </si>
  <si>
    <t>Long-Term Liabilities</t>
  </si>
  <si>
    <t>General Fund - Fund Balance</t>
  </si>
  <si>
    <t>Deferred Inflows:</t>
  </si>
  <si>
    <t>250000-259999</t>
  </si>
  <si>
    <t>Restricted Fund Balance</t>
  </si>
  <si>
    <t>260000-269999</t>
  </si>
  <si>
    <t>Committed/Assigned Fund Balance</t>
  </si>
  <si>
    <t>Fund Balance:</t>
  </si>
  <si>
    <t>270000-279999</t>
  </si>
  <si>
    <t>Unassigned Fund Balance</t>
  </si>
  <si>
    <t>280000-289999</t>
  </si>
  <si>
    <t>Investment in General Capital Assets</t>
  </si>
  <si>
    <t>Balance Check:</t>
  </si>
  <si>
    <t>General Fund - Revenues &amp; Other Financing Sources</t>
  </si>
  <si>
    <t>311000-311999</t>
  </si>
  <si>
    <t>General Property Taxes</t>
  </si>
  <si>
    <t>312000-312999</t>
  </si>
  <si>
    <t>Penalties/Interest DelinquentTaxes</t>
  </si>
  <si>
    <t>313000-313999</t>
  </si>
  <si>
    <t>Tax Title and Property Sales</t>
  </si>
  <si>
    <t>314000-314999</t>
  </si>
  <si>
    <t>Prop Tax - Other Than Assessed Value</t>
  </si>
  <si>
    <t>315000-315999</t>
  </si>
  <si>
    <t>General Sales and Use Taxes</t>
  </si>
  <si>
    <t>316000-316999</t>
  </si>
  <si>
    <t>Entitlement Levy Tax Transfer</t>
  </si>
  <si>
    <t>320000-321999</t>
  </si>
  <si>
    <t>Other Licensed and Permit Revenue</t>
  </si>
  <si>
    <t>322000-322999</t>
  </si>
  <si>
    <t>Business Licenses and Permits</t>
  </si>
  <si>
    <t>323000-323999</t>
  </si>
  <si>
    <t>Non-Business Licenses/Permits</t>
  </si>
  <si>
    <t>331000-331999</t>
  </si>
  <si>
    <t>Federal Grants</t>
  </si>
  <si>
    <t>332000-332999</t>
  </si>
  <si>
    <t>Federal Shared Revenues</t>
  </si>
  <si>
    <t>333000-333999</t>
  </si>
  <si>
    <t>Federal Payments in Lieu of Taxes</t>
  </si>
  <si>
    <t>334000-334999</t>
  </si>
  <si>
    <t>State Grants</t>
  </si>
  <si>
    <t>335000-335999</t>
  </si>
  <si>
    <t>State Shared Revenues</t>
  </si>
  <si>
    <t>336000-336999</t>
  </si>
  <si>
    <t>Other State Payments</t>
  </si>
  <si>
    <t>337000-337999</t>
  </si>
  <si>
    <t>Local Grants</t>
  </si>
  <si>
    <t>338000-338999</t>
  </si>
  <si>
    <t>Local Shared Revenue</t>
  </si>
  <si>
    <t>339000-339999</t>
  </si>
  <si>
    <t>Local Payments in Lieu of Taxes</t>
  </si>
  <si>
    <t>341000-341999</t>
  </si>
  <si>
    <t>General Government Charges</t>
  </si>
  <si>
    <t>342000-342999</t>
  </si>
  <si>
    <t>Public Safety Charges for Services</t>
  </si>
  <si>
    <t>343000-343999</t>
  </si>
  <si>
    <t>Public Works Charges for Services</t>
  </si>
  <si>
    <t>344000-344999</t>
  </si>
  <si>
    <t>Public Health Charges for Services</t>
  </si>
  <si>
    <t>345000-345999</t>
  </si>
  <si>
    <t>346000-346999</t>
  </si>
  <si>
    <t>Culture and Recreation Charges</t>
  </si>
  <si>
    <t>351000-351999</t>
  </si>
  <si>
    <t>Court Fines and Forfeitures</t>
  </si>
  <si>
    <t>361000-361999</t>
  </si>
  <si>
    <t>Rents/Leases</t>
  </si>
  <si>
    <t>362000-362999</t>
  </si>
  <si>
    <t>Other Miscellaneous Revenue</t>
  </si>
  <si>
    <t>363000-363999</t>
  </si>
  <si>
    <t>Special Assessments</t>
  </si>
  <si>
    <t>365000-365999</t>
  </si>
  <si>
    <t>Contributions and Donations</t>
  </si>
  <si>
    <t>366000-366999</t>
  </si>
  <si>
    <t>Contrib to Pension/Investment Trust</t>
  </si>
  <si>
    <t>367000-367999</t>
  </si>
  <si>
    <t>Sale of Junk or Salvage</t>
  </si>
  <si>
    <t>368000-368999</t>
  </si>
  <si>
    <t>371000-371999</t>
  </si>
  <si>
    <t>372000-372999</t>
  </si>
  <si>
    <t>Royalties</t>
  </si>
  <si>
    <t>373000-373999</t>
  </si>
  <si>
    <t>Other Principal/Interest</t>
  </si>
  <si>
    <t>381000-381999</t>
  </si>
  <si>
    <t>Proceeds of General Long-Term Debt</t>
  </si>
  <si>
    <t>382000-382999</t>
  </si>
  <si>
    <t>Proceeds of Gen Capital Asset Disposal</t>
  </si>
  <si>
    <t>383000-383999</t>
  </si>
  <si>
    <t>Interfund Operating Transfer</t>
  </si>
  <si>
    <t>384000-384999</t>
  </si>
  <si>
    <t>Other Financing Sources - Special Items</t>
  </si>
  <si>
    <t>385000-385999</t>
  </si>
  <si>
    <t>Other Fin Sources - Extraordinary Items</t>
  </si>
  <si>
    <t>391000-391999</t>
  </si>
  <si>
    <t>Central Garages - Internal Services</t>
  </si>
  <si>
    <t>392000-392999</t>
  </si>
  <si>
    <t>Central Stores - Internal Services</t>
  </si>
  <si>
    <t>393000-393999</t>
  </si>
  <si>
    <t>Central Data Processing - Internal Service</t>
  </si>
  <si>
    <t>394000-394999</t>
  </si>
  <si>
    <t>Equipment Rental - Internal Services</t>
  </si>
  <si>
    <t>395000-395999</t>
  </si>
  <si>
    <t>Payroll - Internal Services</t>
  </si>
  <si>
    <t>396000-396999</t>
  </si>
  <si>
    <t>Other Internal Service Activities</t>
  </si>
  <si>
    <t>Total Revenues &amp; Other Fin Sources:</t>
  </si>
  <si>
    <t>397000-397999</t>
  </si>
  <si>
    <t>Contribution from Local Government</t>
  </si>
  <si>
    <t>General Fund - Expenditures &amp; Other Financing Uses</t>
  </si>
  <si>
    <t>410000-411999</t>
  </si>
  <si>
    <t>100-199</t>
  </si>
  <si>
    <t xml:space="preserve">General Government </t>
  </si>
  <si>
    <t>All Other</t>
  </si>
  <si>
    <t>610-619</t>
  </si>
  <si>
    <t>620-629</t>
  </si>
  <si>
    <t>900-999</t>
  </si>
  <si>
    <t>420000-420999</t>
  </si>
  <si>
    <t>430000-431999</t>
  </si>
  <si>
    <t>440000-440999</t>
  </si>
  <si>
    <t>450000-450999</t>
  </si>
  <si>
    <t>460000-460999</t>
  </si>
  <si>
    <t>470000-470999</t>
  </si>
  <si>
    <t>480000-480999</t>
  </si>
  <si>
    <t>490000-490999</t>
  </si>
  <si>
    <t>500000-500999</t>
  </si>
  <si>
    <t>Internal Services</t>
  </si>
  <si>
    <t>510000-510999</t>
  </si>
  <si>
    <t>520000-525999</t>
  </si>
  <si>
    <t>Other Financing Uses</t>
  </si>
  <si>
    <t>Total Expenditures &amp; Other Fin. Uses:</t>
  </si>
  <si>
    <t>Special Revenues Funds - Fund #2000 to 2999</t>
  </si>
  <si>
    <t>Special Revenue Funds - Assets &amp; Deferred Outflow of Resources</t>
  </si>
  <si>
    <t>2000</t>
  </si>
  <si>
    <t>Special Revenue Funds - Liabilities &amp; Deferred Inflow of Resources</t>
  </si>
  <si>
    <t>SPECIAL REVENUE BALANCE CHECK</t>
  </si>
  <si>
    <t>Special Revenue Funds - Fund Balance</t>
  </si>
  <si>
    <t>Special Revenue Funds - Revenues &amp; Other Financing Sources</t>
  </si>
  <si>
    <t>Special Revenue Funds - Expenditures &amp; Other Financing Uses</t>
  </si>
  <si>
    <t>Debt Service Funds - Fund #3000 - 3999</t>
  </si>
  <si>
    <t>Debt Service Funds - Assets &amp; Deferred Outflow of Resources</t>
  </si>
  <si>
    <t>3000</t>
  </si>
  <si>
    <t>Debt Service Funds - Liabilities &amp; Deferred Inflow of Resources</t>
  </si>
  <si>
    <t>DEBT SERVICE BALANCE CHECK</t>
  </si>
  <si>
    <t>Debt Service Funds - Fund Balance</t>
  </si>
  <si>
    <t>Debt Service Funds - Revenues &amp; Other Financing Sources</t>
  </si>
  <si>
    <t>Debt Service Funds - Expenditures &amp; Other Financing Uses</t>
  </si>
  <si>
    <t>Capital Project Funds - Fund #4000 - 4999</t>
  </si>
  <si>
    <t>Capital Project Funds - Assets &amp; Deferred Outflow of Resources</t>
  </si>
  <si>
    <t>4000</t>
  </si>
  <si>
    <t>Capital Project Funds - Liabilities &amp; Deferred Inflow of Resources</t>
  </si>
  <si>
    <t>CAPITAL PROJECTS BALANCE CHECK</t>
  </si>
  <si>
    <t>Capital Project Funds - Fund Balance</t>
  </si>
  <si>
    <t>Capital Project Funds - Revenues &amp; Other Financing Sources</t>
  </si>
  <si>
    <t>Capital Project Funds - Expenditures &amp; Other Financing Uses</t>
  </si>
  <si>
    <t>Enterprise/Proprietary/Business-Type Funds - Fund #5000 - 5999</t>
  </si>
  <si>
    <t>Enterprise Funds - Assets &amp; Deferred Outflow of Resources</t>
  </si>
  <si>
    <t>5000</t>
  </si>
  <si>
    <t>Enterprise Funds - Liabilities &amp; Deferred Inflow of Resources</t>
  </si>
  <si>
    <t>ENTERPRISE FUNDS BALANCE CHECK</t>
  </si>
  <si>
    <t>Short-Term Payables/Liability</t>
  </si>
  <si>
    <t>Enteprise Funds - Net Position</t>
  </si>
  <si>
    <t>Restricted Fund Balance/Net Position</t>
  </si>
  <si>
    <t>Committed/Assigned Net Position</t>
  </si>
  <si>
    <t>Fund/Net Position:</t>
  </si>
  <si>
    <t>Unassigned Net Position</t>
  </si>
  <si>
    <t>Investment in General Capital Asset</t>
  </si>
  <si>
    <t>Enterprise Funds - Revenues &amp; Other Financing Sources</t>
  </si>
  <si>
    <t>General Property Tax</t>
  </si>
  <si>
    <t>Penalties/Interest on Delinquent Taxes</t>
  </si>
  <si>
    <t>Property Tax on Other Assessed Values</t>
  </si>
  <si>
    <t>Other License and Permit revenue</t>
  </si>
  <si>
    <t>Non-Business License/Permits</t>
  </si>
  <si>
    <t>Federal Pymts in Lieu of Taxes</t>
  </si>
  <si>
    <t>State Shared Revenue</t>
  </si>
  <si>
    <t>Local Payments in Lieu of Taxe</t>
  </si>
  <si>
    <t>General Government Revenues</t>
  </si>
  <si>
    <t>Court</t>
  </si>
  <si>
    <t>Contrib to Pens/Invest Trust</t>
  </si>
  <si>
    <t>Proceeds of General LT Debt</t>
  </si>
  <si>
    <t>Proceeds of GenFixed Asset Dis</t>
  </si>
  <si>
    <t>Enterprise Funds - Expenses &amp; Other Financing Uses</t>
  </si>
  <si>
    <t>All Exp</t>
  </si>
  <si>
    <t>Personal Services</t>
  </si>
  <si>
    <t>All Exp.</t>
  </si>
  <si>
    <t>200-299</t>
  </si>
  <si>
    <t>Supplies</t>
  </si>
  <si>
    <t>300-399</t>
  </si>
  <si>
    <t>Purchased Services</t>
  </si>
  <si>
    <t>400-499</t>
  </si>
  <si>
    <t>Building Materials</t>
  </si>
  <si>
    <t>500-599</t>
  </si>
  <si>
    <t>Fixed Charges</t>
  </si>
  <si>
    <t>Debt Service Principal</t>
  </si>
  <si>
    <t xml:space="preserve">Debt Service Interest </t>
  </si>
  <si>
    <t>700-799</t>
  </si>
  <si>
    <t>Grants, Contributions, Indemnities</t>
  </si>
  <si>
    <t>800-899</t>
  </si>
  <si>
    <t>Transfers, Depreciation</t>
  </si>
  <si>
    <t>Total Expenses &amp; Other Fin. Uses:</t>
  </si>
  <si>
    <t>Capital Outlay</t>
  </si>
  <si>
    <t>Internal Service Funds - Fund #6000 - 6999</t>
  </si>
  <si>
    <t>Internal Service Funds - Assets &amp; Deferred Outflow of Resources</t>
  </si>
  <si>
    <t>6000</t>
  </si>
  <si>
    <t>Internal Service Funds - Liabilities &amp; Deferred Inflow of Resources</t>
  </si>
  <si>
    <t>INTERNAL SERVICE BALANCE CHECK</t>
  </si>
  <si>
    <t>Internal Service Funds - Net Position</t>
  </si>
  <si>
    <t>Internal Service Funds - Revenues &amp; Other Financing Sources</t>
  </si>
  <si>
    <t>Internal Service Funds - Expenses &amp; Other Financing Uses</t>
  </si>
  <si>
    <t>Trust Funds - Fund #7000 - 7099</t>
  </si>
  <si>
    <t>Trust Funds - Assets &amp; Deferred Outflow of Resources</t>
  </si>
  <si>
    <t>7000</t>
  </si>
  <si>
    <t>Trust Funds - Liabilities &amp; Deferred Outflow of Resources</t>
  </si>
  <si>
    <t>TRUST FUND BALANCE CHECK</t>
  </si>
  <si>
    <t>Trust Funds - Net Position</t>
  </si>
  <si>
    <t>Unassigned Fund Balance/Net Position</t>
  </si>
  <si>
    <t>Trust Funds - Revenues &amp; Other Financing Sources</t>
  </si>
  <si>
    <t>Other License and Permit Revenue</t>
  </si>
  <si>
    <t>Trust Funds - Expenses &amp; Other Financing Uses</t>
  </si>
  <si>
    <t>Agency Funds - Fund #7100 - 7999</t>
  </si>
  <si>
    <t>Agency Funds - Assets &amp; Deferred Outflow of Resources</t>
  </si>
  <si>
    <t>7100</t>
  </si>
  <si>
    <t>Agency Funds - Liabilities &amp; Deferred Inflow of Resources</t>
  </si>
  <si>
    <t>AGENCY FUND BALANCE CHECK</t>
  </si>
  <si>
    <t>Agency Funds - Net Position</t>
  </si>
  <si>
    <t>Permanent Funds - Fund #8000 - 8999</t>
  </si>
  <si>
    <t>Permanent Funds - Assets &amp; Deferred Outflow of Resources</t>
  </si>
  <si>
    <t>8000</t>
  </si>
  <si>
    <t>Permanent Funds - Liabilities &amp; Deferred Inflow of Resources</t>
  </si>
  <si>
    <t>PERMANENT FUND BALANCE CHECK</t>
  </si>
  <si>
    <t>Permanent Funds - Fund Balance</t>
  </si>
  <si>
    <t>Permanent Funds - Revenues &amp; Other Financing Sources</t>
  </si>
  <si>
    <t>Permanent Funds - Expenditures &amp; Other Financing Uses</t>
  </si>
  <si>
    <t>Draft version</t>
  </si>
  <si>
    <t>http://sfsd.mt.gov/LGSB</t>
  </si>
  <si>
    <t>Mitchell Bldg - Room 270</t>
  </si>
  <si>
    <t>Mitchell Building, Room 270, PO Box 200547, Helena, Montana  59620-0547</t>
  </si>
  <si>
    <t>For more information refer to the DOA LBSB website: http://sfsd.mt.gov/lgsb</t>
  </si>
  <si>
    <t>Updated the filing fees and the formula for the filing fee; Updated the address of LGSB</t>
  </si>
  <si>
    <t>Coverpage:</t>
  </si>
  <si>
    <t>Updated the address of LGSB</t>
  </si>
  <si>
    <t>Net Pension Liability</t>
  </si>
  <si>
    <t>OPEB</t>
  </si>
  <si>
    <t>199xxx</t>
  </si>
  <si>
    <t>Deferred Outflow of Resources</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</si>
  <si>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</si>
  <si>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</si>
  <si>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</si>
  <si>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</si>
  <si>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</si>
  <si>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</si>
  <si>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</si>
  <si>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</si>
  <si>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</si>
  <si>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r>
      <t xml:space="preserve"> </t>
    </r>
    <r>
      <rPr>
        <sz val="9"/>
        <rFont val="Arial"/>
        <family val="2"/>
      </rPr>
      <t xml:space="preserve">   </t>
    </r>
    <r>
      <rPr>
        <b/>
        <sz val="11"/>
        <rFont val="Arial"/>
        <family val="2"/>
      </rPr>
      <t>Optional Page</t>
    </r>
    <r>
      <rPr>
        <sz val="9"/>
        <rFont val="Arial"/>
        <family val="2"/>
      </rPr>
      <t xml:space="preserve"> moved to worksheets: Schedule of Cash Receipts and Disbursements - All Funds …………………………………</t>
    </r>
  </si>
  <si>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</si>
  <si>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</si>
  <si>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</si>
  <si>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</si>
  <si>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</si>
  <si>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</si>
  <si>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</si>
  <si>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</si>
  <si>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</si>
  <si>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</si>
  <si>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r>
      <t xml:space="preserve">The </t>
    </r>
    <r>
      <rPr>
        <b/>
        <sz val="11"/>
        <rFont val="Arial"/>
        <family val="2"/>
      </rPr>
      <t xml:space="preserve">entity number will </t>
    </r>
    <r>
      <rPr>
        <b/>
        <u/>
        <sz val="11"/>
        <rFont val="Arial"/>
        <family val="2"/>
      </rPr>
      <t>auto fill</t>
    </r>
    <r>
      <rPr>
        <b/>
        <sz val="11"/>
        <rFont val="Arial"/>
        <family val="2"/>
      </rPr>
      <t xml:space="preserve"> </t>
    </r>
    <r>
      <rPr>
        <sz val="11"/>
        <rFont val="Arial"/>
        <family val="2"/>
      </rPr>
      <t xml:space="preserve">by formula once the City of/Town of or County is </t>
    </r>
    <r>
      <rPr>
        <u/>
        <sz val="11"/>
        <rFont val="Arial"/>
        <family val="2"/>
      </rPr>
      <t>entered correctly</t>
    </r>
    <r>
      <rPr>
        <sz val="11"/>
        <rFont val="Arial"/>
        <family val="2"/>
      </rPr>
      <t>.</t>
    </r>
  </si>
  <si>
    <t xml:space="preserve">      expenditures and, therefore, are deferred outflows of resources in the funds.</t>
  </si>
  <si>
    <t>Teacher's Retirement System</t>
  </si>
  <si>
    <t>THEY DO NOT HAVE TO BE INCLUDED WITH YOUR REPORT SUBMISSION</t>
  </si>
  <si>
    <t>Once on the LGSB website click on Accounting and Financial Reporting Section for contact information</t>
  </si>
  <si>
    <t>Before Submitting The Report:</t>
  </si>
  <si>
    <r>
      <rPr>
        <b/>
        <sz val="12"/>
        <rFont val="Arial"/>
        <family val="2"/>
      </rPr>
      <t>Database Ledger Load File:</t>
    </r>
    <r>
      <rPr>
        <sz val="12"/>
        <rFont val="Arial"/>
        <family val="2"/>
      </rPr>
      <t xml:space="preserve">  A database ledger load is embedded in this excel document. If you have completed all the</t>
    </r>
  </si>
  <si>
    <t>information completed all the information that is relevant to your local government the dll form will self-calculate and can be</t>
  </si>
  <si>
    <t xml:space="preserve">form on the LGSB website. </t>
  </si>
  <si>
    <t xml:space="preserve">extracted from the excel file to meet the dll requirement.  If you did not complete the entire report and submitted pages printed </t>
  </si>
  <si>
    <t xml:space="preserve">from your accounting software you will have to complete a Stand-alone version of the Database Ledger Load.  You can locate the </t>
  </si>
  <si>
    <r>
      <rPr>
        <b/>
        <u/>
        <sz val="18"/>
        <color theme="5"/>
        <rFont val="Arial"/>
        <family val="2"/>
      </rPr>
      <t xml:space="preserve">IMPORTANT: </t>
    </r>
    <r>
      <rPr>
        <b/>
        <u/>
        <sz val="16"/>
        <color theme="5"/>
        <rFont val="Arial"/>
        <family val="2"/>
      </rPr>
      <t>Do Not Delete Workbook Pages</t>
    </r>
    <r>
      <rPr>
        <b/>
        <sz val="16"/>
        <color theme="9" tint="-0.249977111117893"/>
        <rFont val="Arial"/>
        <family val="2"/>
      </rPr>
      <t xml:space="preserve"> -</t>
    </r>
    <r>
      <rPr>
        <b/>
        <sz val="14"/>
        <color theme="9" tint="-0.249977111117893"/>
        <rFont val="Arial"/>
        <family val="2"/>
      </rPr>
      <t xml:space="preserve"> (You Can Hide Workbook Pages) </t>
    </r>
  </si>
  <si>
    <t>State Financial Services Division</t>
  </si>
  <si>
    <t xml:space="preserve">     Other Post Employment Benefit Information Schedules…..……..…………………………………………….</t>
  </si>
  <si>
    <t>A PDF version of this report should be submitted via the Local Government Portal - see website for instructions.</t>
  </si>
  <si>
    <t>Added acct 237000, 238000 for Funds 5000, 6000</t>
  </si>
  <si>
    <t xml:space="preserve">Corrected error in cell </t>
  </si>
  <si>
    <t xml:space="preserve">                             GASB68 recognition of On-behalf payments to Pension Plans</t>
  </si>
  <si>
    <t xml:space="preserve">                              Pension expense - GASB 68</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</si>
  <si>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</si>
  <si>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</si>
  <si>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</si>
  <si>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</si>
  <si>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</si>
  <si>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</si>
  <si>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</si>
  <si>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</si>
  <si>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t>Local Government Services Bureau webpage: http://sfsd.mt.gov/LGSB</t>
  </si>
  <si>
    <t>A PDF version of this excel file should be submitted through the LGSB portal as well as the Database Ledger Load File (DLL). Instructions and a tutorial video are available on the website.</t>
  </si>
  <si>
    <r>
      <t xml:space="preserve">The </t>
    </r>
    <r>
      <rPr>
        <b/>
        <sz val="11"/>
        <rFont val="Arial"/>
        <family val="2"/>
      </rPr>
      <t>Database Ledger Load File</t>
    </r>
    <r>
      <rPr>
        <sz val="11"/>
        <rFont val="Arial"/>
        <family val="2"/>
      </rPr>
      <t xml:space="preserve"> may be extracted from this excel document (by the LGSB) if the blank format has been completed in its entirety; or completed using the blank excel Database Ledger Load file provided on the LGSB website; or a DLL .csv file can be produced using certain accounting software programs.</t>
    </r>
  </si>
  <si>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</si>
  <si>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</si>
  <si>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</si>
  <si>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</si>
  <si>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</si>
  <si>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</si>
  <si>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</si>
  <si>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</si>
  <si>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</si>
  <si>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</si>
  <si>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</si>
  <si>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</si>
  <si>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</si>
  <si>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</si>
  <si>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</si>
  <si>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</si>
  <si>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</si>
  <si>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</si>
  <si>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</si>
  <si>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</si>
  <si>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</si>
  <si>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</si>
  <si>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</si>
  <si>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</si>
  <si>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</si>
  <si>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</si>
  <si>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</si>
  <si>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</si>
  <si>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</si>
  <si>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</si>
  <si>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</si>
  <si>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</si>
  <si>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</si>
  <si>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</si>
  <si>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</si>
  <si>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</si>
  <si>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</si>
  <si>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</si>
  <si>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</si>
  <si>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</si>
  <si>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</si>
  <si>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</si>
  <si>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</si>
  <si>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</si>
  <si>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</si>
  <si>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</si>
  <si>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</si>
  <si>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</si>
  <si>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</si>
  <si>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</si>
  <si>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</si>
  <si>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</si>
  <si>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</si>
  <si>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</si>
  <si>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</si>
  <si>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</si>
  <si>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</si>
  <si>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-86-</t>
  </si>
  <si>
    <t>-87-</t>
  </si>
  <si>
    <t>-88-</t>
  </si>
  <si>
    <t>-89-</t>
  </si>
  <si>
    <t>-90-</t>
  </si>
  <si>
    <t>23-47</t>
  </si>
  <si>
    <t>48-53</t>
  </si>
  <si>
    <t>54-59</t>
  </si>
  <si>
    <t>63-64</t>
  </si>
  <si>
    <t>67-68</t>
  </si>
  <si>
    <t>69-70</t>
  </si>
  <si>
    <t>71-72</t>
  </si>
  <si>
    <t>73-74</t>
  </si>
  <si>
    <t>75-76</t>
  </si>
  <si>
    <t>77-78</t>
  </si>
  <si>
    <t>65-66</t>
  </si>
  <si>
    <t>86-88</t>
  </si>
  <si>
    <r>
      <t xml:space="preserve">Headers: </t>
    </r>
    <r>
      <rPr>
        <sz val="10"/>
        <rFont val="Arial"/>
        <family val="2"/>
      </rPr>
      <t>Pages 54-84. These pages have "headers" which will</t>
    </r>
  </si>
  <si>
    <t xml:space="preserve">  beginning and ending dates in cells C-58, C-60 (beginning) and C-61 (ending) </t>
  </si>
  <si>
    <r>
      <t>Page 16</t>
    </r>
    <r>
      <rPr>
        <sz val="10"/>
        <rFont val="Arial"/>
        <family val="2"/>
      </rPr>
      <t xml:space="preserve">: Complete the beginning and ending dates in cells C-54,C-56 &amp; C-57 </t>
    </r>
  </si>
  <si>
    <r>
      <t>Page 20:</t>
    </r>
    <r>
      <rPr>
        <sz val="10"/>
        <rFont val="Arial"/>
        <family val="2"/>
      </rPr>
      <t xml:space="preserve"> Complete line 38-A (beginning of the fiscal year) and line 39-A (end of fiscal year)</t>
    </r>
    <r>
      <rPr>
        <i/>
        <sz val="10"/>
        <rFont val="Arial"/>
        <family val="2"/>
      </rPr>
      <t xml:space="preserve"> </t>
    </r>
  </si>
  <si>
    <t>Pages 48-84</t>
  </si>
  <si>
    <t>Pages 85-90</t>
  </si>
  <si>
    <t>Pages 23-47</t>
  </si>
  <si>
    <r>
      <t>Page 16</t>
    </r>
    <r>
      <rPr>
        <sz val="10"/>
        <rFont val="Arial"/>
        <family val="2"/>
      </rPr>
      <t>:</t>
    </r>
    <r>
      <rPr>
        <b/>
        <sz val="10"/>
        <rFont val="Arial"/>
        <family val="2"/>
      </rPr>
      <t xml:space="preserve"> Column D:</t>
    </r>
    <r>
      <rPr>
        <sz val="10"/>
        <rFont val="Arial"/>
        <family val="2"/>
      </rPr>
      <t xml:space="preserve"> General Fund information comes from pages 48-53 - protected to ensure it isn't</t>
    </r>
    <r>
      <rPr>
        <b/>
        <i/>
        <sz val="10"/>
        <rFont val="Arial"/>
        <family val="2"/>
      </rPr>
      <t xml:space="preserve"> overwritten</t>
    </r>
  </si>
  <si>
    <r>
      <t>Major Fund Titles</t>
    </r>
    <r>
      <rPr>
        <sz val="10"/>
        <rFont val="Arial"/>
        <family val="2"/>
      </rPr>
      <t xml:space="preserve"> will be input on page 15, auto feed to 16, 54-56 and page 57-59</t>
    </r>
  </si>
  <si>
    <t xml:space="preserve">Pages 48-53: Use your software AFR package or a Statement of Revenue Budget vs. Actual Report and </t>
  </si>
  <si>
    <t>Expenditure Budget vs. Actual Report to complete pages 48-53 of the general fund. (This information</t>
  </si>
  <si>
    <t xml:space="preserve">Pages 454-56: Complete the Major Fund Revenue vs. Actual information </t>
  </si>
  <si>
    <t>Pages 57-59: Complete the Major Fund Expenditures vs. Actual information</t>
  </si>
  <si>
    <r>
      <t xml:space="preserve">STEP 5: PAGE 16: </t>
    </r>
    <r>
      <rPr>
        <sz val="10"/>
        <rFont val="Arial"/>
        <family val="2"/>
      </rPr>
      <t xml:space="preserve">Use pages 54-56 and 57-59 to complete the major fund revenues, expenditure and changes in </t>
    </r>
  </si>
  <si>
    <t>Pages 63-64 Balance Sheet: Enter the Non-Major Special Revenue Funds in numerical order. Row 2 enter fund #</t>
  </si>
  <si>
    <t>Pages 65: Non-Major Special Revenue Statement of Revenues. The Fund # and Title will auto feed from page 63.</t>
  </si>
  <si>
    <t xml:space="preserve">Page 66 The fund number &amp; title will auto feed from page 63. </t>
  </si>
  <si>
    <t>Pages 67-68: Non-Major Debt Service Funds Balance Sheet. Input asset/liability information</t>
  </si>
  <si>
    <t>Pages 69-70: Non-Major Debt Service Funds Statement of Revenues, Expenditures &amp; Changes in Fund Balance</t>
  </si>
  <si>
    <t>Input revenue and expenditure information. Title &amp; Fund # will auto feed from 67-68.</t>
  </si>
  <si>
    <t>Pages 71-72: Non-Major Capital Projects Balance Sheet. Input asset/liability information</t>
  </si>
  <si>
    <t>Pages 73-74: Non-Major Capital Projects Statement of Revenues, Expenditures &amp; Changes in Fund Balance</t>
  </si>
  <si>
    <t>Input revenue and expenditure information. Fund Title &amp; # will auto feed from 71-72.</t>
  </si>
  <si>
    <t>Page 85: Complete the Intergovernmental Revenue Page</t>
  </si>
  <si>
    <t xml:space="preserve">Page 86-89: Complete the Cash/Bank/Investment Reconciliation </t>
  </si>
  <si>
    <t>Page 90: Complete the General Information Page</t>
  </si>
  <si>
    <t>Pages 79-81 - Non-major Enterprise Funds: Complete the Statement of Net Position, Statement of Revenues,</t>
  </si>
  <si>
    <t>Pages 82-84: Internal Service Funds: Complete the Statement of Net Position, Statement of Revenues,</t>
  </si>
  <si>
    <t xml:space="preserve">Complete Page 86-88, Schedule of Cash Receipts &amp; Distribution by Fund. </t>
  </si>
  <si>
    <t>The report should be submitted through the LGSB portal - see the website for instructions</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</si>
  <si>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</si>
  <si>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</si>
  <si>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</si>
  <si>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</si>
  <si>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</si>
  <si>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</si>
  <si>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</si>
  <si>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</si>
  <si>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</si>
  <si>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</si>
  <si>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</si>
  <si>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</si>
  <si>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</si>
  <si>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</si>
  <si>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</si>
  <si>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</si>
  <si>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</si>
  <si>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</si>
  <si>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</si>
  <si>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</si>
  <si>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</si>
  <si>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</si>
  <si>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</si>
  <si>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</si>
  <si>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</si>
  <si>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</si>
  <si>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</si>
  <si>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</si>
  <si>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</si>
  <si>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</si>
  <si>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</si>
  <si>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t xml:space="preserve">on page 89. </t>
  </si>
  <si>
    <t>STEP 16: COMPLETE THE NOTES TO THE FINANCIAL STATEMENTS FROM PAGE 23 - 47</t>
  </si>
  <si>
    <t>A Databse Ledger Load File is required - an excel version of this file or an approved software version should be submitted through the portal</t>
  </si>
  <si>
    <r>
      <rPr>
        <b/>
        <u/>
        <sz val="11"/>
        <color rgb="FF002060"/>
        <rFont val="Arial"/>
        <family val="2"/>
      </rPr>
      <t>For Portal Instructions</t>
    </r>
    <r>
      <rPr>
        <b/>
        <sz val="10"/>
        <rFont val="Arial"/>
        <family val="2"/>
      </rPr>
      <t xml:space="preserve">, including User Guides and a "How to" Video see the LGSB website: </t>
    </r>
  </si>
  <si>
    <t>http://sfsd.mt.gov/SFSDContacts#LGSB</t>
  </si>
  <si>
    <t>http://mpera.mt.gov/gasbinfoforemployers.shtml</t>
  </si>
  <si>
    <t>In Excess of:</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</si>
  <si>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</si>
  <si>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</si>
  <si>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</si>
  <si>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Donated capital assets are recorded at estimated acquisition value at the date of donation.</t>
  </si>
  <si>
    <t>Capital Asset Adj, gain/loss on sale, donation</t>
  </si>
  <si>
    <t>capital assets/prior</t>
  </si>
  <si>
    <t>accrual. You will want to remove interfund receivables and deferred inflows. Add Prior Year's deferred inflows &amp; outflows.</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</si>
  <si>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</si>
  <si>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</si>
  <si>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</si>
  <si>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</si>
  <si>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</si>
  <si>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</si>
  <si>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</si>
  <si>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</si>
  <si>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</si>
  <si>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t>LONG-TERM DEBT (FUND 9500)</t>
  </si>
  <si>
    <t>FISCAL YEAR ENDING JUNE 30, 2017</t>
  </si>
  <si>
    <t xml:space="preserve"> ANNUAL FINANCIAL REPORT INFORMATION FOR FY2017:</t>
  </si>
  <si>
    <t>Total net position - July 1, 2016 as previously reported</t>
  </si>
  <si>
    <t>Total net position - July 1, 2016 as restated</t>
  </si>
  <si>
    <t>Total net position - June 30, 2017</t>
  </si>
  <si>
    <t>Fund balances - July 1, 2016 as previously reported</t>
  </si>
  <si>
    <t>Fund balances - July 1, 2016 as restated</t>
  </si>
  <si>
    <t>Fund balances - June 30, 2017</t>
  </si>
  <si>
    <t>Cash and cash equivalents - July 1, 2016</t>
  </si>
  <si>
    <t>Cash and cash equivalents - June 30, 2017</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</si>
  <si>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</si>
  <si>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Capital asset activity for the fiscal year ended June 30, 2017 was as follows:</t>
  </si>
  <si>
    <t>Bonds payable at June 30, 2017 are comprised of the following issues:</t>
  </si>
  <si>
    <t>June 30, 2017</t>
  </si>
  <si>
    <t>6/30/2017</t>
  </si>
  <si>
    <t>7/1/2016</t>
  </si>
  <si>
    <t xml:space="preserve">[Note to the preparer - Note disclosures contained herein are illustrative only, and are provided for your convenience. Local governments should modify these note disclosures as applicable to their entity.] </t>
  </si>
  <si>
    <t>Summary of Significant Accounting Policies</t>
  </si>
  <si>
    <r>
      <t xml:space="preserve">The financial statements </t>
    </r>
    <r>
      <rPr>
        <sz val="10"/>
        <rFont val="Arial"/>
        <family val="2"/>
      </rPr>
      <t>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2017 are described below.</t>
    </r>
  </si>
  <si>
    <t xml:space="preserve">The government adopted the provisions of the following GASB Statements: </t>
  </si>
  <si>
    <r>
      <rPr>
        <u/>
        <sz val="10"/>
        <rFont val="Arial"/>
        <family val="2"/>
      </rPr>
      <t>GASB Statement No. 73</t>
    </r>
    <r>
      <rPr>
        <sz val="10"/>
        <rFont val="Arial"/>
        <family val="2"/>
      </rPr>
      <t>, Accounting and Financial Reporting for  Pensions and Related Assets that are not within the scope of</t>
    </r>
  </si>
  <si>
    <t xml:space="preserve">GASB 68. </t>
  </si>
  <si>
    <r>
      <rPr>
        <u/>
        <sz val="10"/>
        <rFont val="Arial"/>
        <family val="2"/>
      </rPr>
      <t>GASB Statement No. 77</t>
    </r>
    <r>
      <rPr>
        <sz val="10"/>
        <rFont val="Arial"/>
        <family val="2"/>
      </rPr>
      <t>, Tax Abatement Disclosures. This statement encompasses tax abatement agreements entered into by</t>
    </r>
  </si>
  <si>
    <t>governments.  The disclosures required by this Statement include agreements that are entered into by the reporting government</t>
  </si>
  <si>
    <t>and agreements that are entered into by other governments and that reduce the reporting government's tax revenues.</t>
  </si>
  <si>
    <r>
      <rPr>
        <u/>
        <sz val="10"/>
        <rFont val="Arial"/>
        <family val="2"/>
      </rPr>
      <t>GASB Statement No. 78</t>
    </r>
    <r>
      <rPr>
        <sz val="10"/>
        <rFont val="Arial"/>
        <family val="2"/>
      </rPr>
      <t>, Pensions provided through Certain Multiple-Employer Defined Benefit Pension Plans and amends GASB68</t>
    </r>
  </si>
  <si>
    <t>for cost-sharing multiple-employer defined benefit pension plans that is not a state or local governmental pension plan and provides</t>
  </si>
  <si>
    <t>defined benefit pensions both to employees of local governments and non-governmental employers.</t>
  </si>
  <si>
    <r>
      <rPr>
        <u/>
        <sz val="10"/>
        <rFont val="Arial"/>
        <family val="2"/>
      </rPr>
      <t>GASB Statement No. 80</t>
    </r>
    <r>
      <rPr>
        <sz val="10"/>
        <rFont val="Arial"/>
        <family val="2"/>
      </rPr>
      <t>, Blending Requirements of Certain Component Units.</t>
    </r>
  </si>
  <si>
    <r>
      <rPr>
        <u/>
        <sz val="10"/>
        <rFont val="Arial"/>
        <family val="2"/>
      </rPr>
      <t>GASB Statement No. 82</t>
    </r>
    <r>
      <rPr>
        <sz val="10"/>
        <rFont val="Arial"/>
        <family val="2"/>
      </rPr>
      <t xml:space="preserve">, Pension Issues, an amendment of GASB Statements No. 67, 68 and 73. </t>
    </r>
  </si>
  <si>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</si>
  <si>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</si>
  <si>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</si>
  <si>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</si>
  <si>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</si>
  <si>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</si>
  <si>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</si>
  <si>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</si>
  <si>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</si>
  <si>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</si>
  <si>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</si>
  <si>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</si>
  <si>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</si>
  <si>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</si>
  <si>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Capital outlay on the OP Conversion Worksheet should equal the addition to capital assets on this schedule.</t>
  </si>
  <si>
    <r>
      <rPr>
        <b/>
        <sz val="10"/>
        <rFont val="Arial"/>
        <family val="2"/>
      </rPr>
      <t>NOTE:</t>
    </r>
    <r>
      <rPr>
        <sz val="10"/>
        <rFont val="Arial"/>
        <family val="2"/>
      </rPr>
      <t xml:space="preserve">  At year end, the depreciation expense would be closed into the equity account (280000 Investment in General Capital Assets) and new purchases/acquisitions</t>
    </r>
  </si>
  <si>
    <t xml:space="preserve">             and/or sales/disposals would be recorded if updating Fund 9000.</t>
  </si>
  <si>
    <t xml:space="preserve">           For additional information see the Capital Asset Training Video on the Local Gov. Services Bureau website: http://sfsd.mt.gov/LGSB</t>
  </si>
  <si>
    <t>Video on the Local Gov. Services Bureau website: http://sfsd.mt.gov/LGSB</t>
  </si>
  <si>
    <t xml:space="preserve">See the Training Videos on the website. Call your regional accountant with questions: </t>
  </si>
  <si>
    <t xml:space="preserve"> ANNUAL FINANCIAL REPORT BASICS:</t>
  </si>
  <si>
    <r>
      <rPr>
        <b/>
        <u/>
        <sz val="12"/>
        <color rgb="FFFF0000"/>
        <rFont val="Arial"/>
        <family val="2"/>
      </rPr>
      <t>Submission Information:</t>
    </r>
    <r>
      <rPr>
        <b/>
        <sz val="12"/>
        <color rgb="FFFF0000"/>
        <rFont val="Arial"/>
        <family val="2"/>
      </rPr>
      <t xml:space="preserve"> Reports should be submitted through the LGS Local Government Entity Portal.</t>
    </r>
  </si>
  <si>
    <t xml:space="preserve">  The following should be uploaded and submitted:</t>
  </si>
  <si>
    <r>
      <t xml:space="preserve">A </t>
    </r>
    <r>
      <rPr>
        <b/>
        <u/>
        <sz val="11"/>
        <rFont val="Arial"/>
        <family val="2"/>
      </rPr>
      <t>PDF Version</t>
    </r>
    <r>
      <rPr>
        <b/>
        <sz val="10"/>
        <rFont val="Arial"/>
        <family val="2"/>
      </rPr>
      <t xml:space="preserve"> of this report should be submitted. </t>
    </r>
    <r>
      <rPr>
        <sz val="10"/>
        <rFont val="Arial"/>
        <family val="2"/>
      </rPr>
      <t xml:space="preserve">Within the excel program use the save as .pdf option. </t>
    </r>
  </si>
  <si>
    <r>
      <t xml:space="preserve">Please follow all formatting requests when you see a </t>
    </r>
    <r>
      <rPr>
        <b/>
        <sz val="11"/>
        <color rgb="FFFF0000"/>
        <rFont val="Arial"/>
        <family val="2"/>
      </rPr>
      <t>comment triangle*</t>
    </r>
    <r>
      <rPr>
        <b/>
        <sz val="11"/>
        <color theme="8" tint="-0.249977111117893"/>
        <rFont val="Arial"/>
        <family val="2"/>
      </rPr>
      <t xml:space="preserve"> to ensure informationwill transfer</t>
    </r>
  </si>
  <si>
    <t>into the searchable database created by the DLL files.</t>
  </si>
  <si>
    <r>
      <rPr>
        <b/>
        <u/>
        <sz val="11"/>
        <rFont val="Arial"/>
        <family val="2"/>
      </rPr>
      <t>Database Ledger Load (DLL) file</t>
    </r>
    <r>
      <rPr>
        <b/>
        <sz val="11"/>
        <rFont val="Arial"/>
        <family val="2"/>
      </rPr>
      <t>:</t>
    </r>
    <r>
      <rPr>
        <b/>
        <sz val="10"/>
        <rFont val="Arial"/>
        <family val="2"/>
      </rPr>
      <t xml:space="preserve"> The completed excel file will meet Database Ledger Load Requirements or a Databse Ledger Load file produced by an approved Software Vendor should be submitted at the same time the PDF version is submitted.  </t>
    </r>
  </si>
  <si>
    <t>https://trs.mt.gov/trs-info/NewsAnnualReports</t>
  </si>
  <si>
    <t>R.</t>
  </si>
  <si>
    <t xml:space="preserve">The City/Town of _________________  Fire Department Relief Association is a single-employer defined </t>
  </si>
  <si>
    <t>benefit pension plan. The Association was formed according to 19-18-102 MCA.</t>
  </si>
  <si>
    <t>The assets of the Fire Department Disability and Pension Fund are not in a trust or an equivalent</t>
  </si>
  <si>
    <t>arrangement. The accumulated assets do not offset the liabilities of the pension and disability plan per</t>
  </si>
  <si>
    <t xml:space="preserve">GASB 73.  The employer should recognize the total pension liability (TPL) as its pension liability. </t>
  </si>
  <si>
    <t>Total Pension Liability</t>
  </si>
  <si>
    <t>The Total Pension Liability was determined by an actuarial valuation as of June 30, _________ ;</t>
  </si>
  <si>
    <t>with an update procedure to roll forward the TPL to the measurement date of June 30, ________.</t>
  </si>
  <si>
    <t xml:space="preserve">As of the reporting date: </t>
  </si>
  <si>
    <t>Employer's Total Pension Liability</t>
  </si>
  <si>
    <t>Employer's Pension Expense</t>
  </si>
  <si>
    <t>Recognition of Deferred Inflows and Outflows:</t>
  </si>
  <si>
    <t xml:space="preserve">At June 30, the employer reported deferred outflows of resources and deferred inflows of resources related to the </t>
  </si>
  <si>
    <t>Fire Department Relief Association:</t>
  </si>
  <si>
    <t>Actual vs. Expected Return</t>
  </si>
  <si>
    <t>Changes in Assumptions</t>
  </si>
  <si>
    <t>Actual vs Expected Investment Earnings</t>
  </si>
  <si>
    <t>Employer Contributions Subsequent to the measurement date</t>
  </si>
  <si>
    <t>Amounts reported as deferred outflows of resources related to pensions resulting from the employer's contributions subsequent to the measurement date will be recognized as a reduction of the NPL beginning in the year ended June 30, 2018.</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</si>
  <si>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</si>
  <si>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</si>
  <si>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</si>
  <si>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</si>
  <si>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</si>
  <si>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The use of the disability and pension fund is outlined in 19-18-203 MCA and payments can be made</t>
  </si>
  <si>
    <t>for the following:</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</si>
  <si>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</si>
  <si>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</si>
  <si>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</si>
  <si>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</si>
  <si>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</si>
  <si>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7) premiums on a blanket policy covering the members of the fire department and providing for payment of</t>
  </si>
  <si>
    <t xml:space="preserve">    compensation in case of death of or injury to any such member;</t>
  </si>
  <si>
    <t>8) the return of employee contributions as provided in Title 19, Chapter 18 of MCA</t>
  </si>
  <si>
    <t>Contributions to the fund are outlined in 19-18-501 MCA and include:</t>
  </si>
  <si>
    <t>1) all bequests, fees, gifts, emoluments, donations or money from other sources given or paid to the fund,</t>
  </si>
  <si>
    <t xml:space="preserve">   except as otherwise designated by the donor;</t>
  </si>
  <si>
    <t>2) a monthly contribution to the fund by each paid or part-paid member of the association amounting to 6%</t>
  </si>
  <si>
    <t xml:space="preserve">   of the member's regular monthly salary;</t>
  </si>
  <si>
    <t>3) the proceeds of the tax levy provided for in 19-18-504 MCA;</t>
  </si>
  <si>
    <t>4) all money received from the state, including those payments provided for in 19-18-512; and</t>
  </si>
  <si>
    <t>5) all interest and other income earned from the investment of the fund.</t>
  </si>
  <si>
    <t>Service pensions are paid to a member who elects to retire from active service after having completed</t>
  </si>
  <si>
    <t>20 years or more of active duty and who has reached 50 years of age as a fully-paid member of a partly</t>
  </si>
  <si>
    <t xml:space="preserve">paid and partly volunteer fire department of a city or town in which the association was formed in as  </t>
  </si>
  <si>
    <t xml:space="preserve">outlined in 19-18-602 MCA. </t>
  </si>
  <si>
    <t xml:space="preserve">A member of a pure volunteer fire department who has served 20 years or more as an active member of the </t>
  </si>
  <si>
    <t xml:space="preserve">fire department is entitled to the benefits provided regardless of age. </t>
  </si>
  <si>
    <t>Pensions to a surviving spouse or children of a deceased volunteer firefighter may not exceed the amount</t>
  </si>
  <si>
    <t>provided for as service pension for a volunteer firefighter under 19-18-602(3).</t>
  </si>
  <si>
    <t>In the case of volunteer firefighters, the pension may be set by the board of trustees of the association,</t>
  </si>
  <si>
    <t>but may not exceed $225 a month, except that the pension may be set by the board of trustees of an</t>
  </si>
  <si>
    <t>association and a city at an amount not to exceed $300 a month if the association's fund is soundly</t>
  </si>
  <si>
    <t xml:space="preserve">funded as provided in 19-18-503 MCA. Disability pension provided to volunteer firefighters may not exceed </t>
  </si>
  <si>
    <t>$125 a month.</t>
  </si>
  <si>
    <t>The number of employees covered by the benefit terms include:</t>
  </si>
  <si>
    <t>1) Inactive members currently receiving benefits:</t>
  </si>
  <si>
    <t>2) Inactive members eligible for benefits but not receiving benefits:</t>
  </si>
  <si>
    <t>3) Active employees:</t>
  </si>
  <si>
    <t>Payments were made in the measurement period to purchase the following insurance contracts in the amount of</t>
  </si>
  <si>
    <t>_____________ .  A brief description of the benefits is: ___________________________________________________</t>
  </si>
  <si>
    <t>________________________________________________________________________________________________</t>
  </si>
  <si>
    <t>Actuarial Assumptions:</t>
  </si>
  <si>
    <t>The TPL was determined by an actuarial valuation as of June 30, ____, with an update procedure to roll forward the</t>
  </si>
  <si>
    <t>TPL to June 30, ___.  The significant assumptions and other inputs used to measure the TPL include:</t>
  </si>
  <si>
    <t>Discount Rate:</t>
  </si>
  <si>
    <t xml:space="preserve">The discount rate used to measure the TPL was ____%. </t>
  </si>
  <si>
    <t>Additional information on the discount rate includes:</t>
  </si>
  <si>
    <t>Sensitivity Analysis</t>
  </si>
  <si>
    <t>1% Decrease</t>
  </si>
  <si>
    <t>Current Rate</t>
  </si>
  <si>
    <t>1% Increase</t>
  </si>
  <si>
    <t>The table represents the Total Pension Liability calculated using the discount rate as well as what the TPL would</t>
  </si>
  <si>
    <t>be if it were calculated using a discount rate that is 1% lower or 1% higher than the current rate.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</si>
  <si>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</si>
  <si>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</si>
  <si>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</si>
  <si>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</si>
  <si>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</si>
  <si>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</si>
  <si>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</si>
  <si>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</si>
  <si>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</si>
  <si>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</si>
  <si>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</si>
  <si>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 xml:space="preserve">The County/City/Town of _________________  provides pensions through a cost-sharing, multiple employer, </t>
  </si>
  <si>
    <t>The plan covers ________ employees, and provides the following benefits:</t>
  </si>
  <si>
    <t>As of June 30, 2017:</t>
  </si>
  <si>
    <t>Employer's contributions</t>
  </si>
  <si>
    <t>Employee's contributions</t>
  </si>
  <si>
    <t>The authority in which the benefit terms are established and may be amended include: __________________________</t>
  </si>
  <si>
    <t>The basis for determining the employer's contributions to the pension plan include ______________________________</t>
  </si>
  <si>
    <t>Benefit terms:</t>
  </si>
  <si>
    <t>Contributions:</t>
  </si>
  <si>
    <t>Plan description:</t>
  </si>
  <si>
    <t>The required contribution rates of the employer and its employees for the reporting period are:</t>
  </si>
  <si>
    <t>The expiration date of the agreement requiring contributions to the pension plan if any, is _______________________.</t>
  </si>
  <si>
    <t>A description of any minimum contributions required for future periods by the collective-bargaining agreement,</t>
  </si>
  <si>
    <t>statutory obligations, or other contractual obligations, if applicable, are listed below:</t>
  </si>
  <si>
    <t>If not otherwise identifiable on the financial statements, the balance of payables is _____________________________.</t>
  </si>
  <si>
    <t>The following are significant terms related to the payables. (Provide a description of what gave rise to the payables, for</t>
  </si>
  <si>
    <t>example, required contributions to the pension plan or a contractual arrangement for contributions to the pension</t>
  </si>
  <si>
    <t>plan related to past service upon entrance into the arrangement.)</t>
  </si>
  <si>
    <t xml:space="preserve">collectively bargained defined benefit pension plan that qualifies for reporting under GASB 78. </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</si>
  <si>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</si>
  <si>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</si>
  <si>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Updates to the Blank AFR for FY2017</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</si>
  <si>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</si>
  <si>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</si>
  <si>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</si>
  <si>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</si>
  <si>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</si>
  <si>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</si>
  <si>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</si>
  <si>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</si>
  <si>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</si>
  <si>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</si>
  <si>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</si>
  <si>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</si>
  <si>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</si>
  <si>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</si>
  <si>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</si>
  <si>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</si>
  <si>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</si>
  <si>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</si>
  <si>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</si>
  <si>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</si>
  <si>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</si>
  <si>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</si>
  <si>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</si>
  <si>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</si>
  <si>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</si>
  <si>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</si>
  <si>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</si>
  <si>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</si>
  <si>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</si>
  <si>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</si>
  <si>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</si>
  <si>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</si>
  <si>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</si>
  <si>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</si>
  <si>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</si>
  <si>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</si>
  <si>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t>REVISED 7-2017 VERSION 17.1</t>
  </si>
  <si>
    <r>
      <rPr>
        <b/>
        <sz val="12"/>
        <color rgb="FFFF0000"/>
        <rFont val="Calibri"/>
        <family val="2"/>
        <scheme val="minor"/>
      </rPr>
      <t>If this amount is in excess of $750,000</t>
    </r>
    <r>
      <rPr>
        <b/>
        <sz val="12"/>
        <color theme="1"/>
        <rFont val="Calibri"/>
        <family val="2"/>
        <scheme val="minor"/>
      </rPr>
      <t>, you are required to have an audit for the fiscal year.</t>
    </r>
  </si>
  <si>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</si>
  <si>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</si>
  <si>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-35A-</t>
  </si>
  <si>
    <t>-35C-</t>
  </si>
  <si>
    <t>-35B-</t>
  </si>
  <si>
    <t>-45B-</t>
  </si>
  <si>
    <t>in which one or more governments promise to forgo tax revenues to which they are otherwise entitled and the individual or entity promises</t>
  </si>
  <si>
    <t xml:space="preserve">to take a specific action after the agreement has been entered into that contributes to economic development or otherwise benefits </t>
  </si>
  <si>
    <t>the governments or the citizens of those governments.</t>
  </si>
  <si>
    <t xml:space="preserve">Tax abatements are a reduction in tax revenues that result from an agreement between one or more governments and an individual or entity </t>
  </si>
  <si>
    <t>and commits to ____________________________.</t>
  </si>
  <si>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__ </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</si>
  <si>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t>
    </r>
  </si>
  <si>
    <r>
      <t xml:space="preserve">paid on _ </t>
    </r>
    <r>
      <rPr>
        <u/>
        <sz val="10"/>
        <rFont val="Arial"/>
        <family val="2"/>
      </rPr>
      <t xml:space="preserve"> (type of taxes to be abated)</t>
    </r>
    <r>
      <rPr>
        <sz val="10"/>
        <rFont val="Arial"/>
        <family val="2"/>
      </rPr>
      <t>.</t>
    </r>
  </si>
  <si>
    <t>the name of the government and authority under which the amounts are to be paid.</t>
  </si>
  <si>
    <t>types of commitments made.</t>
  </si>
  <si>
    <t>of the general nature of the tax abatement information omitted and the specific source of the legal prohibition.</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</si>
  <si>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</si>
  <si>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</si>
  <si>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</si>
  <si>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entered into by the</t>
    </r>
    <r>
      <rPr>
        <u/>
        <sz val="10"/>
        <rFont val="Arial"/>
        <family val="2"/>
      </rPr>
      <t xml:space="preserve"> (other government)</t>
    </r>
    <r>
      <rPr>
        <sz val="10"/>
        <rFont val="Arial"/>
        <family val="2"/>
      </rPr>
      <t>.</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</si>
  <si>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t>
    </r>
  </si>
  <si>
    <t xml:space="preserve">    and</t>
  </si>
  <si>
    <r>
      <t>Abated taxes allowed by the  Abatement are subject to recapture if _</t>
    </r>
    <r>
      <rPr>
        <u/>
        <sz val="10"/>
        <rFont val="Arial"/>
        <family val="2"/>
      </rPr>
      <t>(the specific conditions of the agreement that allow for recapture)</t>
    </r>
    <r>
      <rPr>
        <sz val="10"/>
        <rFont val="Arial"/>
        <family val="2"/>
      </rPr>
      <t xml:space="preserve">___. </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</si>
  <si>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 xml:space="preserve">(other government that entered into </t>
    </r>
  </si>
  <si>
    <t>the agreement).</t>
  </si>
  <si>
    <r>
      <rPr>
        <b/>
        <sz val="10"/>
        <rFont val="Arial"/>
        <family val="2"/>
      </rPr>
      <t>A.</t>
    </r>
    <r>
      <rPr>
        <sz val="10"/>
        <rFont val="Arial"/>
        <family val="2"/>
      </rPr>
      <t xml:space="preserve">  The dollar amounts received or receivable from other governments in association with the tax abatement, must be disclosed, including </t>
    </r>
  </si>
  <si>
    <r>
      <rPr>
        <b/>
        <sz val="10"/>
        <rFont val="Arial"/>
        <family val="2"/>
      </rPr>
      <t>B</t>
    </r>
    <r>
      <rPr>
        <sz val="10"/>
        <rFont val="Arial"/>
        <family val="2"/>
      </rPr>
      <t xml:space="preserve">.  If the reporting government made commitments, other than to reduce taxes as part of the abatement, disclose a description of the </t>
    </r>
  </si>
  <si>
    <r>
      <rPr>
        <b/>
        <sz val="10"/>
        <rFont val="Arial"/>
        <family val="2"/>
      </rPr>
      <t>C.</t>
    </r>
    <r>
      <rPr>
        <sz val="10"/>
        <rFont val="Arial"/>
        <family val="2"/>
      </rPr>
      <t xml:space="preserve">  If the reporting government omits information because the information is legally prohibited from being disclosed, disclose a description</t>
    </r>
  </si>
  <si>
    <r>
      <rPr>
        <b/>
        <sz val="10"/>
        <rFont val="Arial"/>
        <family val="2"/>
      </rPr>
      <t>A</t>
    </r>
    <r>
      <rPr>
        <sz val="10"/>
        <rFont val="Arial"/>
        <family val="2"/>
      </rPr>
      <t xml:space="preserve">.  If the reporting government omits information because the information is legally prohibited from being disclosed, disclose a description </t>
    </r>
  </si>
  <si>
    <t>Pages 53-54</t>
  </si>
  <si>
    <t>Debt Service budget to actual - corrected rows 40 &amp; 41</t>
  </si>
  <si>
    <t>variance of budget to actual: shb -final column + actual column</t>
  </si>
  <si>
    <t>Pension Liability</t>
  </si>
  <si>
    <t>Changed terminology from Net Pension Liability to Pension Liability</t>
  </si>
  <si>
    <t xml:space="preserve">   Pension Liability</t>
  </si>
  <si>
    <r>
      <t xml:space="preserve">Financial Statements" other than the debt of any Enterprise Funds.  </t>
    </r>
    <r>
      <rPr>
        <b/>
        <i/>
        <sz val="12"/>
        <color theme="3"/>
        <rFont val="Arial"/>
        <family val="2"/>
      </rPr>
      <t>For more information see the Long-term Liabilities Training</t>
    </r>
    <r>
      <rPr>
        <sz val="12"/>
        <rFont val="Arial"/>
        <family val="2"/>
      </rPr>
      <t xml:space="preserve">  </t>
    </r>
  </si>
  <si>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</si>
  <si>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A</t>
    </r>
    <r>
      <rPr>
        <i/>
        <sz val="10"/>
        <rFont val="Arial"/>
        <family val="2"/>
      </rPr>
      <t>. tax abatement agreements entered into by the reporting government;</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</si>
  <si>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</si>
  <si>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</si>
  <si>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</si>
  <si>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</si>
  <si>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</si>
  <si>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</si>
  <si>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</si>
  <si>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</si>
  <si>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Deferred Outflows of Resources including Pensions</t>
  </si>
  <si>
    <t>Deferred Inflows of Resources including Pensions</t>
  </si>
  <si>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</si>
  <si>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</si>
  <si>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</si>
  <si>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</si>
  <si>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</si>
  <si>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</si>
  <si>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</si>
  <si>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</si>
  <si>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</si>
  <si>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</si>
  <si>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</si>
  <si>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</si>
  <si>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</si>
  <si>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</si>
  <si>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</si>
  <si>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</si>
  <si>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</si>
  <si>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</si>
  <si>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</si>
  <si>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</si>
  <si>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 xml:space="preserve">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 .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</si>
  <si>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</si>
  <si>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</si>
  <si>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</si>
  <si>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</si>
  <si>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</si>
  <si>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</si>
  <si>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</si>
  <si>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</si>
  <si>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</si>
  <si>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Cash balance 7/1/2016</t>
  </si>
  <si>
    <t>Cash balance 6/30/2017</t>
  </si>
  <si>
    <r>
      <t xml:space="preserve">Add the Gov. Funds </t>
    </r>
    <r>
      <rPr>
        <b/>
        <u/>
        <sz val="9"/>
        <rFont val="Arial"/>
        <family val="2"/>
      </rPr>
      <t>Prior Year's</t>
    </r>
    <r>
      <rPr>
        <b/>
        <sz val="9"/>
        <rFont val="Arial"/>
        <family val="2"/>
      </rPr>
      <t xml:space="preserve"> Ending Balances of  Deferred Outflows &amp; Inflows of Resources associated with </t>
    </r>
    <r>
      <rPr>
        <b/>
        <u/>
        <sz val="9"/>
        <color theme="9" tint="-0.499984740745262"/>
        <rFont val="Arial"/>
        <family val="2"/>
      </rPr>
      <t>Pensions</t>
    </r>
    <r>
      <rPr>
        <b/>
        <sz val="9"/>
        <rFont val="Arial"/>
        <family val="2"/>
      </rPr>
      <t xml:space="preserve">; Outflows in Cell D28; Inflows in Cell D49 </t>
    </r>
  </si>
  <si>
    <r>
      <t xml:space="preserve">Remove Current Year Deferred Inflows of Tax Revenue &amp; other Deferred Inflows; </t>
    </r>
    <r>
      <rPr>
        <b/>
        <u/>
        <sz val="10"/>
        <color theme="9" tint="-0.499984740745262"/>
        <rFont val="Arial"/>
        <family val="2"/>
      </rPr>
      <t>Pensions:</t>
    </r>
    <r>
      <rPr>
        <b/>
        <sz val="10"/>
        <rFont val="Arial"/>
        <family val="2"/>
      </rPr>
      <t xml:space="preserve"> </t>
    </r>
    <r>
      <rPr>
        <b/>
        <u/>
        <sz val="10"/>
        <rFont val="Arial"/>
        <family val="2"/>
      </rPr>
      <t>Add Adj to Current Year Deferred Inflows &amp; Outflows of Resources  related to Pensions</t>
    </r>
  </si>
  <si>
    <r>
      <t xml:space="preserve">Add Beginning Long-term Debt (to fund balance); </t>
    </r>
    <r>
      <rPr>
        <b/>
        <u/>
        <sz val="10"/>
        <color theme="9" tint="-0.499984740745262"/>
        <rFont val="Arial"/>
        <family val="2"/>
      </rPr>
      <t>GASB68:</t>
    </r>
    <r>
      <rPr>
        <b/>
        <sz val="10"/>
        <color rgb="FFFF0000"/>
        <rFont val="Arial"/>
        <family val="2"/>
      </rPr>
      <t xml:space="preserve"> </t>
    </r>
    <r>
      <rPr>
        <b/>
        <sz val="10"/>
        <rFont val="Arial"/>
        <family val="2"/>
      </rPr>
      <t>Add on-behalf payment as intergovernmental revenue and pension expense by major purpose</t>
    </r>
  </si>
  <si>
    <t>Notes to the Required Supplementary Information</t>
  </si>
  <si>
    <t>for the Year ended June 30, 2017</t>
  </si>
  <si>
    <t>Changes of Benefit Terms</t>
  </si>
  <si>
    <t>The following changes to the plan provision were made as identified:</t>
  </si>
  <si>
    <t>2013 Legislative Changes:</t>
  </si>
  <si>
    <r>
      <rPr>
        <b/>
        <u/>
        <sz val="10"/>
        <rFont val="Arial"/>
        <family val="2"/>
      </rPr>
      <t>House Bill 454</t>
    </r>
    <r>
      <rPr>
        <sz val="10"/>
        <rFont val="Arial"/>
        <family val="2"/>
      </rPr>
      <t xml:space="preserve"> - Permanent Injunction Limits Application of the GABA Reduction passed under HB 454</t>
    </r>
  </si>
  <si>
    <t>Guaranteed Annual Benefit Adjustment (GABA) - for PERS</t>
  </si>
  <si>
    <t xml:space="preserve">After the member has completed 12 full months of retirement, the member’s benefit increases by the applicable percentage (provided below) each January, inclusive of all other adjustments to the member’s benefit. </t>
  </si>
  <si>
    <t>•</t>
  </si>
  <si>
    <t>3% for members hired prior to July 1, 2007</t>
  </si>
  <si>
    <t>1.5% for members hired on or after July 1, 2007 and before July 1, 2013</t>
  </si>
  <si>
    <t>Members hired on or after July 1, 2013</t>
  </si>
  <si>
    <t>a.   1.5% each year PERS is funded at or above 90%;</t>
  </si>
  <si>
    <t xml:space="preserve">b.   1.5% is reduced by 0.1% for each 2% PERS is funded below 90%; and, </t>
  </si>
  <si>
    <t xml:space="preserve">c.   0% whenever the amortization period for PERS is 40 years or more. </t>
  </si>
  <si>
    <t>2015 Legislative Changes:</t>
  </si>
  <si>
    <r>
      <rPr>
        <b/>
        <sz val="10"/>
        <rFont val="Arial"/>
        <family val="2"/>
      </rPr>
      <t>General Revisions</t>
    </r>
    <r>
      <rPr>
        <sz val="10"/>
        <rFont val="Arial"/>
        <family val="2"/>
      </rPr>
      <t xml:space="preserve"> - House Bill 101, effective January 1, 2016</t>
    </r>
  </si>
  <si>
    <r>
      <rPr>
        <b/>
        <sz val="10"/>
        <rFont val="Arial"/>
        <family val="2"/>
      </rPr>
      <t>Second Retirement Benefit</t>
    </r>
    <r>
      <rPr>
        <sz val="10"/>
        <rFont val="Arial"/>
        <family val="2"/>
      </rPr>
      <t xml:space="preserve"> - for PERS</t>
    </r>
  </si>
  <si>
    <t>1)  Applies to PERS members who return to active service on or after January 1, 2016. Members who retire before January 1, 2016, return to PERS-covered employment, and accumulate less than 2 years of service credit before retiring again:</t>
  </si>
  <si>
    <t xml:space="preserve">  refund of member’s contributions from second employment plus regular interest (currently 0.25%);</t>
  </si>
  <si>
    <t xml:space="preserve">  no service credit for second employment; </t>
  </si>
  <si>
    <t xml:space="preserve">  start same benefit amount the month following termination; and</t>
  </si>
  <si>
    <t xml:space="preserve">  GABA starts again in the January immediately following second retirement.</t>
  </si>
  <si>
    <r>
      <t xml:space="preserve">2)  For members who retire </t>
    </r>
    <r>
      <rPr>
        <b/>
        <sz val="10"/>
        <rFont val="Arial"/>
        <family val="2"/>
      </rPr>
      <t>before January 1, 2016, return to PERS-covered employment and accumulate two or more years of service credit before retiring again:</t>
    </r>
  </si>
  <si>
    <t xml:space="preserve">member receives a recalculated retirement benefit based on laws in effect at second retirement; and, </t>
  </si>
  <si>
    <t>GABA starts in the January after receiving recalculated benefit for 12 months.</t>
  </si>
  <si>
    <r>
      <t>3)  For members who retire</t>
    </r>
    <r>
      <rPr>
        <b/>
        <sz val="10"/>
        <rFont val="Arial"/>
        <family val="2"/>
      </rPr>
      <t xml:space="preserve"> on or after January 1, 2016, return to PERS-covered employment and accumulate less than 5 years of service credit before retiring again:</t>
    </r>
  </si>
  <si>
    <t>refund of member’s contributions from second employment plus regular interest (currently 0.25%);</t>
  </si>
  <si>
    <t>no service credit for second employment;</t>
  </si>
  <si>
    <t>start same benefit amount the month following termination; and,</t>
  </si>
  <si>
    <t>GABA starts again in the January immediately following second retirement.</t>
  </si>
  <si>
    <r>
      <t xml:space="preserve">4)  For members who retire </t>
    </r>
    <r>
      <rPr>
        <b/>
        <sz val="10"/>
        <rFont val="Arial"/>
        <family val="2"/>
      </rPr>
      <t>on or after January 1, 2016, return to PERS-covered employment and accumulate five or more years of service credit before retiring again:</t>
    </r>
  </si>
  <si>
    <t>member receives same retirement benefit as prior to return to service;</t>
  </si>
  <si>
    <t>member receives second retirement benefit for second period of service based on laws in effect at second retirement; and</t>
  </si>
  <si>
    <t>GABA starts on both benefits in January after member receives original and new benefit for 12 months.</t>
  </si>
  <si>
    <r>
      <rPr>
        <b/>
        <sz val="10"/>
        <rFont val="Arial"/>
        <family val="2"/>
      </rPr>
      <t>Revise DC Funding Laws</t>
    </r>
    <r>
      <rPr>
        <sz val="10"/>
        <rFont val="Arial"/>
        <family val="2"/>
      </rPr>
      <t xml:space="preserve"> - House Bill 107, effective July 1, 2015</t>
    </r>
  </si>
  <si>
    <r>
      <rPr>
        <b/>
        <sz val="10"/>
        <rFont val="Arial"/>
        <family val="2"/>
      </rPr>
      <t>Employer Contributions and the Defined Contribution Plan</t>
    </r>
    <r>
      <rPr>
        <sz val="10"/>
        <rFont val="Arial"/>
        <family val="2"/>
      </rPr>
      <t xml:space="preserve"> – for PERS and MUS-RP</t>
    </r>
  </si>
  <si>
    <t>The PCR was paid off effective March 2016 and the contributions of 2.37%, .47%, and the 1.0% increase previously directed to the PCR are now directed to the Defined Contribution or MUS-RP member’s account.</t>
  </si>
  <si>
    <t xml:space="preserve">Changes in Actuarial Assumptions and Methods </t>
  </si>
  <si>
    <t>Method and assumptions used in calculations of actuarially determined contributions</t>
  </si>
  <si>
    <t>The following addition to the actuarial assumptions was adopted in 2014 based upon implementation of GASB Statement 68:</t>
  </si>
  <si>
    <t>Admin Expense as % of Payroll</t>
  </si>
  <si>
    <t>The following changes were adopted in 2013 based on the 2013 Economic Experience study:</t>
  </si>
  <si>
    <t>General Wage Growth*</t>
  </si>
  <si>
    <t xml:space="preserve">   *Includes inflation at</t>
  </si>
  <si>
    <t>Investment rate of return</t>
  </si>
  <si>
    <t>7.75 percent, net of pension plan investment expense, and including inflation</t>
  </si>
  <si>
    <t>The following Actuarial Assumptions are from the June 2010 Experience Study:</t>
  </si>
  <si>
    <t>Merit increase</t>
  </si>
  <si>
    <t>0% to 7.3%</t>
  </si>
  <si>
    <t>Asset valuation method</t>
  </si>
  <si>
    <t>4-year smoothed market</t>
  </si>
  <si>
    <t>Actuarial cost method</t>
  </si>
  <si>
    <t>Entry age</t>
  </si>
  <si>
    <t>Amortization method</t>
  </si>
  <si>
    <t>Level percentage of pay, open</t>
  </si>
  <si>
    <t>General Revisions - House Bill 101, effective January 1, 2016</t>
  </si>
  <si>
    <t>Required Supplementary Information</t>
  </si>
  <si>
    <t>Schedule of Proportionate Share of the Net Pension Liability</t>
  </si>
  <si>
    <t>For the Last Ten Fiscal Years*</t>
  </si>
  <si>
    <t>81a1</t>
  </si>
  <si>
    <t>Reporting Date:</t>
  </si>
  <si>
    <t>As of Measurement Date:</t>
  </si>
  <si>
    <t>Employer's proportion of the Net Pension Liability as a percentage</t>
  </si>
  <si>
    <t>Employer's Net Pension Liability as an amount</t>
  </si>
  <si>
    <t>State of Montana's Net Pension Liability associated with the Employer</t>
  </si>
  <si>
    <t>Employer's Covered Payroll</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</si>
  <si>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</si>
  <si>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</si>
  <si>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</si>
  <si>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</si>
  <si>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</si>
  <si>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</si>
  <si>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</si>
  <si>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</si>
  <si>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</si>
  <si>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</si>
  <si>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</si>
  <si>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</si>
  <si>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There were no changes following the 2013 Economic Experience study.</t>
  </si>
  <si>
    <t>0% to 6.0%</t>
  </si>
  <si>
    <t>For the Employer's Fiscal Year Ended June 30, 2017 (June 30, 2016 Measurement Date)</t>
  </si>
  <si>
    <t>Contractually Required Contributions</t>
  </si>
  <si>
    <t>1. If a PERS member transfers employment to a FURS covered position and fials to elect FURS membership within 90 days, the default is PERS membership.</t>
  </si>
  <si>
    <t>Municipal Police Officers' Retirement Plan (MPORS)</t>
  </si>
  <si>
    <r>
      <t xml:space="preserve">MPORS DROP Survivor Benefits </t>
    </r>
    <r>
      <rPr>
        <sz val="10"/>
        <rFont val="Arial"/>
        <family val="2"/>
      </rPr>
      <t>- for MPORS</t>
    </r>
  </si>
  <si>
    <t>Allow statutory beneficiary (spouse or dependent child) of a deceased DROP participant to receive a DROP benefit and a survivorship benefit rather than accumulated contributions or a lump sum payment. 19-9-1206(1), MCA.</t>
  </si>
  <si>
    <t>The following Actuarial Assumptions were adopted from the June 2010 Experience Study:</t>
  </si>
  <si>
    <t>2015 Legislative Changes: none</t>
  </si>
  <si>
    <t>The following change to the actuarial assumptions was adopted in 2015:</t>
  </si>
  <si>
    <t>SRS Discount rate - Used to measure the TPL</t>
  </si>
  <si>
    <t>The following change to the actuarial assumptions was adopted in 2013:</t>
  </si>
  <si>
    <t>Sheriffs' Retirement System (SRS)</t>
  </si>
  <si>
    <t>The following change to the actuarial assumptions was adopted in 2016:</t>
  </si>
  <si>
    <t>5.93 percent, which is a blend of the assumed long-term expected rate of return of 7.75% on pension plan investments and a municipal bond index rate of 3.01%</t>
  </si>
  <si>
    <t>6.86 percent, which is a blend of the assumed long-term expected rate of return of 7.75% on pension plan investments and a municipal bond index rate of 3.8%</t>
  </si>
  <si>
    <t>The following additions were adopted in 2014 based upon implementation of GASB Statement 68:</t>
  </si>
  <si>
    <t>7.75 percent, which is the assumed long-term expected rate of return on pension plan investments.</t>
  </si>
  <si>
    <t>6.68 percent, which is a blend of the assumed long-term expected rate of return of 7.75% on pension plan investments and a municipal bond index rate.</t>
  </si>
  <si>
    <t>Teachers Retirement System (TRS)</t>
  </si>
  <si>
    <t xml:space="preserve"> Required Supplementary Information</t>
  </si>
  <si>
    <t>District's Covered Payroll</t>
  </si>
  <si>
    <t>For the Employer's Fiscal Year Ended June 30, 2017</t>
  </si>
  <si>
    <t>Insert Changes in Assumptions and benefit terms: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</si>
  <si>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</si>
  <si>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</si>
  <si>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</si>
  <si>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</si>
  <si>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</si>
  <si>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</si>
  <si>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t>Complete the Revenue Analysis. Use the Intergovernmental Revenues page to assist with the classification of</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</si>
  <si>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assure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</si>
  <si>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t>SCHEDULE OF CONTRIBUTIONS TO NON-GOVERNMENTAL PENSION PLANS</t>
  </si>
  <si>
    <t>REVISED AUGUST 2017/VERSION 17.1</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</si>
  <si>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</si>
  <si>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</si>
  <si>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</si>
  <si>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</si>
  <si>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</si>
  <si>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</si>
  <si>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r>
      <rPr>
        <b/>
        <sz val="11"/>
        <rFont val="Calibri"/>
        <family val="2"/>
        <scheme val="minor"/>
      </rPr>
      <t>FEE REQUIREMENT:</t>
    </r>
    <r>
      <rPr>
        <sz val="11"/>
        <rFont val="Calibri"/>
        <family val="2"/>
        <scheme val="minor"/>
      </rPr>
      <t xml:space="preserve">  As provided by 2-7-514, MCA, each local government required to have an audit under 2-7-503, MCA, shall pay an annual filing fee to the department; the fee schedule shall be based upon the local government's annual revenue amounts.  Administrative Rule 2.4.402 defines "revenue" as all receipts of a local government entity from any source excluding the proceeds from bond issuances and other long-term debt. 
</t>
    </r>
    <r>
      <rPr>
        <b/>
        <sz val="11"/>
        <rFont val="Calibri"/>
        <family val="2"/>
        <scheme val="minor"/>
      </rPr>
      <t xml:space="preserve">AUDIT REQUIREMENT: </t>
    </r>
    <r>
      <rPr>
        <sz val="11"/>
        <rFont val="Calibri"/>
        <family val="2"/>
        <scheme val="minor"/>
      </rPr>
      <t xml:space="preserve">  As provided by 2-7-503, MCA, each local government  receiving revenue or financial assistance in excess of $750,000, regardless of the source of revenue or financial assistance, shall have an audit. "Financial Assistance" is defined as including assistance provided by a federal, state, or local government entity in the form of loans and loan guarantees.</t>
    </r>
    <r>
      <rPr>
        <b/>
        <sz val="11"/>
        <color theme="9" tint="-0.249977111117893"/>
        <rFont val="Calibri"/>
        <family val="2"/>
        <scheme val="minor"/>
      </rPr>
      <t xml:space="preserve">                                                                                                                                                                   </t>
    </r>
    <r>
      <rPr>
        <b/>
        <sz val="11"/>
        <rFont val="Calibri"/>
        <family val="2"/>
        <scheme val="minor"/>
      </rPr>
      <t>Part II - Determination of Audit Requirement</t>
    </r>
    <r>
      <rPr>
        <sz val="11"/>
        <rFont val="Calibri"/>
        <family val="2"/>
        <scheme val="minor"/>
      </rPr>
      <t>.</t>
    </r>
    <r>
      <rPr>
        <b/>
        <sz val="11"/>
        <color theme="9" tint="-0.249977111117893"/>
        <rFont val="Calibri"/>
        <family val="2"/>
        <scheme val="minor"/>
      </rPr>
      <t xml:space="preserve"> </t>
    </r>
    <r>
      <rPr>
        <sz val="11"/>
        <rFont val="Calibri"/>
        <family val="2"/>
        <scheme val="minor"/>
      </rPr>
      <t xml:space="preserve">Loan proceeds received in the fiscal year that were used to refinance (payoff) existing debt will not be considered as "Financial Assistance" when determining the current audit requirement. </t>
    </r>
  </si>
  <si>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</si>
  <si>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</si>
  <si>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</si>
  <si>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</si>
  <si>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</si>
  <si>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</si>
  <si>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rPr>
        <b/>
        <sz val="11"/>
        <color rgb="FFFF0000"/>
        <rFont val="Calibri"/>
        <family val="2"/>
        <scheme val="minor"/>
      </rPr>
      <t>If total revenues are equal to or less than $750,000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$750,000</t>
    </r>
    <r>
      <rPr>
        <sz val="11"/>
        <color rgb="FFFF0000"/>
        <rFont val="Calibri"/>
        <family val="2"/>
        <scheme val="minor"/>
      </rPr>
      <t xml:space="preserve">, </t>
    </r>
    <r>
      <rPr>
        <sz val="11"/>
        <rFont val="Calibri"/>
        <family val="2"/>
        <scheme val="minor"/>
      </rPr>
      <t xml:space="preserve">your entity will be subject to audit requirements. </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</si>
  <si>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</si>
  <si>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</si>
  <si>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TOWN OF BROADUS</t>
  </si>
  <si>
    <t>MILTON L AMSDEN</t>
  </si>
  <si>
    <t>WANDA SMITH</t>
  </si>
  <si>
    <t>CODY MORRIS</t>
  </si>
  <si>
    <t>PETE WENZEL</t>
  </si>
  <si>
    <t>LORI TURNBOUGH</t>
  </si>
  <si>
    <t>JEFF NOBLE</t>
  </si>
  <si>
    <t>PEGGY FRUIT</t>
  </si>
  <si>
    <t>REBECCA MCEUEN</t>
  </si>
  <si>
    <t>Town of BROADUS</t>
  </si>
  <si>
    <t>RAYMOND RAGSDALE</t>
  </si>
  <si>
    <t>DONNA WILSON</t>
  </si>
  <si>
    <t>CASSIDY ZIMMER</t>
  </si>
  <si>
    <t>PO BOX 659, 210 E HOLT STREET</t>
  </si>
  <si>
    <t>BROADUS MT 59317</t>
  </si>
  <si>
    <t>Fund #2190</t>
  </si>
  <si>
    <t>Fund #2500</t>
  </si>
  <si>
    <t>Fund #2820</t>
  </si>
  <si>
    <t>Fund #4003</t>
  </si>
  <si>
    <t>CIP #3</t>
  </si>
  <si>
    <t>COMP INS</t>
  </si>
  <si>
    <t>OTHER MAINT</t>
  </si>
  <si>
    <t>GAS APPORTION</t>
  </si>
  <si>
    <t>Fund #5210</t>
  </si>
  <si>
    <t>Fund #5310</t>
  </si>
  <si>
    <t>Fund #5410</t>
  </si>
  <si>
    <t>SOLID WASTE</t>
  </si>
  <si>
    <t>FUND#2370</t>
  </si>
  <si>
    <t>PERS</t>
  </si>
  <si>
    <t>FUND#2400</t>
  </si>
  <si>
    <t>LIGHT MAINT</t>
  </si>
  <si>
    <t>FUND#2810</t>
  </si>
  <si>
    <t>POLICE TRAINING</t>
  </si>
  <si>
    <t>FUND#4002</t>
  </si>
  <si>
    <t>CIP#2</t>
  </si>
  <si>
    <t>CIP #2</t>
  </si>
  <si>
    <t xml:space="preserve">The City/Town of Town of Broadus is a political subdivision of the State of Montana governed by a Mayor and Council </t>
  </si>
  <si>
    <t>duly elected by the registered voters of the Town.  The Town utilizes the Mayor and Council form of government.</t>
  </si>
  <si>
    <t>General Fund - This is the governments primary operating fund. It accounts for all financial resources of the general government,</t>
  </si>
  <si>
    <t>Comp Insurance Fund - This fund is for personal property and liability insurance premiums.</t>
  </si>
  <si>
    <t>Other Maintenance Fund - This fund is used for equipment purchases used on streets and labor on streets.</t>
  </si>
  <si>
    <t>Gas Apportionment Fund - This is used for supplies and materials needed for street maintenance.</t>
  </si>
  <si>
    <t>CIP #3 Fund - This fund is used for equipment purchases for public works.</t>
  </si>
  <si>
    <t xml:space="preserve">Solid Waste Enterprise Fund - This fund is used to account for operating and non operating revenues and expenses of the solid waste </t>
  </si>
  <si>
    <t>collection.</t>
  </si>
  <si>
    <t xml:space="preserve">infrastructure assets, are defined by the Local Government as assets with an initial cost of more than $5000.00 and an estimated useful </t>
  </si>
  <si>
    <t xml:space="preserve">life in excess of 5 years.  Such assets are recorded at historical cost or estimated historical cost if purchased or constructed. </t>
  </si>
  <si>
    <t>NONE</t>
  </si>
  <si>
    <t>At year end, the Town's cash, cash equivalents and investments are reported in the basic financial statements as follows:</t>
  </si>
  <si>
    <t>TOWN OF BROADUS ONLY HAS DEPOSITS, NO INVESTMENTS</t>
  </si>
  <si>
    <r>
      <rPr>
        <b/>
        <i/>
        <u/>
        <sz val="10"/>
        <rFont val="Arial"/>
        <family val="2"/>
      </rPr>
      <t>Custodial Credit Risk-Deposits       NONE</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</si>
  <si>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r>
      <rPr>
        <b/>
        <i/>
        <u/>
        <sz val="10"/>
        <rFont val="Arial"/>
        <family val="2"/>
      </rPr>
      <t>Credit Risk - Investments       NONE</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rFont val="Arial"/>
        <family val="2"/>
      </rPr>
      <t xml:space="preserve">
</t>
    </r>
  </si>
  <si>
    <t>GENERAL DEPRECIATION</t>
  </si>
  <si>
    <t>WATER DEPRECIATION</t>
  </si>
  <si>
    <t>SEWER ENTERPRISE DEPRECIATION</t>
  </si>
  <si>
    <t>SOLID WASTE ENTERPRISE DEPRECIATION</t>
  </si>
  <si>
    <t>__4____ Active employees and __0____ Retired members received benefits through the City's healthcare plan.</t>
  </si>
  <si>
    <r>
      <rPr>
        <i/>
        <u/>
        <sz val="10"/>
        <rFont val="Arial"/>
        <family val="2"/>
      </rPr>
      <t>Plan Description:</t>
    </r>
    <r>
      <rPr>
        <sz val="10"/>
        <rFont val="Arial"/>
        <family val="2"/>
      </rPr>
      <t xml:space="preserve"> The Local Government is a member of the Blue Cross Blue Shield.</t>
    </r>
  </si>
  <si>
    <t>As required by State law (MCA 2-18-704), the Local Government provides its employees who retire, along with their</t>
  </si>
  <si>
    <t xml:space="preserve">varied between $700.00 and $2300.00 per month, depending on the coverage selected. </t>
  </si>
  <si>
    <t>NO RETIREES ARE FUNDED BY THE TOWN OF BROADUS</t>
  </si>
  <si>
    <t>MAYOR AND CLERK</t>
  </si>
  <si>
    <t>FOLLOWING SPENDING POLICY</t>
  </si>
  <si>
    <t>RESTRICTED</t>
  </si>
  <si>
    <t>COMMITTED</t>
  </si>
  <si>
    <t>ASSIGNED</t>
  </si>
  <si>
    <t>THIRD</t>
  </si>
  <si>
    <t>POWDER RIVER COUNTY</t>
  </si>
  <si>
    <t>MAYOR/COUNCIL</t>
  </si>
  <si>
    <t>COMP INSURANCE</t>
  </si>
  <si>
    <t>CD'S</t>
  </si>
  <si>
    <t>1ST BANK - BROADUS</t>
  </si>
  <si>
    <t>OUTSTANDING CKS</t>
  </si>
  <si>
    <t>The composition of cash and investments held by the TOWN OF BROADUS at June 30 is as follows:</t>
  </si>
  <si>
    <t>ENTITLEMENT SHARES</t>
  </si>
  <si>
    <t xml:space="preserve">DNRC </t>
  </si>
  <si>
    <t>OIL GAS PRODUCTION</t>
  </si>
  <si>
    <t>COAL IMPACT</t>
  </si>
  <si>
    <t>GAS APPORTIONMENT</t>
  </si>
  <si>
    <t>ON BEHALF PAYMENTS</t>
  </si>
  <si>
    <t>LIVE CARD</t>
  </si>
  <si>
    <t>GAMBLING MACHINE</t>
  </si>
  <si>
    <t>MEETS THE REQUIREMENTS OF THE STATE OF MONTANA. TOWN OF BROADUS DOESN'T BELIEVE THE EXPENSE OF AN ARBITRATOR IS NEEDED AT THIS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</si>
</sst>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1" formatCode="_(* #,##0_);_(* \(#,##0\);_(* &quot;-&quot;_);_(@_)"/>
    <numFmt numFmtId="44" formatCode="_(&quot;$&quot;* #,##0.00_);_(&quot;$&quot;* \(#,##0.00\);_(&quot;$&quot;*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0.000%"/>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sz val="48"/>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2"/>
      <color indexed="17"/>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b/>
      <u/>
      <sz val="9"/>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72"/>
      <name val="Arial"/>
      <family val="2"/>
    </font>
    <font>
      <sz val="26"/>
      <name val="Arial"/>
      <family val="2"/>
    </font>
    <font>
      <b/>
      <u/>
      <sz val="12"/>
      <color theme="9" tint="-0.249977111117893"/>
      <name val="Arial"/>
      <family val="2"/>
    </font>
    <font>
      <sz val="10"/>
      <color theme="9" tint="-0.249977111117893"/>
      <name val="Arial"/>
      <family val="2"/>
    </font>
    <font>
      <b/>
      <sz val="11"/>
      <color theme="9" tint="-0.249977111117893"/>
      <name val="Arial"/>
      <family val="2"/>
    </font>
    <font>
      <sz val="8.5"/>
      <name val="Lucida Sans Unicode"/>
      <family val="2"/>
    </font>
    <font>
      <b/>
      <sz val="10"/>
      <name val="Myriad Web"/>
      <family val="2"/>
    </font>
    <font>
      <b/>
      <sz val="10"/>
      <color indexed="10"/>
      <name val="Myriad Web"/>
      <family val="2"/>
    </font>
    <font>
      <sz val="10"/>
      <name val="Myriad Web"/>
      <family val="2"/>
    </font>
    <font>
      <b/>
      <sz val="8"/>
      <name val="Myriad Web"/>
      <family val="2"/>
    </font>
    <font>
      <b/>
      <sz val="10"/>
      <color indexed="54"/>
      <name val="Myriad Web"/>
      <family val="2"/>
    </font>
    <font>
      <sz val="10"/>
      <color theme="1"/>
      <name val="Calibri"/>
      <family val="2"/>
      <scheme val="minor"/>
    </font>
    <font>
      <sz val="10"/>
      <color rgb="FFFF0000"/>
      <name val="Arial"/>
      <family val="2"/>
    </font>
    <font>
      <b/>
      <sz val="12"/>
      <color theme="9" tint="-0.249977111117893"/>
      <name val="Arial"/>
      <family val="2"/>
    </font>
    <font>
      <b/>
      <sz val="11"/>
      <color theme="8" tint="-0.249977111117893"/>
      <name val="Arial"/>
      <family val="2"/>
    </font>
    <font>
      <b/>
      <sz val="11"/>
      <color rgb="FFFF0000"/>
      <name val="Arial"/>
      <family val="2"/>
    </font>
    <font>
      <u/>
      <sz val="12"/>
      <name val="Arial"/>
      <family val="2"/>
    </font>
    <font>
      <b/>
      <sz val="12"/>
      <color indexed="81"/>
      <name val="Tahoma"/>
      <family val="2"/>
    </font>
    <font>
      <b/>
      <u/>
      <sz val="10"/>
      <color indexed="12"/>
      <name val="Arial"/>
      <family val="2"/>
    </font>
    <font>
      <b/>
      <sz val="12"/>
      <name val="Myriad Web"/>
      <family val="2"/>
    </font>
    <font>
      <b/>
      <sz val="10"/>
      <name val="Myriad Web"/>
    </font>
    <font>
      <b/>
      <sz val="11"/>
      <name val="Myriad Web"/>
    </font>
    <font>
      <b/>
      <sz val="10"/>
      <color rgb="FFFF0000"/>
      <name val="Myriad Web"/>
    </font>
    <font>
      <sz val="10"/>
      <name val="Myriad Web"/>
    </font>
    <font>
      <b/>
      <sz val="12"/>
      <color theme="1"/>
      <name val="Myriad Web"/>
      <family val="2"/>
    </font>
    <font>
      <b/>
      <sz val="11"/>
      <color theme="1"/>
      <name val="Myriad Web"/>
      <family val="2"/>
    </font>
    <font>
      <sz val="10"/>
      <color theme="1"/>
      <name val="Myriad Web"/>
      <family val="2"/>
    </font>
    <font>
      <b/>
      <sz val="10"/>
      <color theme="1"/>
      <name val="Myriad Web"/>
      <family val="2"/>
    </font>
    <font>
      <b/>
      <sz val="12"/>
      <name val="Myriad Web"/>
    </font>
    <font>
      <sz val="10"/>
      <color theme="0"/>
      <name val="Myriad Web"/>
      <family val="2"/>
    </font>
    <font>
      <b/>
      <sz val="18"/>
      <color theme="9" tint="-0.249977111117893"/>
      <name val="Arial"/>
      <family val="2"/>
    </font>
    <font>
      <b/>
      <u/>
      <sz val="18"/>
      <color theme="5"/>
      <name val="Arial"/>
      <family val="2"/>
    </font>
    <font>
      <sz val="18"/>
      <name val="Arial"/>
      <family val="2"/>
    </font>
    <font>
      <b/>
      <u/>
      <sz val="11"/>
      <name val="Arial"/>
      <family val="2"/>
    </font>
    <font>
      <u/>
      <sz val="11"/>
      <name val="Arial"/>
      <family val="2"/>
    </font>
    <font>
      <b/>
      <sz val="12"/>
      <color rgb="FFFF0000"/>
      <name val="Arial"/>
      <family val="2"/>
    </font>
    <font>
      <b/>
      <sz val="16"/>
      <color theme="9" tint="-0.249977111117893"/>
      <name val="Arial"/>
      <family val="2"/>
    </font>
    <font>
      <b/>
      <sz val="14"/>
      <color theme="9" tint="-0.249977111117893"/>
      <name val="Arial"/>
      <family val="2"/>
    </font>
    <font>
      <b/>
      <u/>
      <sz val="16"/>
      <color theme="5"/>
      <name val="Arial"/>
      <family val="2"/>
    </font>
    <font>
      <b/>
      <u/>
      <sz val="9"/>
      <color indexed="81"/>
      <name val="Tahoma"/>
      <family val="2"/>
    </font>
    <font>
      <b/>
      <sz val="10"/>
      <color rgb="FFFF0000"/>
      <name val="Arial"/>
      <family val="2"/>
    </font>
    <font>
      <b/>
      <sz val="12"/>
      <color theme="1"/>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b/>
      <u/>
      <sz val="11"/>
      <color rgb="FF002060"/>
      <name val="Arial"/>
      <family val="2"/>
    </font>
    <font>
      <b/>
      <sz val="14"/>
      <color theme="4" tint="-0.249977111117893"/>
      <name val="Arial"/>
      <family val="2"/>
    </font>
    <font>
      <sz val="10"/>
      <color theme="4" tint="-0.249977111117893"/>
      <name val="Arial"/>
      <family val="2"/>
    </font>
    <font>
      <b/>
      <sz val="12"/>
      <color theme="4" tint="-0.249977111117893"/>
      <name val="Arial"/>
      <family val="2"/>
    </font>
    <font>
      <b/>
      <sz val="10"/>
      <color theme="4" tint="-0.249977111117893"/>
      <name val="Arial"/>
      <family val="2"/>
    </font>
    <font>
      <b/>
      <sz val="24"/>
      <color theme="4" tint="-0.249977111117893"/>
      <name val="Arial"/>
      <family val="2"/>
    </font>
    <font>
      <b/>
      <sz val="22"/>
      <color theme="4" tint="-0.249977111117893"/>
      <name val="Arial"/>
      <family val="2"/>
    </font>
    <font>
      <b/>
      <sz val="16"/>
      <color rgb="FFFF0000"/>
      <name val="Arial"/>
      <family val="2"/>
    </font>
    <font>
      <b/>
      <sz val="24"/>
      <color rgb="FFFF0000"/>
      <name val="Arial"/>
      <family val="2"/>
    </font>
    <font>
      <i/>
      <sz val="10"/>
      <color theme="8"/>
      <name val="Arial"/>
      <family val="2"/>
    </font>
    <font>
      <sz val="11"/>
      <color rgb="FF3C3C3D"/>
      <name val="Arial"/>
      <family val="2"/>
    </font>
    <font>
      <b/>
      <u/>
      <sz val="12"/>
      <color rgb="FFFF0000"/>
      <name val="Arial"/>
      <family val="2"/>
    </font>
    <font>
      <b/>
      <i/>
      <sz val="10"/>
      <color theme="3"/>
      <name val="Arial"/>
      <family val="2"/>
    </font>
    <font>
      <b/>
      <sz val="11"/>
      <color theme="3"/>
      <name val="Arial"/>
      <family val="2"/>
    </font>
    <font>
      <i/>
      <sz val="9"/>
      <color rgb="FFFF0000"/>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b/>
      <sz val="11"/>
      <name val="Calibri"/>
      <family val="2"/>
      <scheme val="minor"/>
    </font>
    <font>
      <b/>
      <sz val="11"/>
      <color theme="9" tint="-0.249977111117893"/>
      <name val="Calibri"/>
      <family val="2"/>
      <scheme val="minor"/>
    </font>
    <font>
      <sz val="10"/>
      <color rgb="FF0070C0"/>
      <name val="Arial"/>
      <family val="2"/>
    </font>
  </fonts>
  <fills count="2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indexed="4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C99"/>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s>
  <borders count="115">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top/>
      <bottom style="medium">
        <color indexed="12"/>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right style="medium">
        <color indexed="12"/>
      </right>
      <top/>
      <bottom/>
      <diagonal/>
    </border>
    <border>
      <left style="medium">
        <color indexed="12"/>
      </left>
      <right/>
      <top/>
      <bottom style="medium">
        <color indexed="12"/>
      </bottom>
      <diagonal/>
    </border>
    <border>
      <left/>
      <right style="medium">
        <color indexed="12"/>
      </right>
      <top/>
      <bottom style="medium">
        <color indexed="12"/>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s>
  <cellStyleXfs count="232">
    <xf numFmtId="0" fontId="0" fillId="0" borderId="0"/>
    <xf numFmtId="0" fontId="27" fillId="0" borderId="0"/>
    <xf numFmtId="0" fontId="12" fillId="0" borderId="0"/>
    <xf numFmtId="0" fontId="12" fillId="0" borderId="0"/>
    <xf numFmtId="0" fontId="12" fillId="0" borderId="0"/>
    <xf numFmtId="0" fontId="49" fillId="0" borderId="0"/>
    <xf numFmtId="39" fontId="27" fillId="0" borderId="0"/>
    <xf numFmtId="0" fontId="27" fillId="0" borderId="0"/>
    <xf numFmtId="0" fontId="27" fillId="0" borderId="0"/>
    <xf numFmtId="0" fontId="17" fillId="0" borderId="0"/>
    <xf numFmtId="0" fontId="9" fillId="0" borderId="0"/>
    <xf numFmtId="0" fontId="17" fillId="0" borderId="0"/>
    <xf numFmtId="0" fontId="59" fillId="0" borderId="0" applyNumberFormat="0" applyFill="0" applyBorder="0" applyAlignment="0" applyProtection="0"/>
    <xf numFmtId="0" fontId="8" fillId="0" borderId="0"/>
    <xf numFmtId="0" fontId="8" fillId="0" borderId="0"/>
    <xf numFmtId="0" fontId="79"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17" fillId="0" borderId="0"/>
    <xf numFmtId="0" fontId="7" fillId="0" borderId="0"/>
    <xf numFmtId="0" fontId="12" fillId="0" borderId="0"/>
    <xf numFmtId="0" fontId="6" fillId="0" borderId="0"/>
    <xf numFmtId="42" fontId="17" fillId="0" borderId="0" applyFont="0" applyFill="0" applyBorder="0" applyAlignment="0" applyProtection="0"/>
    <xf numFmtId="42"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92" fillId="0" borderId="0" applyNumberFormat="0" applyFill="0" applyBorder="0" applyAlignment="0" applyProtection="0">
      <alignment vertical="top"/>
      <protection locked="0"/>
    </xf>
    <xf numFmtId="0" fontId="59" fillId="0" borderId="0" applyNumberFormat="0" applyFill="0" applyBorder="0" applyAlignment="0" applyProtection="0"/>
    <xf numFmtId="0" fontId="17" fillId="0" borderId="0"/>
    <xf numFmtId="0" fontId="6" fillId="0" borderId="0"/>
    <xf numFmtId="0" fontId="6" fillId="0" borderId="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4" fillId="0" borderId="0"/>
    <xf numFmtId="0" fontId="4" fillId="0" borderId="0"/>
    <xf numFmtId="0" fontId="4" fillId="0" borderId="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cellStyleXfs>
  <cellXfs count="1787">
    <xf numFmtId="0" fontId="0" fillId="0" borderId="0" xfId="0"/>
    <xf numFmtId="0" fontId="0" fillId="0" borderId="1" xfId="0" applyBorder="1"/>
    <xf numFmtId="0" fontId="0" fillId="0" borderId="0" xfId="0" applyAlignment="1">
      <alignment horizontal="centerContinuous"/>
    </xf>
    <xf numFmtId="0" fontId="10" fillId="0" borderId="0" xfId="0" applyFont="1" applyAlignment="1">
      <alignment horizontal="centerContinuous"/>
    </xf>
    <xf numFmtId="0" fontId="11" fillId="0" borderId="0" xfId="0" applyFont="1" applyAlignment="1">
      <alignment horizontal="centerContinuous"/>
    </xf>
    <xf numFmtId="164" fontId="11" fillId="0" borderId="0" xfId="0" applyNumberFormat="1" applyFont="1" applyAlignment="1">
      <alignment horizontal="centerContinuous"/>
    </xf>
    <xf numFmtId="0" fontId="12" fillId="0" borderId="0" xfId="0" applyFont="1"/>
    <xf numFmtId="0" fontId="11" fillId="0" borderId="0" xfId="0" applyFont="1" applyAlignment="1">
      <alignment horizontal="center"/>
    </xf>
    <xf numFmtId="0" fontId="13" fillId="0" borderId="0" xfId="0" applyFont="1"/>
    <xf numFmtId="0" fontId="13" fillId="0" borderId="0" xfId="0" applyFont="1" applyAlignment="1">
      <alignment horizontal="center"/>
    </xf>
    <xf numFmtId="0" fontId="13" fillId="0" borderId="0" xfId="0" applyFont="1" applyAlignment="1">
      <alignment horizontal="centerContinuous"/>
    </xf>
    <xf numFmtId="0" fontId="0" fillId="0" borderId="1" xfId="0" applyBorder="1" applyAlignment="1">
      <alignment horizontal="centerContinuous"/>
    </xf>
    <xf numFmtId="0" fontId="13" fillId="0" borderId="0" xfId="0" applyFont="1" applyBorder="1" applyAlignment="1">
      <alignment horizontal="centerContinuous"/>
    </xf>
    <xf numFmtId="0" fontId="0" fillId="0" borderId="0" xfId="0" applyBorder="1" applyAlignment="1">
      <alignment horizontal="centerContinuous"/>
    </xf>
    <xf numFmtId="0" fontId="10" fillId="0" borderId="1" xfId="0" applyFont="1" applyBorder="1" applyAlignment="1">
      <alignment horizontal="centerContinuous"/>
    </xf>
    <xf numFmtId="0" fontId="10" fillId="0" borderId="0" xfId="0" quotePrefix="1" applyFont="1" applyAlignment="1">
      <alignment horizontal="center"/>
    </xf>
    <xf numFmtId="0" fontId="10" fillId="0" borderId="0" xfId="0" applyFont="1" applyAlignment="1">
      <alignment horizontal="center"/>
    </xf>
    <xf numFmtId="0" fontId="15" fillId="0" borderId="0" xfId="0" applyFont="1" applyAlignment="1">
      <alignment horizontal="left"/>
    </xf>
    <xf numFmtId="0" fontId="15" fillId="0" borderId="0" xfId="0" applyFont="1"/>
    <xf numFmtId="0" fontId="10" fillId="0" borderId="0" xfId="0" applyFont="1"/>
    <xf numFmtId="0" fontId="16" fillId="0" borderId="0" xfId="0" applyFont="1" applyAlignment="1">
      <alignment horizontal="center"/>
    </xf>
    <xf numFmtId="0" fontId="0" fillId="0" borderId="2" xfId="0" applyBorder="1" applyAlignment="1">
      <alignment horizontal="centerContinuous"/>
    </xf>
    <xf numFmtId="0" fontId="0" fillId="0" borderId="3" xfId="0" applyBorder="1" applyAlignment="1">
      <alignment horizontal="centerContinuous"/>
    </xf>
    <xf numFmtId="0" fontId="0" fillId="0" borderId="4" xfId="0" applyBorder="1"/>
    <xf numFmtId="0" fontId="0" fillId="0" borderId="5" xfId="0" applyBorder="1"/>
    <xf numFmtId="0" fontId="0" fillId="0" borderId="6" xfId="0" applyBorder="1"/>
    <xf numFmtId="0" fontId="0" fillId="0" borderId="7" xfId="0" applyBorder="1"/>
    <xf numFmtId="0" fontId="0" fillId="0" borderId="3" xfId="0" applyBorder="1"/>
    <xf numFmtId="0" fontId="0" fillId="0" borderId="8" xfId="0" applyBorder="1"/>
    <xf numFmtId="0" fontId="0" fillId="0" borderId="0" xfId="0" applyBorder="1"/>
    <xf numFmtId="0" fontId="0" fillId="0" borderId="10" xfId="0" applyBorder="1" applyAlignment="1">
      <alignment horizontal="centerContinuous"/>
    </xf>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0" fillId="0" borderId="0" xfId="0" applyFont="1" applyBorder="1" applyAlignment="1">
      <alignment horizontal="centerContinuous"/>
    </xf>
    <xf numFmtId="0" fontId="10" fillId="0" borderId="13" xfId="0" applyFont="1" applyBorder="1" applyAlignment="1">
      <alignment horizontal="centerContinuous"/>
    </xf>
    <xf numFmtId="0" fontId="10" fillId="0" borderId="14" xfId="0" applyFont="1" applyBorder="1" applyAlignment="1">
      <alignment horizontal="centerContinuous"/>
    </xf>
    <xf numFmtId="0" fontId="0" fillId="0" borderId="29" xfId="0" applyBorder="1"/>
    <xf numFmtId="0" fontId="0" fillId="0" borderId="30" xfId="0" applyBorder="1"/>
    <xf numFmtId="0" fontId="17" fillId="0" borderId="0" xfId="0" applyFont="1"/>
    <xf numFmtId="0" fontId="0" fillId="0" borderId="14" xfId="0" applyBorder="1" applyAlignment="1">
      <alignment horizontal="centerContinuous"/>
    </xf>
    <xf numFmtId="0" fontId="10" fillId="0" borderId="28" xfId="0" applyFont="1" applyBorder="1" applyAlignment="1">
      <alignment horizontal="centerContinuous"/>
    </xf>
    <xf numFmtId="0" fontId="10" fillId="0" borderId="8" xfId="0" applyFont="1" applyBorder="1" applyAlignment="1">
      <alignment horizontal="centerContinuous"/>
    </xf>
    <xf numFmtId="0" fontId="0" fillId="0" borderId="31" xfId="0" applyBorder="1"/>
    <xf numFmtId="0" fontId="10" fillId="0" borderId="31" xfId="0" applyFont="1" applyBorder="1" applyAlignment="1">
      <alignment horizontal="centerContinuous"/>
    </xf>
    <xf numFmtId="0" fontId="0" fillId="0" borderId="32" xfId="0" applyBorder="1"/>
    <xf numFmtId="0" fontId="10" fillId="0" borderId="5" xfId="0" applyFont="1" applyBorder="1" applyAlignment="1">
      <alignment horizontal="centerContinuous"/>
    </xf>
    <xf numFmtId="0" fontId="0" fillId="0" borderId="33" xfId="0" applyBorder="1"/>
    <xf numFmtId="0" fontId="10"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0" fillId="0" borderId="35" xfId="0" applyFont="1" applyBorder="1" applyAlignment="1">
      <alignment horizontal="centerContinuous"/>
    </xf>
    <xf numFmtId="0" fontId="10" fillId="0" borderId="22" xfId="0" applyFont="1" applyBorder="1" applyAlignment="1">
      <alignment horizontal="centerContinuous"/>
    </xf>
    <xf numFmtId="0" fontId="10" fillId="0" borderId="34" xfId="0" applyFont="1" applyBorder="1" applyAlignment="1">
      <alignment horizontal="centerContinuous"/>
    </xf>
    <xf numFmtId="0" fontId="0" fillId="0" borderId="8" xfId="0" applyBorder="1" applyAlignment="1">
      <alignment horizontal="centerContinuous"/>
    </xf>
    <xf numFmtId="0" fontId="10" fillId="0" borderId="15" xfId="0" applyFont="1" applyBorder="1" applyAlignment="1">
      <alignment horizontal="centerContinuous"/>
    </xf>
    <xf numFmtId="0" fontId="10" fillId="0" borderId="20" xfId="0" applyFont="1" applyBorder="1" applyAlignment="1">
      <alignment horizontal="centerContinuous"/>
    </xf>
    <xf numFmtId="0" fontId="10" fillId="0" borderId="9" xfId="0" applyFont="1" applyBorder="1" applyAlignment="1">
      <alignment horizontal="centerContinuous"/>
    </xf>
    <xf numFmtId="0" fontId="10" fillId="0" borderId="17" xfId="0" applyFont="1" applyBorder="1" applyAlignment="1">
      <alignment horizontal="centerContinuous"/>
    </xf>
    <xf numFmtId="0" fontId="10" fillId="0" borderId="19" xfId="0" applyFont="1" applyBorder="1"/>
    <xf numFmtId="0" fontId="0" fillId="0" borderId="9" xfId="0" applyBorder="1" applyAlignment="1">
      <alignment horizontal="centerContinuous"/>
    </xf>
    <xf numFmtId="0" fontId="10" fillId="0" borderId="1" xfId="0" applyFont="1" applyBorder="1" applyAlignment="1">
      <alignment horizontal="center" wrapText="1"/>
    </xf>
    <xf numFmtId="0" fontId="10" fillId="0" borderId="1" xfId="0" applyFont="1" applyBorder="1" applyAlignment="1">
      <alignment horizontal="center"/>
    </xf>
    <xf numFmtId="0" fontId="11" fillId="0" borderId="17" xfId="0" applyFont="1" applyBorder="1" applyAlignment="1">
      <alignment horizontal="centerContinuous"/>
    </xf>
    <xf numFmtId="0" fontId="13" fillId="0" borderId="8" xfId="0" applyFont="1" applyBorder="1" applyAlignment="1">
      <alignment horizontal="centerContinuous"/>
    </xf>
    <xf numFmtId="0" fontId="13" fillId="0" borderId="9" xfId="0" applyFont="1" applyBorder="1" applyAlignment="1">
      <alignment horizontal="centerContinuous"/>
    </xf>
    <xf numFmtId="0" fontId="11" fillId="0" borderId="31" xfId="0" applyFont="1" applyBorder="1" applyAlignment="1">
      <alignment horizontal="centerContinuous"/>
    </xf>
    <xf numFmtId="0" fontId="13" fillId="0" borderId="5" xfId="0" applyFont="1" applyBorder="1" applyAlignment="1">
      <alignment horizontal="centerContinuous"/>
    </xf>
    <xf numFmtId="0" fontId="10" fillId="0" borderId="19" xfId="0" applyFont="1" applyBorder="1" applyAlignment="1">
      <alignment horizontal="center" wrapText="1"/>
    </xf>
    <xf numFmtId="0" fontId="10" fillId="0" borderId="4" xfId="0" applyFont="1" applyBorder="1" applyAlignment="1">
      <alignment horizontal="center" wrapText="1"/>
    </xf>
    <xf numFmtId="0" fontId="10" fillId="0" borderId="0" xfId="0" applyFont="1" applyBorder="1"/>
    <xf numFmtId="0" fontId="0" fillId="0" borderId="36" xfId="0"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10" fillId="0" borderId="36" xfId="0" applyFont="1" applyBorder="1"/>
    <xf numFmtId="0" fontId="10" fillId="0" borderId="7" xfId="0" applyFont="1" applyBorder="1"/>
    <xf numFmtId="0" fontId="10" fillId="0" borderId="6" xfId="0" applyFont="1" applyBorder="1"/>
    <xf numFmtId="0" fontId="0" fillId="0" borderId="9" xfId="0" applyBorder="1" applyAlignment="1">
      <alignment horizontal="centerContinuous" wrapText="1"/>
    </xf>
    <xf numFmtId="0" fontId="10" fillId="0" borderId="36" xfId="0" applyFont="1" applyBorder="1" applyAlignment="1">
      <alignment horizontal="center" wrapText="1"/>
    </xf>
    <xf numFmtId="0" fontId="11" fillId="0" borderId="8" xfId="0" applyFont="1" applyBorder="1" applyAlignment="1">
      <alignment horizontal="centerContinuous"/>
    </xf>
    <xf numFmtId="0" fontId="11" fillId="0" borderId="9" xfId="0" applyFont="1" applyBorder="1" applyAlignment="1">
      <alignment horizontal="centerContinuous"/>
    </xf>
    <xf numFmtId="0" fontId="11" fillId="0" borderId="0" xfId="0" applyFont="1" applyBorder="1" applyAlignment="1">
      <alignment horizontal="centerContinuous"/>
    </xf>
    <xf numFmtId="0" fontId="11" fillId="0" borderId="5" xfId="0" applyFont="1" applyBorder="1" applyAlignment="1">
      <alignment horizontal="centerContinuous"/>
    </xf>
    <xf numFmtId="164" fontId="11" fillId="0" borderId="31" xfId="0" applyNumberFormat="1" applyFont="1" applyBorder="1" applyAlignment="1">
      <alignment horizontal="centerContinuous"/>
    </xf>
    <xf numFmtId="0" fontId="10" fillId="0" borderId="31" xfId="0" applyFont="1" applyBorder="1" applyAlignment="1">
      <alignment wrapText="1"/>
    </xf>
    <xf numFmtId="0" fontId="10" fillId="0" borderId="31" xfId="0" applyFont="1" applyBorder="1" applyAlignment="1">
      <alignment horizontal="center"/>
    </xf>
    <xf numFmtId="0" fontId="10" fillId="0" borderId="19" xfId="0" applyFont="1" applyBorder="1" applyAlignment="1">
      <alignment horizontal="centerContinuous"/>
    </xf>
    <xf numFmtId="0" fontId="11" fillId="0" borderId="36" xfId="0" applyFont="1" applyBorder="1" applyAlignment="1">
      <alignment horizontal="centerContinuous"/>
    </xf>
    <xf numFmtId="0" fontId="10" fillId="0" borderId="19" xfId="0" applyFont="1" applyBorder="1" applyAlignment="1">
      <alignment wrapText="1"/>
    </xf>
    <xf numFmtId="0" fontId="18"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0" fillId="0" borderId="4" xfId="0" applyFont="1" applyBorder="1" applyAlignment="1">
      <alignment horizontal="centerContinuous"/>
    </xf>
    <xf numFmtId="0" fontId="0" fillId="0" borderId="35" xfId="0" applyBorder="1"/>
    <xf numFmtId="0" fontId="20" fillId="0" borderId="0" xfId="0" applyFont="1" applyAlignment="1">
      <alignment horizontal="left"/>
    </xf>
    <xf numFmtId="0" fontId="10" fillId="0" borderId="0" xfId="0" applyFont="1" applyBorder="1" applyAlignment="1">
      <alignment horizontal="center"/>
    </xf>
    <xf numFmtId="0" fontId="10" fillId="0" borderId="17" xfId="0" applyFont="1" applyBorder="1" applyAlignment="1">
      <alignment horizontal="center"/>
    </xf>
    <xf numFmtId="0" fontId="10" fillId="0" borderId="19"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4" xfId="0" applyFont="1" applyBorder="1" applyAlignment="1">
      <alignment horizontal="center"/>
    </xf>
    <xf numFmtId="0" fontId="0" fillId="0" borderId="39" xfId="0" applyBorder="1"/>
    <xf numFmtId="0" fontId="20" fillId="0" borderId="0" xfId="0" applyFont="1" applyAlignment="1">
      <alignment horizontal="center"/>
    </xf>
    <xf numFmtId="0" fontId="20" fillId="0" borderId="0" xfId="0" applyFont="1"/>
    <xf numFmtId="0" fontId="14" fillId="0" borderId="0" xfId="0" applyFont="1"/>
    <xf numFmtId="0" fontId="0" fillId="0" borderId="41" xfId="0" applyBorder="1"/>
    <xf numFmtId="0" fontId="10" fillId="0" borderId="27" xfId="0" applyFont="1" applyBorder="1" applyAlignment="1">
      <alignment horizontal="centerContinuous"/>
    </xf>
    <xf numFmtId="0" fontId="22" fillId="0" borderId="13" xfId="0" applyFont="1" applyBorder="1" applyAlignment="1">
      <alignment horizontal="centerContinuous"/>
    </xf>
    <xf numFmtId="0" fontId="21" fillId="0" borderId="0" xfId="0" applyFont="1"/>
    <xf numFmtId="0" fontId="13" fillId="0" borderId="0" xfId="0" quotePrefix="1" applyFont="1" applyAlignment="1">
      <alignment horizontal="centerContinuous"/>
    </xf>
    <xf numFmtId="0" fontId="13" fillId="0" borderId="0" xfId="0" quotePrefix="1" applyFont="1" applyAlignment="1">
      <alignment horizontal="center"/>
    </xf>
    <xf numFmtId="0" fontId="13" fillId="0" borderId="7" xfId="0" quotePrefix="1" applyFont="1" applyBorder="1" applyAlignment="1">
      <alignment horizontal="centerContinuous"/>
    </xf>
    <xf numFmtId="0" fontId="10" fillId="0" borderId="7" xfId="0" applyFont="1" applyBorder="1" applyAlignment="1">
      <alignment horizontal="centerContinuous"/>
    </xf>
    <xf numFmtId="0" fontId="0" fillId="0" borderId="7" xfId="0" applyBorder="1" applyAlignment="1">
      <alignment horizontal="centerContinuous"/>
    </xf>
    <xf numFmtId="0" fontId="10" fillId="0" borderId="8" xfId="0" applyFont="1" applyBorder="1" applyAlignment="1">
      <alignment horizontal="centerContinuous" wrapText="1"/>
    </xf>
    <xf numFmtId="0" fontId="10"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7" fontId="0" fillId="0" borderId="6" xfId="0" applyNumberFormat="1" applyBorder="1"/>
    <xf numFmtId="0" fontId="0" fillId="0" borderId="6" xfId="0" applyBorder="1" applyAlignment="1">
      <alignment horizontal="centerContinuous"/>
    </xf>
    <xf numFmtId="0" fontId="10" fillId="0" borderId="6" xfId="0" applyFont="1" applyBorder="1" applyAlignment="1">
      <alignment horizontal="center" wrapText="1"/>
    </xf>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7" xfId="0" applyNumberFormat="1" applyBorder="1"/>
    <xf numFmtId="39" fontId="0" fillId="0" borderId="6" xfId="0" applyNumberFormat="1" applyBorder="1"/>
    <xf numFmtId="39" fontId="0" fillId="0" borderId="4" xfId="0" applyNumberFormat="1" applyBorder="1"/>
    <xf numFmtId="39" fontId="0" fillId="0" borderId="5" xfId="0" applyNumberFormat="1" applyBorder="1" applyAlignment="1">
      <alignment horizontal="centerContinuous"/>
    </xf>
    <xf numFmtId="39" fontId="0" fillId="0" borderId="4" xfId="0" applyNumberFormat="1" applyBorder="1" applyAlignment="1">
      <alignment horizontal="centerContinuous"/>
    </xf>
    <xf numFmtId="39" fontId="0" fillId="0" borderId="49" xfId="0" applyNumberFormat="1" applyBorder="1"/>
    <xf numFmtId="39" fontId="0" fillId="0" borderId="50" xfId="0" applyNumberFormat="1" applyBorder="1"/>
    <xf numFmtId="39" fontId="0" fillId="0" borderId="31" xfId="0" applyNumberFormat="1" applyBorder="1"/>
    <xf numFmtId="39" fontId="0" fillId="0" borderId="0" xfId="0" applyNumberFormat="1" applyBorder="1"/>
    <xf numFmtId="39" fontId="0" fillId="0" borderId="19" xfId="0" applyNumberFormat="1" applyBorder="1"/>
    <xf numFmtId="39" fontId="0" fillId="0" borderId="10" xfId="0" applyNumberFormat="1" applyBorder="1"/>
    <xf numFmtId="39" fontId="27" fillId="0" borderId="51" xfId="6" applyNumberFormat="1" applyBorder="1" applyProtection="1"/>
    <xf numFmtId="39" fontId="27" fillId="0" borderId="52" xfId="6" applyNumberFormat="1" applyBorder="1" applyProtection="1"/>
    <xf numFmtId="39" fontId="27" fillId="0" borderId="53" xfId="6" applyNumberFormat="1" applyBorder="1" applyProtection="1"/>
    <xf numFmtId="39" fontId="27" fillId="2" borderId="54" xfId="6" applyNumberFormat="1" applyFill="1" applyBorder="1" applyProtection="1"/>
    <xf numFmtId="39" fontId="27" fillId="2" borderId="55" xfId="6" applyNumberFormat="1" applyFill="1" applyBorder="1" applyProtection="1"/>
    <xf numFmtId="39" fontId="12" fillId="2" borderId="52" xfId="6" applyNumberFormat="1" applyFont="1" applyFill="1" applyBorder="1" applyProtection="1"/>
    <xf numFmtId="39" fontId="27" fillId="2" borderId="52" xfId="6" applyNumberFormat="1" applyFill="1" applyBorder="1" applyProtection="1"/>
    <xf numFmtId="39" fontId="27" fillId="2" borderId="53" xfId="6" applyNumberFormat="1" applyFill="1" applyBorder="1" applyProtection="1"/>
    <xf numFmtId="0" fontId="0" fillId="0" borderId="12" xfId="0" applyBorder="1" applyAlignment="1">
      <alignment horizontal="center"/>
    </xf>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2" fillId="0" borderId="35" xfId="0" applyNumberFormat="1" applyFont="1" applyBorder="1" applyAlignment="1">
      <alignment horizontal="centerContinuous"/>
    </xf>
    <xf numFmtId="4" fontId="12" fillId="0" borderId="22" xfId="0" applyNumberFormat="1" applyFont="1" applyBorder="1" applyAlignment="1">
      <alignment horizontal="centerContinuous"/>
    </xf>
    <xf numFmtId="4" fontId="12" fillId="0" borderId="34" xfId="0" applyNumberFormat="1" applyFont="1" applyBorder="1" applyAlignment="1">
      <alignment horizontal="centerContinuous"/>
    </xf>
    <xf numFmtId="4" fontId="12" fillId="0" borderId="18" xfId="0" applyNumberFormat="1" applyFont="1" applyBorder="1" applyAlignment="1">
      <alignment horizontal="centerContinuous"/>
    </xf>
    <xf numFmtId="4" fontId="12" fillId="0" borderId="14" xfId="0" applyNumberFormat="1" applyFont="1" applyBorder="1" applyAlignment="1">
      <alignment horizontal="centerContinuous"/>
    </xf>
    <xf numFmtId="4" fontId="12" fillId="0" borderId="15" xfId="0" applyNumberFormat="1" applyFont="1" applyBorder="1" applyAlignment="1">
      <alignment horizontal="centerContinuous"/>
    </xf>
    <xf numFmtId="4" fontId="12" fillId="0" borderId="37" xfId="0" applyNumberFormat="1" applyFont="1" applyBorder="1" applyAlignment="1">
      <alignment horizontal="centerContinuous"/>
    </xf>
    <xf numFmtId="4" fontId="12" fillId="0" borderId="23" xfId="0" applyNumberFormat="1" applyFont="1" applyBorder="1" applyAlignment="1">
      <alignment horizontal="centerContinuous"/>
    </xf>
    <xf numFmtId="4" fontId="12" fillId="0" borderId="38" xfId="0" applyNumberFormat="1" applyFont="1" applyBorder="1" applyAlignment="1">
      <alignment horizontal="centerContinuous"/>
    </xf>
    <xf numFmtId="4" fontId="12" fillId="0" borderId="31" xfId="0" applyNumberFormat="1" applyFont="1" applyBorder="1" applyAlignment="1">
      <alignment horizontal="centerContinuous"/>
    </xf>
    <xf numFmtId="4" fontId="12" fillId="0" borderId="0" xfId="0" applyNumberFormat="1" applyFont="1" applyBorder="1" applyAlignment="1">
      <alignment horizontal="centerContinuous"/>
    </xf>
    <xf numFmtId="4" fontId="12" fillId="0" borderId="5" xfId="0" applyNumberFormat="1" applyFont="1" applyBorder="1" applyAlignment="1">
      <alignment horizontal="centerContinuous"/>
    </xf>
    <xf numFmtId="4" fontId="12" fillId="0" borderId="19" xfId="0" applyNumberFormat="1" applyFont="1" applyBorder="1" applyAlignment="1">
      <alignment horizontal="centerContinuous"/>
    </xf>
    <xf numFmtId="4" fontId="12" fillId="0" borderId="1" xfId="0" applyNumberFormat="1" applyFont="1" applyBorder="1" applyAlignment="1">
      <alignment horizontal="centerContinuous"/>
    </xf>
    <xf numFmtId="4" fontId="12" fillId="0" borderId="4" xfId="0" applyNumberFormat="1" applyFont="1" applyBorder="1" applyAlignment="1">
      <alignment horizontal="centerContinuous"/>
    </xf>
    <xf numFmtId="0" fontId="12" fillId="0" borderId="35" xfId="0" applyFont="1" applyBorder="1"/>
    <xf numFmtId="0" fontId="12" fillId="0" borderId="22" xfId="0" applyFont="1" applyBorder="1"/>
    <xf numFmtId="0" fontId="12" fillId="0" borderId="18" xfId="0" applyFont="1" applyBorder="1"/>
    <xf numFmtId="0" fontId="12" fillId="0" borderId="14" xfId="0" applyFont="1" applyBorder="1"/>
    <xf numFmtId="0" fontId="12" fillId="0" borderId="37" xfId="0" applyFont="1" applyBorder="1"/>
    <xf numFmtId="0" fontId="12" fillId="0" borderId="23" xfId="0" applyFont="1" applyBorder="1"/>
    <xf numFmtId="0" fontId="0" fillId="0" borderId="19" xfId="0" applyFill="1" applyBorder="1" applyAlignment="1">
      <alignment horizontal="centerContinuous"/>
    </xf>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0" fillId="0" borderId="49" xfId="0" applyBorder="1" applyAlignment="1">
      <alignment wrapText="1"/>
    </xf>
    <xf numFmtId="0" fontId="0" fillId="0" borderId="1" xfId="0" applyBorder="1" applyAlignment="1">
      <alignment wrapText="1"/>
    </xf>
    <xf numFmtId="0" fontId="13" fillId="0" borderId="56" xfId="7" applyFont="1" applyBorder="1" applyAlignment="1">
      <alignment horizontal="center" vertical="center" wrapText="1"/>
    </xf>
    <xf numFmtId="0" fontId="30" fillId="0" borderId="56" xfId="7" applyFont="1" applyBorder="1" applyAlignment="1">
      <alignment horizontal="center" vertical="center" wrapText="1"/>
    </xf>
    <xf numFmtId="0" fontId="27" fillId="0" borderId="0" xfId="7"/>
    <xf numFmtId="0" fontId="29" fillId="0" borderId="0" xfId="7" applyFont="1" applyAlignment="1">
      <alignment horizontal="centerContinuous"/>
    </xf>
    <xf numFmtId="0" fontId="27" fillId="0" borderId="0" xfId="7" applyAlignment="1">
      <alignment horizontal="centerContinuous"/>
    </xf>
    <xf numFmtId="0" fontId="28" fillId="0" borderId="0" xfId="7" applyFont="1" applyAlignment="1">
      <alignment horizontal="centerContinuous"/>
    </xf>
    <xf numFmtId="0" fontId="30" fillId="0" borderId="56" xfId="7" applyFont="1" applyBorder="1" applyAlignment="1">
      <alignment horizontal="center"/>
    </xf>
    <xf numFmtId="0" fontId="30" fillId="0" borderId="56" xfId="7" applyFont="1" applyBorder="1" applyAlignment="1">
      <alignment textRotation="90"/>
    </xf>
    <xf numFmtId="0" fontId="30" fillId="0" borderId="0" xfId="7" applyFont="1"/>
    <xf numFmtId="0" fontId="27" fillId="0" borderId="57" xfId="7" applyBorder="1"/>
    <xf numFmtId="39" fontId="28" fillId="0" borderId="0" xfId="7" applyNumberFormat="1" applyFont="1" applyProtection="1"/>
    <xf numFmtId="0" fontId="31" fillId="0" borderId="0" xfId="7" applyFont="1"/>
    <xf numFmtId="39" fontId="31" fillId="0" borderId="58" xfId="7" applyNumberFormat="1" applyFont="1" applyBorder="1" applyProtection="1"/>
    <xf numFmtId="39" fontId="31" fillId="0" borderId="0" xfId="7" applyNumberFormat="1" applyFont="1" applyProtection="1"/>
    <xf numFmtId="39" fontId="31" fillId="0" borderId="0" xfId="7" applyNumberFormat="1" applyFont="1" applyAlignment="1" applyProtection="1">
      <alignment horizontal="center"/>
    </xf>
    <xf numFmtId="0" fontId="30" fillId="0" borderId="0" xfId="7" applyFont="1" applyAlignment="1">
      <alignment horizontal="center"/>
    </xf>
    <xf numFmtId="39" fontId="31" fillId="0" borderId="57" xfId="7" applyNumberFormat="1" applyFont="1" applyBorder="1" applyProtection="1"/>
    <xf numFmtId="39" fontId="11" fillId="0" borderId="0" xfId="7" applyNumberFormat="1" applyFont="1" applyAlignment="1" applyProtection="1">
      <alignment horizontal="center"/>
    </xf>
    <xf numFmtId="39" fontId="11" fillId="0" borderId="0" xfId="7" applyNumberFormat="1" applyFont="1" applyProtection="1"/>
    <xf numFmtId="39" fontId="31" fillId="0" borderId="0" xfId="7" applyNumberFormat="1" applyFont="1" applyBorder="1" applyProtection="1"/>
    <xf numFmtId="0" fontId="32" fillId="0" borderId="0" xfId="8" applyFont="1" applyAlignment="1">
      <alignment horizontal="centerContinuous"/>
    </xf>
    <xf numFmtId="0" fontId="27" fillId="0" borderId="0" xfId="8" applyAlignment="1">
      <alignment horizontal="centerContinuous"/>
    </xf>
    <xf numFmtId="0" fontId="27" fillId="0" borderId="0" xfId="8"/>
    <xf numFmtId="0" fontId="30" fillId="0" borderId="0" xfId="8" applyFont="1"/>
    <xf numFmtId="0" fontId="30" fillId="0" borderId="0" xfId="8" applyFont="1" applyAlignment="1">
      <alignment horizontal="center"/>
    </xf>
    <xf numFmtId="0" fontId="30" fillId="0" borderId="57" xfId="8" applyFont="1" applyBorder="1" applyAlignment="1">
      <alignment horizontal="center"/>
    </xf>
    <xf numFmtId="39" fontId="27" fillId="0" borderId="58" xfId="8" applyNumberFormat="1" applyBorder="1" applyProtection="1"/>
    <xf numFmtId="39" fontId="27" fillId="0" borderId="58" xfId="8" applyNumberFormat="1" applyBorder="1" applyAlignment="1" applyProtection="1">
      <alignment horizontal="center"/>
    </xf>
    <xf numFmtId="39" fontId="27" fillId="0" borderId="0" xfId="8" applyNumberFormat="1" applyProtection="1"/>
    <xf numFmtId="39" fontId="27" fillId="0" borderId="57" xfId="8" applyNumberFormat="1" applyBorder="1" applyProtection="1"/>
    <xf numFmtId="39" fontId="27" fillId="0" borderId="0" xfId="8" applyNumberFormat="1" applyBorder="1" applyProtection="1"/>
    <xf numFmtId="0" fontId="13" fillId="0" borderId="0" xfId="8" applyFont="1" applyAlignment="1">
      <alignment horizontal="center"/>
    </xf>
    <xf numFmtId="0" fontId="13" fillId="0" borderId="57" xfId="8" applyFont="1" applyBorder="1" applyAlignment="1">
      <alignment horizontal="center"/>
    </xf>
    <xf numFmtId="0" fontId="34" fillId="0" borderId="0" xfId="0" applyFont="1" applyBorder="1"/>
    <xf numFmtId="0" fontId="36" fillId="0" borderId="0" xfId="0" applyFont="1"/>
    <xf numFmtId="0" fontId="38" fillId="0" borderId="0" xfId="0" applyFont="1" applyAlignment="1">
      <alignment horizontal="centerContinuous"/>
    </xf>
    <xf numFmtId="164" fontId="11" fillId="0" borderId="0" xfId="0" applyNumberFormat="1" applyFont="1" applyAlignment="1">
      <alignment horizontal="center"/>
    </xf>
    <xf numFmtId="0" fontId="39" fillId="0" borderId="0" xfId="0" applyFont="1"/>
    <xf numFmtId="0" fontId="26" fillId="0" borderId="0" xfId="0" applyFont="1"/>
    <xf numFmtId="0" fontId="17" fillId="0" borderId="14" xfId="0" applyFont="1" applyBorder="1" applyAlignment="1">
      <alignment horizontal="right"/>
    </xf>
    <xf numFmtId="0" fontId="10" fillId="0" borderId="29" xfId="0" applyFont="1" applyBorder="1"/>
    <xf numFmtId="0" fontId="17" fillId="0" borderId="11" xfId="0" applyFont="1" applyBorder="1"/>
    <xf numFmtId="0" fontId="17" fillId="0" borderId="12" xfId="0" applyFont="1" applyBorder="1" applyAlignment="1">
      <alignment horizontal="right"/>
    </xf>
    <xf numFmtId="0" fontId="17" fillId="0" borderId="12" xfId="0" applyFont="1" applyBorder="1"/>
    <xf numFmtId="0" fontId="10" fillId="0" borderId="0" xfId="0" applyFont="1" applyAlignment="1">
      <alignment horizontal="right"/>
    </xf>
    <xf numFmtId="0" fontId="17" fillId="0" borderId="0" xfId="0" applyFont="1" applyBorder="1"/>
    <xf numFmtId="0" fontId="10" fillId="0" borderId="14" xfId="0" applyFont="1" applyBorder="1" applyAlignment="1">
      <alignment horizontal="center"/>
    </xf>
    <xf numFmtId="0" fontId="10" fillId="0" borderId="13" xfId="0" applyFont="1" applyBorder="1" applyAlignment="1">
      <alignment horizontal="left"/>
    </xf>
    <xf numFmtId="0" fontId="27" fillId="0" borderId="0" xfId="1"/>
    <xf numFmtId="0" fontId="27" fillId="0" borderId="0" xfId="1" applyAlignment="1">
      <alignment horizontal="center"/>
    </xf>
    <xf numFmtId="0" fontId="27" fillId="0" borderId="0" xfId="1" applyAlignment="1">
      <alignment horizontal="fill"/>
    </xf>
    <xf numFmtId="39" fontId="27" fillId="0" borderId="0" xfId="1" applyNumberFormat="1" applyProtection="1"/>
    <xf numFmtId="39" fontId="27" fillId="0" borderId="0" xfId="1" applyNumberFormat="1" applyAlignment="1" applyProtection="1">
      <alignment horizontal="center"/>
    </xf>
    <xf numFmtId="39" fontId="27" fillId="0" borderId="0" xfId="1" applyNumberFormat="1" applyAlignment="1" applyProtection="1">
      <alignment horizontal="fill"/>
    </xf>
    <xf numFmtId="0" fontId="16" fillId="0" borderId="12" xfId="0" applyFont="1" applyBorder="1"/>
    <xf numFmtId="0" fontId="0" fillId="0" borderId="0" xfId="0" applyAlignment="1">
      <alignment horizontal="right"/>
    </xf>
    <xf numFmtId="0" fontId="17" fillId="0" borderId="26" xfId="0" applyFont="1" applyBorder="1"/>
    <xf numFmtId="0" fontId="0" fillId="0" borderId="59" xfId="0" applyBorder="1"/>
    <xf numFmtId="0" fontId="17" fillId="0" borderId="0" xfId="0" applyFont="1" applyAlignment="1">
      <alignment horizontal="right"/>
    </xf>
    <xf numFmtId="0" fontId="0" fillId="4" borderId="0" xfId="0" applyFill="1"/>
    <xf numFmtId="0" fontId="11" fillId="0" borderId="0" xfId="0" applyFont="1" applyAlignment="1" applyProtection="1">
      <alignment horizontal="centerContinuous"/>
      <protection locked="0"/>
    </xf>
    <xf numFmtId="0" fontId="10" fillId="0" borderId="0" xfId="0" applyFont="1" applyAlignment="1" applyProtection="1">
      <alignment horizontal="centerContinuous"/>
      <protection locked="0"/>
    </xf>
    <xf numFmtId="0" fontId="0" fillId="0" borderId="0" xfId="0" applyProtection="1">
      <protection locked="0"/>
    </xf>
    <xf numFmtId="164" fontId="11" fillId="0" borderId="0" xfId="0" applyNumberFormat="1" applyFont="1" applyAlignment="1" applyProtection="1">
      <alignment horizontal="centerContinuous"/>
      <protection locked="0"/>
    </xf>
    <xf numFmtId="0" fontId="12" fillId="0" borderId="0" xfId="0" applyFont="1" applyProtection="1">
      <protection locked="0"/>
    </xf>
    <xf numFmtId="0" fontId="13" fillId="0" borderId="1" xfId="0" applyFont="1" applyBorder="1" applyAlignment="1" applyProtection="1">
      <alignment horizontal="centerContinuous"/>
      <protection locked="0"/>
    </xf>
    <xf numFmtId="0" fontId="12" fillId="0" borderId="1" xfId="0" applyFont="1" applyBorder="1" applyAlignment="1" applyProtection="1">
      <alignment horizontal="centerContinuous"/>
      <protection locked="0"/>
    </xf>
    <xf numFmtId="0" fontId="13" fillId="0" borderId="0" xfId="0" applyFont="1" applyAlignment="1" applyProtection="1">
      <alignment horizontal="center"/>
      <protection locked="0"/>
    </xf>
    <xf numFmtId="0" fontId="13" fillId="0" borderId="1" xfId="0" applyFont="1" applyBorder="1" applyAlignment="1" applyProtection="1">
      <alignment horizontal="center"/>
      <protection locked="0"/>
    </xf>
    <xf numFmtId="0" fontId="13" fillId="0" borderId="0" xfId="0" applyFont="1" applyProtection="1">
      <protection locked="0"/>
    </xf>
    <xf numFmtId="39" fontId="12" fillId="0" borderId="0" xfId="0" applyNumberFormat="1" applyFont="1" applyProtection="1">
      <protection locked="0"/>
    </xf>
    <xf numFmtId="0" fontId="12" fillId="0" borderId="0" xfId="0" applyFont="1" applyAlignment="1" applyProtection="1">
      <alignment wrapText="1"/>
      <protection locked="0"/>
    </xf>
    <xf numFmtId="39" fontId="12" fillId="0" borderId="1" xfId="0" applyNumberFormat="1" applyFont="1" applyBorder="1" applyProtection="1">
      <protection locked="0"/>
    </xf>
    <xf numFmtId="39" fontId="12" fillId="0" borderId="2" xfId="0" applyNumberFormat="1" applyFont="1" applyBorder="1" applyProtection="1">
      <protection locked="0"/>
    </xf>
    <xf numFmtId="39" fontId="12" fillId="0" borderId="60" xfId="0" applyNumberFormat="1" applyFont="1" applyBorder="1" applyProtection="1">
      <protection locked="0"/>
    </xf>
    <xf numFmtId="0" fontId="13" fillId="0" borderId="0" xfId="0" quotePrefix="1" applyFont="1" applyAlignment="1" applyProtection="1">
      <alignment horizontal="centerContinuous"/>
      <protection locked="0"/>
    </xf>
    <xf numFmtId="0" fontId="10"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2" fillId="0" borderId="0" xfId="0" applyNumberFormat="1" applyFont="1" applyProtection="1"/>
    <xf numFmtId="39" fontId="12" fillId="0" borderId="1" xfId="0" applyNumberFormat="1" applyFont="1" applyBorder="1" applyProtection="1"/>
    <xf numFmtId="39" fontId="12" fillId="0" borderId="2" xfId="0" applyNumberFormat="1" applyFont="1" applyBorder="1" applyProtection="1"/>
    <xf numFmtId="39" fontId="12" fillId="0" borderId="60" xfId="0" applyNumberFormat="1" applyFont="1" applyBorder="1" applyProtection="1"/>
    <xf numFmtId="0" fontId="13" fillId="0" borderId="0" xfId="0" applyFont="1" applyAlignment="1" applyProtection="1">
      <alignment horizontal="centerContinuous"/>
      <protection locked="0"/>
    </xf>
    <xf numFmtId="0" fontId="12" fillId="0" borderId="0" xfId="0" applyFont="1" applyAlignment="1" applyProtection="1">
      <alignment horizontal="centerContinuous"/>
      <protection locked="0"/>
    </xf>
    <xf numFmtId="0" fontId="13" fillId="0" borderId="2" xfId="0" applyFont="1" applyBorder="1" applyAlignment="1" applyProtection="1">
      <alignment horizontal="centerContinuous" wrapText="1"/>
      <protection locked="0"/>
    </xf>
    <xf numFmtId="0" fontId="12" fillId="0" borderId="2" xfId="0" applyFont="1" applyBorder="1" applyAlignment="1" applyProtection="1">
      <alignment horizontal="centerContinuous" wrapText="1"/>
      <protection locked="0"/>
    </xf>
    <xf numFmtId="0" fontId="13" fillId="0" borderId="2" xfId="0" applyFont="1" applyBorder="1" applyAlignment="1" applyProtection="1">
      <alignment horizontal="centerContinuous"/>
      <protection locked="0"/>
    </xf>
    <xf numFmtId="0" fontId="12" fillId="0" borderId="2" xfId="0" applyFont="1" applyBorder="1" applyAlignment="1" applyProtection="1">
      <alignment horizontal="centerContinuous"/>
      <protection locked="0"/>
    </xf>
    <xf numFmtId="0" fontId="12" fillId="0" borderId="1" xfId="0" applyFont="1" applyBorder="1" applyProtection="1">
      <protection locked="0"/>
    </xf>
    <xf numFmtId="37" fontId="12" fillId="0" borderId="0" xfId="0" applyNumberFormat="1" applyFont="1" applyProtection="1">
      <protection locked="0"/>
    </xf>
    <xf numFmtId="0" fontId="13" fillId="0" borderId="0" xfId="0" quotePrefix="1" applyFont="1" applyAlignment="1" applyProtection="1">
      <alignment textRotation="180"/>
      <protection locked="0"/>
    </xf>
    <xf numFmtId="39" fontId="12" fillId="0" borderId="61" xfId="0" applyNumberFormat="1" applyFont="1" applyBorder="1" applyProtection="1">
      <protection locked="0"/>
    </xf>
    <xf numFmtId="39" fontId="12" fillId="3" borderId="0" xfId="0" applyNumberFormat="1" applyFont="1" applyFill="1" applyProtection="1">
      <protection locked="0"/>
    </xf>
    <xf numFmtId="39" fontId="12" fillId="3" borderId="1" xfId="0" applyNumberFormat="1" applyFont="1" applyFill="1" applyBorder="1" applyProtection="1">
      <protection locked="0"/>
    </xf>
    <xf numFmtId="39" fontId="12" fillId="3" borderId="61" xfId="0" applyNumberFormat="1" applyFont="1" applyFill="1" applyBorder="1" applyProtection="1">
      <protection locked="0"/>
    </xf>
    <xf numFmtId="37" fontId="12" fillId="0" borderId="0" xfId="0" applyNumberFormat="1" applyFont="1" applyAlignment="1" applyProtection="1">
      <alignment horizontal="centerContinuous"/>
      <protection locked="0"/>
    </xf>
    <xf numFmtId="0" fontId="12" fillId="0" borderId="0" xfId="0" applyFont="1" applyAlignment="1" applyProtection="1">
      <protection locked="0"/>
    </xf>
    <xf numFmtId="37" fontId="12" fillId="0" borderId="0" xfId="0" applyNumberFormat="1" applyFont="1" applyAlignment="1" applyProtection="1">
      <alignment horizontal="left"/>
      <protection locked="0"/>
    </xf>
    <xf numFmtId="0" fontId="13" fillId="0" borderId="0" xfId="0" quotePrefix="1" applyFont="1" applyProtection="1">
      <protection locked="0"/>
    </xf>
    <xf numFmtId="4" fontId="12" fillId="0" borderId="0" xfId="0" applyNumberFormat="1" applyFont="1" applyProtection="1">
      <protection locked="0"/>
    </xf>
    <xf numFmtId="39" fontId="12" fillId="0" borderId="61" xfId="0" applyNumberFormat="1" applyFont="1" applyBorder="1" applyProtection="1"/>
    <xf numFmtId="0" fontId="12" fillId="0" borderId="0" xfId="0" applyFont="1" applyAlignment="1" applyProtection="1">
      <alignment horizontal="center"/>
      <protection locked="0"/>
    </xf>
    <xf numFmtId="0" fontId="14" fillId="0" borderId="0" xfId="0" applyFont="1" applyAlignment="1" applyProtection="1">
      <alignment horizontal="center"/>
      <protection locked="0"/>
    </xf>
    <xf numFmtId="39" fontId="0" fillId="0" borderId="0" xfId="0" applyNumberFormat="1" applyProtection="1">
      <protection locked="0"/>
    </xf>
    <xf numFmtId="39" fontId="12" fillId="0" borderId="0" xfId="0" applyNumberFormat="1" applyFont="1" applyBorder="1" applyProtection="1">
      <protection locked="0"/>
    </xf>
    <xf numFmtId="39" fontId="12" fillId="0" borderId="8" xfId="0" applyNumberFormat="1" applyFont="1" applyBorder="1" applyProtection="1">
      <protection locked="0"/>
    </xf>
    <xf numFmtId="0" fontId="0" fillId="0" borderId="0" xfId="0" applyBorder="1" applyProtection="1">
      <protection locked="0"/>
    </xf>
    <xf numFmtId="39" fontId="12" fillId="0" borderId="8" xfId="0" applyNumberFormat="1" applyFont="1" applyBorder="1" applyProtection="1"/>
    <xf numFmtId="39" fontId="12" fillId="0" borderId="0" xfId="0" applyNumberFormat="1" applyFont="1" applyBorder="1" applyProtection="1"/>
    <xf numFmtId="0" fontId="0" fillId="0" borderId="0" xfId="0" applyProtection="1"/>
    <xf numFmtId="0" fontId="0" fillId="0" borderId="0" xfId="0" applyBorder="1" applyProtection="1"/>
    <xf numFmtId="0" fontId="14" fillId="0" borderId="0" xfId="0" applyFont="1" applyAlignment="1" applyProtection="1">
      <alignment horizontal="center" wrapText="1"/>
      <protection locked="0"/>
    </xf>
    <xf numFmtId="39" fontId="12" fillId="0" borderId="0" xfId="0" applyNumberFormat="1" applyFont="1" applyAlignment="1" applyProtection="1">
      <alignment horizontal="right"/>
      <protection locked="0"/>
    </xf>
    <xf numFmtId="0" fontId="13" fillId="0" borderId="0" xfId="0" applyFont="1" applyAlignment="1" applyProtection="1">
      <alignment wrapText="1"/>
      <protection locked="0"/>
    </xf>
    <xf numFmtId="39" fontId="12" fillId="0" borderId="1" xfId="0" applyNumberFormat="1" applyFont="1" applyBorder="1" applyAlignment="1" applyProtection="1">
      <alignment horizontal="right"/>
      <protection locked="0"/>
    </xf>
    <xf numFmtId="39" fontId="12" fillId="0" borderId="0" xfId="0" applyNumberFormat="1" applyFont="1" applyAlignment="1" applyProtection="1">
      <alignment horizontal="right"/>
    </xf>
    <xf numFmtId="39" fontId="12" fillId="0" borderId="2" xfId="0" applyNumberFormat="1" applyFont="1" applyBorder="1" applyAlignment="1" applyProtection="1">
      <alignment horizontal="right"/>
    </xf>
    <xf numFmtId="39" fontId="12" fillId="0" borderId="1" xfId="0" applyNumberFormat="1" applyFont="1" applyBorder="1" applyAlignment="1" applyProtection="1">
      <alignment horizontal="right"/>
    </xf>
    <xf numFmtId="0" fontId="12"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3" fillId="0" borderId="0" xfId="0" applyFont="1" applyAlignment="1" applyProtection="1">
      <alignment horizontal="left"/>
      <protection locked="0"/>
    </xf>
    <xf numFmtId="0" fontId="13" fillId="0" borderId="61" xfId="0" applyFont="1" applyBorder="1" applyAlignment="1" applyProtection="1">
      <alignment horizontal="center"/>
      <protection locked="0"/>
    </xf>
    <xf numFmtId="0" fontId="12" fillId="0" borderId="12" xfId="0" applyFont="1" applyBorder="1" applyProtection="1">
      <protection locked="0"/>
    </xf>
    <xf numFmtId="0" fontId="13" fillId="0" borderId="0" xfId="0" quotePrefix="1" applyFont="1" applyAlignment="1" applyProtection="1">
      <alignment horizontal="centerContinuous" vertical="center"/>
      <protection locked="0"/>
    </xf>
    <xf numFmtId="39" fontId="12" fillId="0" borderId="62" xfId="0" applyNumberFormat="1" applyFont="1" applyBorder="1" applyProtection="1"/>
    <xf numFmtId="0" fontId="13" fillId="0" borderId="0" xfId="0" applyFont="1" applyAlignment="1" applyProtection="1">
      <alignment horizontal="left" wrapText="1"/>
      <protection locked="0"/>
    </xf>
    <xf numFmtId="0" fontId="12" fillId="0" borderId="0" xfId="0" applyFont="1" applyAlignment="1" applyProtection="1">
      <alignment horizontal="left" vertical="justify" wrapText="1"/>
      <protection locked="0"/>
    </xf>
    <xf numFmtId="37" fontId="12" fillId="0" borderId="0" xfId="0" applyNumberFormat="1" applyFont="1" applyProtection="1"/>
    <xf numFmtId="39" fontId="0" fillId="0" borderId="0" xfId="0" applyNumberFormat="1" applyProtection="1"/>
    <xf numFmtId="0" fontId="13" fillId="0" borderId="0" xfId="0" applyFont="1" applyBorder="1" applyAlignment="1" applyProtection="1">
      <alignment horizontal="centerContinuous"/>
      <protection locked="0"/>
    </xf>
    <xf numFmtId="0" fontId="0" fillId="0" borderId="0" xfId="0" applyBorder="1" applyAlignment="1" applyProtection="1">
      <alignment horizontal="centerContinuous"/>
      <protection locked="0"/>
    </xf>
    <xf numFmtId="0" fontId="10" fillId="0" borderId="1" xfId="0" applyFont="1" applyBorder="1" applyAlignment="1" applyProtection="1">
      <alignment horizontal="centerContinuous"/>
      <protection locked="0"/>
    </xf>
    <xf numFmtId="0" fontId="12" fillId="0" borderId="1" xfId="0" applyFont="1" applyBorder="1" applyAlignment="1" applyProtection="1">
      <alignment horizontal="center"/>
      <protection locked="0"/>
    </xf>
    <xf numFmtId="0" fontId="14" fillId="0" borderId="0" xfId="0" applyFont="1" applyAlignment="1" applyProtection="1">
      <alignment horizontal="center" vertical="center"/>
      <protection locked="0"/>
    </xf>
    <xf numFmtId="0" fontId="10" fillId="0" borderId="0" xfId="0" quotePrefix="1" applyFont="1" applyAlignment="1" applyProtection="1">
      <alignment horizontal="center"/>
      <protection locked="0"/>
    </xf>
    <xf numFmtId="0" fontId="15" fillId="0" borderId="0" xfId="0" applyFont="1" applyProtection="1">
      <protection locked="0"/>
    </xf>
    <xf numFmtId="0" fontId="10" fillId="0" borderId="0" xfId="0" applyFont="1" applyAlignment="1" applyProtection="1">
      <alignment horizontal="center"/>
      <protection locked="0"/>
    </xf>
    <xf numFmtId="0" fontId="10" fillId="0" borderId="0" xfId="0" applyFont="1" applyProtection="1">
      <protection locked="0"/>
    </xf>
    <xf numFmtId="0" fontId="0" fillId="0" borderId="0" xfId="0" applyAlignment="1" applyProtection="1">
      <alignment horizontal="center"/>
      <protection locked="0"/>
    </xf>
    <xf numFmtId="0" fontId="16"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applyProtection="1"/>
    <xf numFmtId="39" fontId="0" fillId="0" borderId="61" xfId="0" applyNumberFormat="1" applyBorder="1" applyProtection="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0" fontId="16" fillId="0" borderId="0" xfId="0" applyFont="1" applyAlignment="1" applyProtection="1">
      <alignment horizontal="centerContinuous"/>
      <protection locked="0"/>
    </xf>
    <xf numFmtId="0" fontId="0" fillId="0" borderId="25" xfId="0" applyBorder="1" applyProtection="1">
      <protection locked="0"/>
    </xf>
    <xf numFmtId="0" fontId="0" fillId="0" borderId="24" xfId="0" applyBorder="1" applyProtection="1">
      <protection locked="0"/>
    </xf>
    <xf numFmtId="0" fontId="0" fillId="0" borderId="25" xfId="0" applyBorder="1" applyAlignment="1" applyProtection="1">
      <alignment horizontal="center"/>
      <protection locked="0"/>
    </xf>
    <xf numFmtId="0" fontId="0" fillId="0" borderId="25" xfId="0" applyBorder="1" applyAlignment="1" applyProtection="1">
      <alignment horizontal="centerContinuous"/>
      <protection locked="0"/>
    </xf>
    <xf numFmtId="0" fontId="0" fillId="0" borderId="24" xfId="0" applyBorder="1" applyAlignment="1" applyProtection="1">
      <alignment horizontal="centerContinuous"/>
      <protection locked="0"/>
    </xf>
    <xf numFmtId="0" fontId="0" fillId="0" borderId="59" xfId="0" applyBorder="1" applyAlignment="1" applyProtection="1">
      <alignment horizontal="centerContinuous"/>
      <protection locked="0"/>
    </xf>
    <xf numFmtId="0" fontId="16" fillId="0" borderId="11" xfId="0" applyFont="1" applyBorder="1" applyAlignment="1" applyProtection="1">
      <alignment horizontal="centerContinuous"/>
      <protection locked="0"/>
    </xf>
    <xf numFmtId="0" fontId="16" fillId="0" borderId="11" xfId="0" applyFont="1" applyBorder="1" applyAlignment="1" applyProtection="1">
      <alignment horizontal="center"/>
      <protection locked="0"/>
    </xf>
    <xf numFmtId="0" fontId="16" fillId="0" borderId="0" xfId="0" applyFont="1" applyBorder="1" applyAlignment="1" applyProtection="1">
      <alignment horizontal="centerContinuous"/>
      <protection locked="0"/>
    </xf>
    <xf numFmtId="0" fontId="16" fillId="0" borderId="41" xfId="0" applyFont="1" applyBorder="1" applyAlignment="1" applyProtection="1">
      <alignment horizontal="centerContinuous"/>
      <protection locked="0"/>
    </xf>
    <xf numFmtId="0" fontId="0" fillId="0" borderId="26" xfId="0" applyBorder="1" applyAlignment="1" applyProtection="1">
      <alignment horizontal="centerContinuous"/>
      <protection locked="0"/>
    </xf>
    <xf numFmtId="0" fontId="0" fillId="0" borderId="12" xfId="0" applyBorder="1" applyAlignment="1" applyProtection="1">
      <alignment horizontal="centerContinuous"/>
      <protection locked="0"/>
    </xf>
    <xf numFmtId="0" fontId="0" fillId="0" borderId="26" xfId="0" applyBorder="1" applyAlignment="1" applyProtection="1">
      <alignment horizontal="center"/>
      <protection locked="0"/>
    </xf>
    <xf numFmtId="0" fontId="10" fillId="0" borderId="26" xfId="0" applyFont="1" applyBorder="1" applyAlignment="1" applyProtection="1">
      <alignment horizontal="centerContinuous"/>
      <protection locked="0"/>
    </xf>
    <xf numFmtId="0" fontId="10" fillId="0" borderId="12" xfId="0" applyFont="1" applyBorder="1" applyAlignment="1" applyProtection="1">
      <alignment horizontal="centerContinuous"/>
      <protection locked="0"/>
    </xf>
    <xf numFmtId="39" fontId="0" fillId="0" borderId="12" xfId="0" applyNumberFormat="1" applyBorder="1" applyAlignment="1" applyProtection="1">
      <alignment horizontal="centerContinuous"/>
    </xf>
    <xf numFmtId="39" fontId="0" fillId="0" borderId="0" xfId="0" applyNumberFormat="1" applyAlignment="1" applyProtection="1">
      <alignment horizontal="centerContinuous"/>
    </xf>
    <xf numFmtId="39" fontId="0" fillId="0" borderId="61" xfId="0" applyNumberFormat="1" applyBorder="1" applyAlignment="1" applyProtection="1">
      <alignment horizontal="centerContinuous"/>
    </xf>
    <xf numFmtId="39" fontId="0" fillId="0" borderId="62" xfId="0" applyNumberFormat="1" applyBorder="1" applyAlignment="1" applyProtection="1">
      <alignment horizontal="centerContinuous"/>
    </xf>
    <xf numFmtId="0" fontId="0" fillId="0" borderId="26" xfId="0" applyBorder="1" applyAlignment="1" applyProtection="1">
      <alignment horizontal="centerContinuous"/>
    </xf>
    <xf numFmtId="0" fontId="0" fillId="0" borderId="27" xfId="0" applyBorder="1" applyAlignment="1" applyProtection="1">
      <alignment horizontal="centerContinuous"/>
    </xf>
    <xf numFmtId="164" fontId="16" fillId="0" borderId="11" xfId="0" applyNumberFormat="1" applyFont="1" applyBorder="1" applyAlignment="1" applyProtection="1">
      <alignment horizontal="centerContinuous"/>
      <protection locked="0"/>
    </xf>
    <xf numFmtId="0" fontId="0" fillId="0" borderId="26" xfId="0" applyBorder="1" applyProtection="1">
      <protection locked="0"/>
    </xf>
    <xf numFmtId="0" fontId="10" fillId="0" borderId="26" xfId="0" applyFont="1" applyBorder="1" applyProtection="1">
      <protection locked="0"/>
    </xf>
    <xf numFmtId="0" fontId="10" fillId="0" borderId="63" xfId="0" applyFont="1" applyBorder="1" applyAlignment="1" applyProtection="1">
      <alignment horizontal="center"/>
      <protection locked="0"/>
    </xf>
    <xf numFmtId="0" fontId="0" fillId="0" borderId="11" xfId="0" applyBorder="1" applyProtection="1">
      <protection locked="0"/>
    </xf>
    <xf numFmtId="0" fontId="10" fillId="0" borderId="11" xfId="0" applyFont="1" applyBorder="1" applyAlignment="1" applyProtection="1">
      <alignment horizontal="center"/>
      <protection locked="0"/>
    </xf>
    <xf numFmtId="0" fontId="10" fillId="0" borderId="29" xfId="0" applyFont="1" applyBorder="1" applyAlignment="1" applyProtection="1">
      <alignment horizontal="center"/>
      <protection locked="0"/>
    </xf>
    <xf numFmtId="0" fontId="15" fillId="0" borderId="11" xfId="0" applyFont="1" applyBorder="1" applyAlignment="1" applyProtection="1">
      <alignment horizontal="centerContinuous"/>
      <protection locked="0"/>
    </xf>
    <xf numFmtId="0" fontId="15" fillId="0" borderId="0" xfId="0" applyFont="1" applyBorder="1" applyAlignment="1" applyProtection="1">
      <alignment horizontal="centerContinuous"/>
      <protection locked="0"/>
    </xf>
    <xf numFmtId="0" fontId="15" fillId="0" borderId="11" xfId="0" applyFont="1" applyBorder="1" applyAlignment="1" applyProtection="1">
      <alignment horizontal="center"/>
      <protection locked="0"/>
    </xf>
    <xf numFmtId="164" fontId="15" fillId="0" borderId="11" xfId="0" applyNumberFormat="1" applyFont="1" applyBorder="1" applyAlignment="1" applyProtection="1">
      <alignment horizontal="centerContinuous"/>
      <protection locked="0"/>
    </xf>
    <xf numFmtId="0" fontId="15" fillId="0" borderId="29" xfId="0" applyFont="1" applyBorder="1" applyAlignment="1" applyProtection="1">
      <alignment horizontal="center"/>
      <protection locked="0"/>
    </xf>
    <xf numFmtId="0" fontId="0" fillId="0" borderId="11" xfId="0" applyBorder="1" applyAlignment="1" applyProtection="1">
      <alignment horizontal="centerContinuous"/>
      <protection locked="0"/>
    </xf>
    <xf numFmtId="10" fontId="0" fillId="0" borderId="11" xfId="0" applyNumberFormat="1" applyBorder="1" applyAlignment="1" applyProtection="1">
      <alignment horizontal="center"/>
      <protection locked="0"/>
    </xf>
    <xf numFmtId="10" fontId="0" fillId="0" borderId="25" xfId="0" applyNumberFormat="1" applyBorder="1" applyAlignment="1" applyProtection="1">
      <alignment horizontal="center"/>
      <protection locked="0"/>
    </xf>
    <xf numFmtId="0" fontId="10" fillId="0" borderId="13" xfId="0" applyFont="1" applyBorder="1" applyAlignment="1" applyProtection="1">
      <alignment horizontal="centerContinuous"/>
      <protection locked="0"/>
    </xf>
    <xf numFmtId="0" fontId="10" fillId="0" borderId="14" xfId="0" applyFont="1" applyBorder="1" applyAlignment="1" applyProtection="1">
      <alignment horizontal="centerContinuous"/>
      <protection locked="0"/>
    </xf>
    <xf numFmtId="0" fontId="0" fillId="0" borderId="13" xfId="0" applyBorder="1" applyAlignment="1" applyProtection="1">
      <alignment horizontal="centerContinuous"/>
      <protection locked="0"/>
    </xf>
    <xf numFmtId="0" fontId="0" fillId="0" borderId="14" xfId="0" applyBorder="1" applyAlignment="1" applyProtection="1">
      <alignment horizontal="centerContinuous"/>
      <protection locked="0"/>
    </xf>
    <xf numFmtId="0" fontId="0" fillId="0" borderId="13" xfId="0" applyBorder="1" applyProtection="1">
      <protection locked="0"/>
    </xf>
    <xf numFmtId="0" fontId="0" fillId="0" borderId="14" xfId="0" applyBorder="1" applyProtection="1">
      <protection locked="0"/>
    </xf>
    <xf numFmtId="0" fontId="0" fillId="0" borderId="30" xfId="0" applyBorder="1" applyProtection="1">
      <protection locked="0"/>
    </xf>
    <xf numFmtId="0" fontId="15" fillId="0" borderId="25" xfId="0" applyFont="1" applyBorder="1" applyAlignment="1" applyProtection="1">
      <alignment horizontal="centerContinuous"/>
      <protection locked="0"/>
    </xf>
    <xf numFmtId="0" fontId="15" fillId="0" borderId="24" xfId="0" applyFont="1" applyBorder="1" applyAlignment="1" applyProtection="1">
      <alignment horizontal="centerContinuous"/>
      <protection locked="0"/>
    </xf>
    <xf numFmtId="0" fontId="15" fillId="0" borderId="59" xfId="0" applyFont="1" applyBorder="1" applyAlignment="1" applyProtection="1">
      <alignment horizontal="centerContinuous"/>
      <protection locked="0"/>
    </xf>
    <xf numFmtId="0" fontId="17" fillId="0" borderId="0" xfId="0" applyFont="1" applyProtection="1">
      <protection locked="0"/>
    </xf>
    <xf numFmtId="0" fontId="10" fillId="0" borderId="30" xfId="0" applyFont="1" applyBorder="1" applyAlignment="1" applyProtection="1">
      <alignment horizontal="centerContinuous"/>
      <protection locked="0"/>
    </xf>
    <xf numFmtId="0" fontId="0" fillId="0" borderId="30" xfId="0" applyBorder="1" applyAlignment="1" applyProtection="1">
      <alignment horizontal="centerContinuous"/>
      <protection locked="0"/>
    </xf>
    <xf numFmtId="0" fontId="0" fillId="0" borderId="28" xfId="0" applyBorder="1" applyAlignment="1" applyProtection="1">
      <alignment horizontal="centerContinuous"/>
      <protection locked="0"/>
    </xf>
    <xf numFmtId="0" fontId="10" fillId="0" borderId="26" xfId="0" quotePrefix="1" applyFont="1" applyBorder="1" applyAlignment="1" applyProtection="1">
      <alignment horizontal="center"/>
      <protection locked="0"/>
    </xf>
    <xf numFmtId="0" fontId="10" fillId="0" borderId="39" xfId="0" quotePrefix="1" applyFont="1" applyBorder="1" applyAlignment="1" applyProtection="1">
      <alignment horizontal="center"/>
      <protection locked="0"/>
    </xf>
    <xf numFmtId="0" fontId="10" fillId="0" borderId="27" xfId="0" quotePrefix="1" applyFont="1" applyBorder="1" applyAlignment="1" applyProtection="1">
      <alignment horizontal="center"/>
      <protection locked="0"/>
    </xf>
    <xf numFmtId="0" fontId="0" fillId="0" borderId="28" xfId="0" applyBorder="1" applyProtection="1">
      <protection locked="0"/>
    </xf>
    <xf numFmtId="0" fontId="10" fillId="0" borderId="0" xfId="0" applyFont="1" applyBorder="1" applyProtection="1">
      <protection locked="0"/>
    </xf>
    <xf numFmtId="0" fontId="10" fillId="0" borderId="28" xfId="0" applyFont="1" applyBorder="1" applyAlignment="1" applyProtection="1">
      <alignment horizontal="centerContinuous"/>
      <protection locked="0"/>
    </xf>
    <xf numFmtId="0" fontId="0" fillId="0" borderId="13" xfId="0" applyBorder="1" applyAlignment="1" applyProtection="1">
      <alignment horizontal="left"/>
      <protection locked="0"/>
    </xf>
    <xf numFmtId="0" fontId="0" fillId="0" borderId="14" xfId="0" applyBorder="1" applyAlignment="1" applyProtection="1">
      <alignment horizontal="left"/>
      <protection locked="0"/>
    </xf>
    <xf numFmtId="0" fontId="0" fillId="0" borderId="28" xfId="0" applyBorder="1" applyAlignment="1" applyProtection="1">
      <alignment horizontal="left"/>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0" fillId="0" borderId="1" xfId="0" applyBorder="1" applyProtection="1">
      <protection locked="0"/>
    </xf>
    <xf numFmtId="0" fontId="14" fillId="0" borderId="0" xfId="0" applyFont="1" applyAlignment="1" applyProtection="1">
      <alignment horizontal="right"/>
      <protection locked="0"/>
    </xf>
    <xf numFmtId="0" fontId="12" fillId="0" borderId="0" xfId="0" applyFont="1" applyProtection="1"/>
    <xf numFmtId="0" fontId="12" fillId="0" borderId="0" xfId="0" applyFont="1" applyAlignment="1" applyProtection="1">
      <alignment horizontal="centerContinuous"/>
    </xf>
    <xf numFmtId="15" fontId="0" fillId="0" borderId="0" xfId="0" applyNumberFormat="1" applyAlignment="1" applyProtection="1">
      <alignment horizontal="centerContinuous"/>
      <protection locked="0"/>
    </xf>
    <xf numFmtId="39" fontId="12" fillId="0" borderId="0" xfId="0" applyNumberFormat="1" applyFont="1" applyBorder="1" applyAlignment="1" applyProtection="1">
      <alignment horizontal="right"/>
      <protection locked="0"/>
    </xf>
    <xf numFmtId="37" fontId="13" fillId="0" borderId="0" xfId="0" quotePrefix="1" applyNumberFormat="1" applyFont="1" applyAlignment="1" applyProtection="1">
      <alignment horizontal="right"/>
      <protection locked="0"/>
    </xf>
    <xf numFmtId="37" fontId="12" fillId="0" borderId="0" xfId="0" applyNumberFormat="1" applyFont="1" applyAlignment="1" applyProtection="1">
      <alignment horizontal="right"/>
      <protection locked="0"/>
    </xf>
    <xf numFmtId="37" fontId="12" fillId="0" borderId="0" xfId="0" applyNumberFormat="1" applyFont="1" applyBorder="1" applyAlignment="1" applyProtection="1">
      <alignment horizontal="right"/>
    </xf>
    <xf numFmtId="15" fontId="13" fillId="0" borderId="0" xfId="0" applyNumberFormat="1" applyFont="1" applyBorder="1" applyAlignment="1" applyProtection="1">
      <alignment horizontal="centerContinuous"/>
      <protection locked="0"/>
    </xf>
    <xf numFmtId="15" fontId="13" fillId="0" borderId="0" xfId="0" applyNumberFormat="1" applyFont="1" applyAlignment="1" applyProtection="1">
      <alignment horizontal="center"/>
      <protection locked="0"/>
    </xf>
    <xf numFmtId="15" fontId="13" fillId="0" borderId="1" xfId="0" applyNumberFormat="1" applyFont="1" applyBorder="1" applyAlignment="1" applyProtection="1">
      <alignment horizontal="centerContinuous"/>
      <protection locked="0"/>
    </xf>
    <xf numFmtId="39" fontId="12" fillId="0" borderId="0" xfId="0" applyNumberFormat="1" applyFont="1" applyAlignment="1" applyProtection="1">
      <alignment horizontal="center"/>
      <protection locked="0"/>
    </xf>
    <xf numFmtId="0" fontId="13" fillId="0" borderId="0" xfId="0" quotePrefix="1" applyFont="1" applyAlignment="1" applyProtection="1">
      <alignment horizontal="right"/>
      <protection locked="0"/>
    </xf>
    <xf numFmtId="37" fontId="12" fillId="0" borderId="0" xfId="0" applyNumberFormat="1" applyFont="1" applyBorder="1" applyAlignment="1" applyProtection="1">
      <alignment horizontal="center"/>
    </xf>
    <xf numFmtId="39" fontId="12" fillId="0" borderId="0" xfId="0" applyNumberFormat="1" applyFont="1" applyAlignment="1" applyProtection="1">
      <alignment horizontal="center"/>
    </xf>
    <xf numFmtId="0" fontId="15" fillId="0" borderId="0" xfId="0" applyFont="1" applyAlignment="1" applyProtection="1">
      <alignment horizontal="left"/>
      <protection locked="0"/>
    </xf>
    <xf numFmtId="15" fontId="0" fillId="0" borderId="0" xfId="0" applyNumberFormat="1" applyProtection="1">
      <protection locked="0"/>
    </xf>
    <xf numFmtId="0" fontId="12" fillId="0" borderId="0" xfId="0" applyFont="1" applyAlignment="1" applyProtection="1">
      <alignment horizontal="right"/>
      <protection locked="0"/>
    </xf>
    <xf numFmtId="0" fontId="12" fillId="0" borderId="0" xfId="0" applyFont="1" applyAlignment="1" applyProtection="1">
      <alignment horizontal="center"/>
    </xf>
    <xf numFmtId="0" fontId="14" fillId="0" borderId="0" xfId="0" applyFont="1" applyAlignment="1" applyProtection="1">
      <alignment horizontal="center"/>
    </xf>
    <xf numFmtId="0" fontId="13" fillId="0" borderId="0" xfId="0" applyFont="1" applyAlignment="1" applyProtection="1">
      <alignment horizontal="center"/>
    </xf>
    <xf numFmtId="0" fontId="13" fillId="0" borderId="0" xfId="0" applyFont="1" applyProtection="1"/>
    <xf numFmtId="37" fontId="12" fillId="0" borderId="0" xfId="0" applyNumberFormat="1" applyFont="1" applyAlignment="1" applyProtection="1">
      <alignment horizontal="center"/>
    </xf>
    <xf numFmtId="0" fontId="13" fillId="0" borderId="0" xfId="0" quotePrefix="1" applyFont="1" applyAlignment="1" applyProtection="1">
      <alignment horizontal="left"/>
      <protection locked="0"/>
    </xf>
    <xf numFmtId="39" fontId="12" fillId="0" borderId="0" xfId="0" applyNumberFormat="1" applyFont="1" applyBorder="1" applyAlignment="1" applyProtection="1">
      <alignment horizontal="center"/>
    </xf>
    <xf numFmtId="0" fontId="13" fillId="0" borderId="0" xfId="0" applyFont="1" applyAlignment="1" applyProtection="1">
      <alignment wrapText="1"/>
    </xf>
    <xf numFmtId="0" fontId="13" fillId="0" borderId="1" xfId="0" applyFont="1" applyBorder="1" applyAlignment="1" applyProtection="1">
      <alignment horizontal="right"/>
      <protection locked="0"/>
    </xf>
    <xf numFmtId="37" fontId="13" fillId="0" borderId="0" xfId="0" applyNumberFormat="1" applyFont="1" applyBorder="1" applyAlignment="1" applyProtection="1">
      <alignment horizontal="center"/>
    </xf>
    <xf numFmtId="39" fontId="12" fillId="0" borderId="60" xfId="0" applyNumberFormat="1" applyFont="1" applyBorder="1" applyAlignment="1" applyProtection="1">
      <alignment horizontal="right"/>
    </xf>
    <xf numFmtId="0" fontId="14" fillId="0" borderId="0" xfId="0" applyFont="1" applyAlignment="1" applyProtection="1">
      <alignment horizontal="centerContinuous"/>
      <protection locked="0"/>
    </xf>
    <xf numFmtId="0" fontId="13" fillId="0" borderId="0" xfId="0" applyFont="1" applyBorder="1" applyAlignment="1" applyProtection="1">
      <alignment horizontal="center"/>
      <protection locked="0"/>
    </xf>
    <xf numFmtId="0" fontId="14" fillId="0" borderId="0" xfId="0" applyFont="1" applyProtection="1">
      <protection locked="0"/>
    </xf>
    <xf numFmtId="0" fontId="37" fillId="0" borderId="1" xfId="0" applyFont="1" applyBorder="1" applyAlignment="1" applyProtection="1">
      <alignment horizontal="center"/>
      <protection locked="0"/>
    </xf>
    <xf numFmtId="0" fontId="37" fillId="0" borderId="0" xfId="0" applyFont="1" applyAlignment="1" applyProtection="1">
      <alignment horizontal="center"/>
      <protection locked="0"/>
    </xf>
    <xf numFmtId="39" fontId="14" fillId="0" borderId="0" xfId="0" applyNumberFormat="1" applyFont="1" applyProtection="1">
      <protection locked="0"/>
    </xf>
    <xf numFmtId="0" fontId="14" fillId="0" borderId="0" xfId="0" applyFont="1" applyAlignment="1" applyProtection="1">
      <alignment wrapText="1"/>
      <protection locked="0"/>
    </xf>
    <xf numFmtId="39" fontId="14" fillId="0" borderId="1" xfId="0" applyNumberFormat="1" applyFont="1" applyBorder="1" applyProtection="1">
      <protection locked="0"/>
    </xf>
    <xf numFmtId="37" fontId="14" fillId="0" borderId="0" xfId="0" applyNumberFormat="1" applyFont="1" applyProtection="1"/>
    <xf numFmtId="39" fontId="14" fillId="0" borderId="0" xfId="0" applyNumberFormat="1" applyFont="1" applyProtection="1"/>
    <xf numFmtId="39" fontId="14" fillId="0" borderId="2" xfId="0" applyNumberFormat="1" applyFont="1" applyBorder="1" applyProtection="1"/>
    <xf numFmtId="39" fontId="14" fillId="0" borderId="60" xfId="0" applyNumberFormat="1" applyFont="1" applyBorder="1" applyProtection="1"/>
    <xf numFmtId="39" fontId="14" fillId="0" borderId="1" xfId="0" applyNumberFormat="1" applyFont="1" applyBorder="1" applyProtection="1"/>
    <xf numFmtId="0" fontId="13" fillId="0" borderId="0" xfId="0" quotePrefix="1" applyFont="1" applyAlignment="1" applyProtection="1">
      <alignment horizontal="center" textRotation="180"/>
      <protection locked="0"/>
    </xf>
    <xf numFmtId="0" fontId="10" fillId="0" borderId="0" xfId="0" applyFont="1" applyBorder="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17" fillId="0" borderId="0" xfId="0" applyFont="1" applyAlignment="1" applyProtection="1">
      <alignment wrapText="1"/>
      <protection locked="0"/>
    </xf>
    <xf numFmtId="39" fontId="0" fillId="0" borderId="0" xfId="0" applyNumberFormat="1" applyFill="1" applyProtection="1">
      <protection locked="0"/>
    </xf>
    <xf numFmtId="39" fontId="0" fillId="0" borderId="1" xfId="0" applyNumberFormat="1" applyBorder="1" applyProtection="1">
      <protection locked="0"/>
    </xf>
    <xf numFmtId="39" fontId="0" fillId="0" borderId="1" xfId="0" applyNumberFormat="1" applyBorder="1" applyProtection="1"/>
    <xf numFmtId="39" fontId="0" fillId="0" borderId="2" xfId="0" applyNumberFormat="1" applyBorder="1" applyProtection="1"/>
    <xf numFmtId="39" fontId="0" fillId="0" borderId="60" xfId="0" applyNumberFormat="1" applyBorder="1" applyProtection="1"/>
    <xf numFmtId="39" fontId="0" fillId="3" borderId="0" xfId="0" applyNumberFormat="1" applyFill="1" applyProtection="1"/>
    <xf numFmtId="0" fontId="13" fillId="0" borderId="1" xfId="0" applyFont="1" applyBorder="1" applyAlignment="1" applyProtection="1">
      <alignment horizontal="center" wrapText="1"/>
      <protection locked="0"/>
    </xf>
    <xf numFmtId="0" fontId="10" fillId="0" borderId="0" xfId="0" applyFont="1" applyAlignment="1" applyProtection="1">
      <alignment horizontal="center" wrapText="1"/>
      <protection locked="0"/>
    </xf>
    <xf numFmtId="39" fontId="0" fillId="3" borderId="1" xfId="0" applyNumberFormat="1" applyFill="1" applyBorder="1" applyProtection="1">
      <protection locked="0"/>
    </xf>
    <xf numFmtId="39" fontId="0" fillId="0" borderId="1" xfId="0" applyNumberFormat="1" applyFill="1" applyBorder="1" applyProtection="1">
      <protection locked="0"/>
    </xf>
    <xf numFmtId="39" fontId="0" fillId="0" borderId="0" xfId="0" applyNumberFormat="1" applyFill="1" applyProtection="1"/>
    <xf numFmtId="0" fontId="10" fillId="0" borderId="1" xfId="0" applyFont="1" applyBorder="1" applyAlignment="1" applyProtection="1">
      <alignment horizontal="center" wrapText="1"/>
      <protection locked="0"/>
    </xf>
    <xf numFmtId="0" fontId="10" fillId="0" borderId="0" xfId="0" applyFont="1" applyAlignment="1" applyProtection="1">
      <alignment wrapText="1"/>
      <protection locked="0"/>
    </xf>
    <xf numFmtId="0" fontId="10" fillId="0" borderId="0" xfId="0" applyFont="1" applyAlignment="1" applyProtection="1">
      <alignment horizontal="left" wrapText="1"/>
      <protection locked="0"/>
    </xf>
    <xf numFmtId="39" fontId="0" fillId="2" borderId="0" xfId="0" applyNumberFormat="1" applyFill="1" applyProtection="1">
      <protection locked="0"/>
    </xf>
    <xf numFmtId="37" fontId="13" fillId="0" borderId="0" xfId="0" applyNumberFormat="1" applyFont="1" applyAlignment="1" applyProtection="1">
      <alignment wrapText="1"/>
      <protection locked="0"/>
    </xf>
    <xf numFmtId="0" fontId="0" fillId="0" borderId="8" xfId="0" applyBorder="1" applyProtection="1"/>
    <xf numFmtId="39" fontId="0" fillId="3" borderId="2" xfId="0" applyNumberFormat="1" applyFill="1" applyBorder="1" applyProtection="1"/>
    <xf numFmtId="39" fontId="0" fillId="0" borderId="2" xfId="0" applyNumberFormat="1" applyFill="1" applyBorder="1" applyProtection="1"/>
    <xf numFmtId="39" fontId="0" fillId="0" borderId="1" xfId="0" applyNumberFormat="1" applyFill="1" applyBorder="1" applyProtection="1"/>
    <xf numFmtId="39" fontId="0" fillId="3" borderId="1" xfId="0" applyNumberFormat="1" applyFill="1" applyBorder="1" applyProtection="1"/>
    <xf numFmtId="39" fontId="0" fillId="3" borderId="61" xfId="0" applyNumberFormat="1" applyFill="1" applyBorder="1" applyProtection="1"/>
    <xf numFmtId="0" fontId="10" fillId="0" borderId="0" xfId="0" applyFont="1" applyBorder="1" applyAlignment="1" applyProtection="1">
      <alignment horizontal="center" wrapText="1"/>
    </xf>
    <xf numFmtId="0" fontId="26" fillId="0" borderId="0" xfId="0" applyFont="1" applyAlignment="1" applyProtection="1">
      <alignment horizontal="centerContinuous"/>
      <protection locked="0"/>
    </xf>
    <xf numFmtId="164" fontId="13" fillId="0" borderId="1" xfId="0" applyNumberFormat="1" applyFont="1" applyBorder="1" applyAlignment="1" applyProtection="1">
      <alignment horizontal="center"/>
      <protection locked="0"/>
    </xf>
    <xf numFmtId="0" fontId="0" fillId="0" borderId="0" xfId="0" applyAlignment="1" applyProtection="1">
      <alignment textRotation="176"/>
      <protection locked="0"/>
    </xf>
    <xf numFmtId="0" fontId="20" fillId="0" borderId="0" xfId="0" applyFont="1" applyProtection="1">
      <protection locked="0"/>
    </xf>
    <xf numFmtId="39" fontId="11" fillId="2" borderId="65" xfId="6" applyFont="1" applyFill="1" applyBorder="1" applyAlignment="1" applyProtection="1">
      <alignment horizontal="centerContinuous" vertical="center"/>
      <protection locked="0"/>
    </xf>
    <xf numFmtId="39" fontId="18" fillId="0" borderId="65" xfId="6" applyFont="1" applyBorder="1" applyAlignment="1" applyProtection="1">
      <alignment horizontal="centerContinuous" vertical="center"/>
      <protection locked="0"/>
    </xf>
    <xf numFmtId="39" fontId="18" fillId="2" borderId="65" xfId="6" applyFont="1" applyFill="1" applyBorder="1" applyAlignment="1" applyProtection="1">
      <alignment horizontal="centerContinuous" vertical="center"/>
      <protection locked="0"/>
    </xf>
    <xf numFmtId="39" fontId="27" fillId="2" borderId="54" xfId="6" applyFill="1" applyBorder="1" applyAlignment="1" applyProtection="1">
      <alignment horizontal="centerContinuous" vertical="center"/>
      <protection locked="0"/>
    </xf>
    <xf numFmtId="39" fontId="27" fillId="0" borderId="0" xfId="6" applyProtection="1">
      <protection locked="0"/>
    </xf>
    <xf numFmtId="39" fontId="18" fillId="0" borderId="0" xfId="6" applyFont="1" applyAlignment="1" applyProtection="1">
      <alignment horizontal="centerContinuous" vertical="center"/>
      <protection locked="0"/>
    </xf>
    <xf numFmtId="39" fontId="11" fillId="2" borderId="0" xfId="6" applyFont="1" applyFill="1" applyAlignment="1" applyProtection="1">
      <alignment horizontal="centerContinuous" vertical="center"/>
      <protection locked="0"/>
    </xf>
    <xf numFmtId="39" fontId="18" fillId="2" borderId="0" xfId="6" applyFont="1" applyFill="1" applyAlignment="1" applyProtection="1">
      <alignment horizontal="centerContinuous" vertical="center"/>
      <protection locked="0"/>
    </xf>
    <xf numFmtId="39" fontId="27" fillId="2" borderId="66" xfId="6" applyFill="1" applyBorder="1" applyAlignment="1" applyProtection="1">
      <alignment horizontal="centerContinuous" vertical="center"/>
      <protection locked="0"/>
    </xf>
    <xf numFmtId="164" fontId="28" fillId="2" borderId="67" xfId="6" applyNumberFormat="1" applyFont="1" applyFill="1" applyBorder="1" applyAlignment="1" applyProtection="1">
      <alignment horizontal="centerContinuous" vertical="center"/>
      <protection locked="0"/>
    </xf>
    <xf numFmtId="39" fontId="27" fillId="2" borderId="67" xfId="6" applyFill="1" applyBorder="1" applyAlignment="1" applyProtection="1">
      <alignment horizontal="centerContinuous" vertical="center"/>
      <protection locked="0"/>
    </xf>
    <xf numFmtId="39" fontId="27" fillId="2" borderId="0" xfId="6" applyFill="1" applyAlignment="1" applyProtection="1">
      <alignment horizontal="centerContinuous" vertical="center"/>
      <protection locked="0"/>
    </xf>
    <xf numFmtId="39" fontId="27" fillId="2" borderId="67" xfId="6" applyFill="1" applyBorder="1" applyAlignment="1" applyProtection="1">
      <alignment horizontal="left" vertical="center"/>
      <protection locked="0"/>
    </xf>
    <xf numFmtId="39" fontId="27" fillId="2" borderId="68" xfId="6" applyFill="1" applyBorder="1" applyAlignment="1" applyProtection="1">
      <alignment horizontal="center" vertical="center"/>
      <protection locked="0"/>
    </xf>
    <xf numFmtId="39" fontId="27" fillId="2" borderId="68" xfId="6" applyFill="1" applyBorder="1" applyAlignment="1" applyProtection="1">
      <alignment horizontal="center"/>
      <protection locked="0"/>
    </xf>
    <xf numFmtId="39" fontId="27" fillId="2" borderId="69" xfId="6" applyFill="1" applyBorder="1" applyAlignment="1" applyProtection="1">
      <alignment horizontal="center" vertical="center"/>
      <protection locked="0"/>
    </xf>
    <xf numFmtId="164" fontId="27" fillId="2" borderId="70" xfId="6" applyNumberFormat="1" applyFill="1" applyBorder="1" applyAlignment="1" applyProtection="1">
      <alignment horizontal="center" vertical="center"/>
      <protection locked="0"/>
    </xf>
    <xf numFmtId="39" fontId="27" fillId="2" borderId="70" xfId="6" applyFont="1" applyFill="1" applyBorder="1" applyAlignment="1" applyProtection="1">
      <alignment horizontal="center"/>
      <protection locked="0"/>
    </xf>
    <xf numFmtId="164" fontId="27" fillId="2" borderId="71" xfId="6" applyNumberFormat="1" applyFont="1" applyFill="1" applyBorder="1" applyAlignment="1" applyProtection="1">
      <alignment horizontal="center" vertical="center"/>
      <protection locked="0"/>
    </xf>
    <xf numFmtId="39" fontId="27" fillId="3" borderId="72" xfId="6" applyFill="1" applyBorder="1" applyProtection="1">
      <protection locked="0"/>
    </xf>
    <xf numFmtId="39" fontId="13" fillId="0" borderId="73" xfId="6" applyFont="1" applyBorder="1" applyProtection="1">
      <protection locked="0"/>
    </xf>
    <xf numFmtId="39" fontId="27" fillId="0" borderId="73" xfId="6" applyNumberFormat="1" applyBorder="1" applyProtection="1">
      <protection locked="0"/>
    </xf>
    <xf numFmtId="39" fontId="27" fillId="0" borderId="55" xfId="6" applyNumberFormat="1" applyBorder="1" applyProtection="1">
      <protection locked="0"/>
    </xf>
    <xf numFmtId="39" fontId="27" fillId="0" borderId="74" xfId="6" applyBorder="1" applyAlignment="1" applyProtection="1">
      <alignment horizontal="center"/>
      <protection locked="0"/>
    </xf>
    <xf numFmtId="39" fontId="27" fillId="0" borderId="75" xfId="6" applyBorder="1" applyProtection="1">
      <protection locked="0"/>
    </xf>
    <xf numFmtId="39" fontId="27" fillId="0" borderId="75" xfId="6" applyNumberFormat="1" applyBorder="1" applyProtection="1">
      <protection locked="0"/>
    </xf>
    <xf numFmtId="39" fontId="27" fillId="0" borderId="74" xfId="6" applyBorder="1" applyProtection="1">
      <protection locked="0"/>
    </xf>
    <xf numFmtId="39" fontId="27" fillId="3" borderId="76" xfId="6" applyFill="1" applyBorder="1" applyProtection="1">
      <protection locked="0"/>
    </xf>
    <xf numFmtId="39" fontId="13" fillId="0" borderId="52" xfId="6" applyFont="1" applyBorder="1" applyProtection="1">
      <protection locked="0"/>
    </xf>
    <xf numFmtId="39" fontId="27" fillId="2" borderId="64" xfId="6" applyFill="1" applyBorder="1" applyProtection="1">
      <protection locked="0"/>
    </xf>
    <xf numFmtId="39" fontId="27" fillId="2" borderId="68" xfId="6" applyFill="1" applyBorder="1" applyProtection="1">
      <protection locked="0"/>
    </xf>
    <xf numFmtId="39" fontId="27" fillId="2" borderId="68" xfId="6" applyNumberFormat="1" applyFill="1" applyBorder="1" applyProtection="1">
      <protection locked="0"/>
    </xf>
    <xf numFmtId="39" fontId="27" fillId="2" borderId="72" xfId="6" applyFill="1" applyBorder="1" applyProtection="1">
      <protection locked="0"/>
    </xf>
    <xf numFmtId="39" fontId="13" fillId="2" borderId="73" xfId="6" applyFont="1" applyFill="1" applyBorder="1" applyProtection="1">
      <protection locked="0"/>
    </xf>
    <xf numFmtId="39" fontId="27" fillId="2" borderId="73" xfId="6" applyNumberFormat="1" applyFill="1" applyBorder="1" applyProtection="1">
      <protection locked="0"/>
    </xf>
    <xf numFmtId="0" fontId="27" fillId="0" borderId="74" xfId="6" applyNumberFormat="1" applyBorder="1" applyAlignment="1" applyProtection="1">
      <alignment horizontal="center"/>
      <protection locked="0"/>
    </xf>
    <xf numFmtId="39" fontId="12" fillId="0" borderId="75" xfId="6" applyFont="1" applyBorder="1" applyProtection="1">
      <protection locked="0"/>
    </xf>
    <xf numFmtId="39" fontId="13" fillId="2" borderId="52" xfId="6" applyFont="1" applyFill="1" applyBorder="1" applyProtection="1">
      <protection locked="0"/>
    </xf>
    <xf numFmtId="39" fontId="27" fillId="2" borderId="0" xfId="6" applyFill="1" applyProtection="1">
      <protection locked="0"/>
    </xf>
    <xf numFmtId="0" fontId="27" fillId="2" borderId="0" xfId="6" applyNumberFormat="1" applyFill="1" applyProtection="1">
      <protection locked="0"/>
    </xf>
    <xf numFmtId="164" fontId="11" fillId="0" borderId="0" xfId="0" applyNumberFormat="1" applyFont="1" applyAlignment="1" applyProtection="1">
      <alignment horizontal="center"/>
      <protection locked="0"/>
    </xf>
    <xf numFmtId="0" fontId="16" fillId="0" borderId="25" xfId="0" applyFont="1" applyBorder="1"/>
    <xf numFmtId="0" fontId="17" fillId="0" borderId="0" xfId="0" applyFont="1" applyFill="1" applyBorder="1"/>
    <xf numFmtId="0" fontId="17" fillId="0" borderId="11" xfId="0" applyFont="1" applyFill="1" applyBorder="1"/>
    <xf numFmtId="0" fontId="17" fillId="0" borderId="26" xfId="0" applyFont="1" applyFill="1" applyBorder="1"/>
    <xf numFmtId="0" fontId="43" fillId="0" borderId="0" xfId="0" applyFont="1"/>
    <xf numFmtId="0" fontId="40" fillId="0" borderId="0" xfId="0" applyFont="1"/>
    <xf numFmtId="0" fontId="17" fillId="0" borderId="13" xfId="0" applyFont="1" applyBorder="1"/>
    <xf numFmtId="0" fontId="17" fillId="0" borderId="30" xfId="0" applyFont="1" applyBorder="1"/>
    <xf numFmtId="0" fontId="17" fillId="0" borderId="28" xfId="0" applyFont="1" applyBorder="1"/>
    <xf numFmtId="0" fontId="45" fillId="0" borderId="0" xfId="0" applyFont="1" applyAlignment="1" applyProtection="1">
      <alignment horizontal="right"/>
      <protection locked="0"/>
    </xf>
    <xf numFmtId="39" fontId="45" fillId="0" borderId="0" xfId="0" applyNumberFormat="1" applyFont="1" applyProtection="1">
      <protection locked="0"/>
    </xf>
    <xf numFmtId="39" fontId="0" fillId="0" borderId="7" xfId="0" applyNumberFormat="1" applyBorder="1" applyProtection="1">
      <protection locked="0"/>
    </xf>
    <xf numFmtId="39" fontId="0" fillId="0" borderId="5" xfId="0" applyNumberFormat="1" applyBorder="1" applyProtection="1">
      <protection locked="0"/>
    </xf>
    <xf numFmtId="39" fontId="0" fillId="0" borderId="6" xfId="0" applyNumberFormat="1" applyBorder="1" applyProtection="1">
      <protection locked="0"/>
    </xf>
    <xf numFmtId="39" fontId="0" fillId="0" borderId="4" xfId="0" applyNumberFormat="1" applyBorder="1" applyProtection="1">
      <protection locked="0"/>
    </xf>
    <xf numFmtId="39" fontId="0" fillId="0" borderId="36" xfId="0" applyNumberFormat="1" applyBorder="1" applyProtection="1">
      <protection locked="0"/>
    </xf>
    <xf numFmtId="39" fontId="0" fillId="0" borderId="9" xfId="0" applyNumberFormat="1" applyBorder="1" applyProtection="1">
      <protection locked="0"/>
    </xf>
    <xf numFmtId="39" fontId="0" fillId="0" borderId="7" xfId="0" applyNumberFormat="1" applyBorder="1" applyAlignment="1" applyProtection="1">
      <alignment horizontal="centerContinuous"/>
      <protection locked="0"/>
    </xf>
    <xf numFmtId="39" fontId="0" fillId="0" borderId="5" xfId="0" applyNumberFormat="1" applyBorder="1" applyAlignment="1" applyProtection="1">
      <alignment horizontal="centerContinuous"/>
      <protection locked="0"/>
    </xf>
    <xf numFmtId="39" fontId="0" fillId="0" borderId="6" xfId="0" applyNumberFormat="1" applyBorder="1" applyAlignment="1" applyProtection="1">
      <alignment horizontal="centerContinuous"/>
      <protection locked="0"/>
    </xf>
    <xf numFmtId="39" fontId="0" fillId="0" borderId="4" xfId="0" applyNumberFormat="1" applyBorder="1" applyAlignment="1" applyProtection="1">
      <alignment horizontal="centerContinuous"/>
      <protection locked="0"/>
    </xf>
    <xf numFmtId="0" fontId="10" fillId="0" borderId="0" xfId="0" applyFont="1" applyProtection="1"/>
    <xf numFmtId="0" fontId="20" fillId="0" borderId="0" xfId="0" applyFont="1" applyAlignment="1" applyProtection="1">
      <alignment horizontal="left"/>
    </xf>
    <xf numFmtId="0" fontId="13" fillId="0" borderId="0" xfId="0" applyFont="1" applyAlignment="1" applyProtection="1">
      <alignment horizontal="left" wrapText="1"/>
    </xf>
    <xf numFmtId="0" fontId="20" fillId="0" borderId="0" xfId="0" applyFont="1" applyAlignment="1" applyProtection="1">
      <alignment horizontal="left" wrapText="1"/>
    </xf>
    <xf numFmtId="37" fontId="13" fillId="0" borderId="0" xfId="0" applyNumberFormat="1" applyFont="1" applyAlignment="1" applyProtection="1">
      <alignment wrapText="1"/>
    </xf>
    <xf numFmtId="37" fontId="13" fillId="0" borderId="0" xfId="0" applyNumberFormat="1" applyFont="1" applyAlignment="1" applyProtection="1">
      <alignment horizontal="center" wrapText="1"/>
    </xf>
    <xf numFmtId="39" fontId="45" fillId="0" borderId="0" xfId="0" applyNumberFormat="1" applyFont="1" applyProtection="1"/>
    <xf numFmtId="0" fontId="23" fillId="4" borderId="0" xfId="0" applyFont="1" applyFill="1"/>
    <xf numFmtId="0" fontId="44" fillId="4" borderId="0" xfId="0" applyFont="1" applyFill="1"/>
    <xf numFmtId="0" fontId="13" fillId="0" borderId="0" xfId="1" applyFont="1"/>
    <xf numFmtId="15" fontId="13" fillId="0" borderId="0" xfId="1" applyNumberFormat="1" applyFont="1"/>
    <xf numFmtId="14" fontId="10" fillId="0" borderId="14" xfId="0" applyNumberFormat="1" applyFont="1" applyBorder="1" applyAlignment="1">
      <alignment horizontal="centerContinuous"/>
    </xf>
    <xf numFmtId="39" fontId="0" fillId="0" borderId="0" xfId="0" applyNumberFormat="1"/>
    <xf numFmtId="0" fontId="11" fillId="0" borderId="0" xfId="0" applyFont="1" applyAlignment="1" applyProtection="1">
      <alignment horizontal="center"/>
      <protection locked="0"/>
    </xf>
    <xf numFmtId="0" fontId="17" fillId="0" borderId="0" xfId="0" applyFont="1" applyAlignment="1">
      <alignment horizontal="center"/>
    </xf>
    <xf numFmtId="0" fontId="16" fillId="0" borderId="0" xfId="0" applyFont="1" applyBorder="1"/>
    <xf numFmtId="0" fontId="17" fillId="0" borderId="14" xfId="0" applyFont="1" applyBorder="1"/>
    <xf numFmtId="0" fontId="10" fillId="0" borderId="23" xfId="0" applyFont="1" applyBorder="1"/>
    <xf numFmtId="0" fontId="10" fillId="0" borderId="24" xfId="0" applyFont="1" applyBorder="1"/>
    <xf numFmtId="0" fontId="10" fillId="0" borderId="21" xfId="0" applyFont="1" applyBorder="1"/>
    <xf numFmtId="0" fontId="49" fillId="0" borderId="0" xfId="5"/>
    <xf numFmtId="164" fontId="17" fillId="0" borderId="0" xfId="0" applyNumberFormat="1" applyFont="1" applyAlignment="1" applyProtection="1">
      <alignment horizontal="left"/>
      <protection locked="0"/>
    </xf>
    <xf numFmtId="0" fontId="50" fillId="0" borderId="0" xfId="5" applyFont="1" applyAlignment="1">
      <alignment horizontal="center"/>
    </xf>
    <xf numFmtId="0" fontId="50" fillId="0" borderId="0" xfId="5" applyFont="1"/>
    <xf numFmtId="0" fontId="50" fillId="0" borderId="12" xfId="5" applyFont="1" applyBorder="1"/>
    <xf numFmtId="0" fontId="51" fillId="0" borderId="12" xfId="5" applyFont="1" applyBorder="1" applyAlignment="1">
      <alignment horizontal="center"/>
    </xf>
    <xf numFmtId="0" fontId="51" fillId="0" borderId="0" xfId="5" applyFont="1"/>
    <xf numFmtId="0" fontId="51" fillId="0" borderId="0" xfId="5" applyFont="1" applyAlignment="1">
      <alignment horizontal="center"/>
    </xf>
    <xf numFmtId="0" fontId="16" fillId="0" borderId="0" xfId="0" applyFont="1"/>
    <xf numFmtId="0" fontId="17" fillId="0" borderId="0" xfId="0" applyFont="1" applyAlignment="1" applyProtection="1">
      <alignment horizontal="right"/>
      <protection locked="0"/>
    </xf>
    <xf numFmtId="0" fontId="17" fillId="0" borderId="41" xfId="0" applyFont="1" applyBorder="1"/>
    <xf numFmtId="39" fontId="0" fillId="0" borderId="12" xfId="0" applyNumberFormat="1" applyBorder="1"/>
    <xf numFmtId="0" fontId="0" fillId="0" borderId="0" xfId="0" applyAlignment="1" applyProtection="1">
      <alignment horizontal="right"/>
      <protection locked="0"/>
    </xf>
    <xf numFmtId="0" fontId="17" fillId="0" borderId="0" xfId="0" quotePrefix="1" applyFont="1"/>
    <xf numFmtId="39" fontId="11" fillId="2" borderId="67" xfId="6" applyFont="1" applyFill="1" applyBorder="1" applyAlignment="1" applyProtection="1">
      <alignment horizontal="centerContinuous" vertical="center"/>
      <protection locked="0"/>
    </xf>
    <xf numFmtId="39" fontId="0" fillId="3" borderId="0" xfId="0" applyNumberFormat="1" applyFill="1" applyBorder="1" applyProtection="1">
      <protection locked="0"/>
    </xf>
    <xf numFmtId="4" fontId="50" fillId="0" borderId="0" xfId="5" applyNumberFormat="1" applyFont="1"/>
    <xf numFmtId="4" fontId="50" fillId="0" borderId="62" xfId="5" applyNumberFormat="1" applyFont="1" applyBorder="1"/>
    <xf numFmtId="39" fontId="0" fillId="0" borderId="0" xfId="0" applyNumberFormat="1" applyBorder="1" applyProtection="1"/>
    <xf numFmtId="0" fontId="19" fillId="0" borderId="0" xfId="0" applyFont="1" applyBorder="1" applyAlignment="1">
      <alignment horizontal="centerContinuous" vertical="center"/>
    </xf>
    <xf numFmtId="0" fontId="19" fillId="0" borderId="0" xfId="0" applyFont="1" applyBorder="1" applyAlignment="1">
      <alignment horizontal="center" vertical="center"/>
    </xf>
    <xf numFmtId="0" fontId="19" fillId="0" borderId="0" xfId="0" applyFont="1" applyBorder="1"/>
    <xf numFmtId="0" fontId="35" fillId="0" borderId="0" xfId="0" applyFont="1" applyBorder="1"/>
    <xf numFmtId="0" fontId="12" fillId="0" borderId="0" xfId="1" applyFont="1"/>
    <xf numFmtId="0" fontId="27" fillId="0" borderId="12" xfId="1" applyBorder="1"/>
    <xf numFmtId="39" fontId="27" fillId="0" borderId="61" xfId="1" applyNumberFormat="1" applyBorder="1"/>
    <xf numFmtId="0" fontId="37" fillId="0" borderId="0" xfId="0" applyFont="1"/>
    <xf numFmtId="0" fontId="17" fillId="0" borderId="31" xfId="0" applyFont="1" applyBorder="1" applyAlignment="1">
      <alignment horizontal="center" vertical="center" wrapText="1"/>
    </xf>
    <xf numFmtId="166" fontId="0" fillId="0" borderId="26" xfId="0" applyNumberFormat="1" applyBorder="1" applyAlignment="1" applyProtection="1">
      <alignment horizontal="center"/>
      <protection locked="0"/>
    </xf>
    <xf numFmtId="0" fontId="17" fillId="0" borderId="13" xfId="0" applyFont="1" applyBorder="1" applyProtection="1">
      <protection locked="0"/>
    </xf>
    <xf numFmtId="0" fontId="11" fillId="0" borderId="0" xfId="9" applyFont="1" applyAlignment="1"/>
    <xf numFmtId="0" fontId="9" fillId="0" borderId="0" xfId="10"/>
    <xf numFmtId="0" fontId="13" fillId="0" borderId="0" xfId="11" applyFont="1" applyAlignment="1"/>
    <xf numFmtId="0" fontId="14" fillId="0" borderId="89" xfId="11" applyFont="1" applyBorder="1" applyAlignment="1"/>
    <xf numFmtId="0" fontId="14" fillId="0" borderId="29" xfId="11" applyFont="1" applyBorder="1" applyAlignment="1"/>
    <xf numFmtId="0" fontId="14" fillId="0" borderId="39" xfId="11" applyFont="1" applyBorder="1" applyAlignment="1"/>
    <xf numFmtId="0" fontId="14" fillId="0" borderId="0" xfId="11" applyFont="1" applyBorder="1" applyAlignment="1"/>
    <xf numFmtId="0" fontId="14" fillId="0" borderId="0" xfId="11" applyFont="1" applyBorder="1" applyAlignment="1">
      <alignment horizontal="center"/>
    </xf>
    <xf numFmtId="0" fontId="12" fillId="0" borderId="0" xfId="9" applyFont="1" applyAlignment="1"/>
    <xf numFmtId="0" fontId="13" fillId="0" borderId="0" xfId="9" applyFont="1"/>
    <xf numFmtId="0" fontId="56" fillId="0" borderId="0" xfId="10" applyFont="1"/>
    <xf numFmtId="0" fontId="54" fillId="0" borderId="0" xfId="10" applyFont="1" applyBorder="1" applyAlignment="1">
      <alignment horizontal="left" vertical="center" wrapText="1" indent="1"/>
    </xf>
    <xf numFmtId="0" fontId="9" fillId="0" borderId="0" xfId="10" applyBorder="1" applyAlignment="1">
      <alignment horizontal="left" vertical="center" wrapText="1" indent="1"/>
    </xf>
    <xf numFmtId="0" fontId="17" fillId="0" borderId="0" xfId="11" applyFont="1" applyAlignment="1">
      <alignment horizontal="center" wrapText="1"/>
    </xf>
    <xf numFmtId="0" fontId="10" fillId="0" borderId="90" xfId="11" applyFont="1" applyBorder="1" applyAlignment="1">
      <alignment horizontal="center"/>
    </xf>
    <xf numFmtId="0" fontId="10" fillId="0" borderId="26" xfId="11" applyFont="1" applyBorder="1" applyAlignment="1">
      <alignment horizontal="center"/>
    </xf>
    <xf numFmtId="167" fontId="17" fillId="0" borderId="90" xfId="11" applyNumberFormat="1" applyBorder="1" applyAlignment="1">
      <alignment horizontal="right" indent="22"/>
    </xf>
    <xf numFmtId="167" fontId="17" fillId="5" borderId="11" xfId="11" applyNumberFormat="1" applyFill="1" applyBorder="1" applyAlignment="1">
      <alignment horizontal="right" indent="22"/>
    </xf>
    <xf numFmtId="167" fontId="17" fillId="0" borderId="11" xfId="11" applyNumberFormat="1" applyBorder="1" applyAlignment="1">
      <alignment horizontal="right" indent="22"/>
    </xf>
    <xf numFmtId="167" fontId="17" fillId="4" borderId="11" xfId="11" applyNumberFormat="1" applyFill="1" applyBorder="1" applyAlignment="1">
      <alignment horizontal="right" indent="22"/>
    </xf>
    <xf numFmtId="167" fontId="17" fillId="5" borderId="26" xfId="11" applyNumberFormat="1" applyFill="1" applyBorder="1" applyAlignment="1">
      <alignment horizontal="right" indent="22"/>
    </xf>
    <xf numFmtId="167" fontId="17" fillId="5" borderId="12" xfId="11" applyNumberFormat="1" applyFill="1" applyBorder="1" applyAlignment="1">
      <alignment horizontal="right" indent="4"/>
    </xf>
    <xf numFmtId="0" fontId="17" fillId="0" borderId="0" xfId="9" applyFont="1" applyAlignment="1">
      <alignment vertical="top" wrapText="1"/>
    </xf>
    <xf numFmtId="0" fontId="10" fillId="0" borderId="0" xfId="9" applyFont="1" applyBorder="1" applyAlignment="1"/>
    <xf numFmtId="0" fontId="10" fillId="0" borderId="8" xfId="9" applyFont="1" applyBorder="1"/>
    <xf numFmtId="0" fontId="55" fillId="0" borderId="9" xfId="10" applyFont="1" applyBorder="1"/>
    <xf numFmtId="0" fontId="10" fillId="0" borderId="31" xfId="9" applyFont="1" applyBorder="1"/>
    <xf numFmtId="0" fontId="10" fillId="0" borderId="0" xfId="9" applyFont="1" applyBorder="1"/>
    <xf numFmtId="0" fontId="55" fillId="0" borderId="5" xfId="10" applyFont="1" applyBorder="1"/>
    <xf numFmtId="0" fontId="10" fillId="0" borderId="0" xfId="9" applyFont="1" applyBorder="1" applyAlignment="1">
      <alignment horizontal="right"/>
    </xf>
    <xf numFmtId="0" fontId="9" fillId="0" borderId="19" xfId="10" applyBorder="1"/>
    <xf numFmtId="0" fontId="10" fillId="0" borderId="19" xfId="9" applyFont="1" applyBorder="1"/>
    <xf numFmtId="0" fontId="10" fillId="0" borderId="1" xfId="9" applyFont="1" applyBorder="1"/>
    <xf numFmtId="0" fontId="55" fillId="0" borderId="4" xfId="10" applyFont="1" applyBorder="1"/>
    <xf numFmtId="0" fontId="17" fillId="0" borderId="0" xfId="9"/>
    <xf numFmtId="0" fontId="9" fillId="0" borderId="0" xfId="10" applyAlignment="1"/>
    <xf numFmtId="0" fontId="17" fillId="0" borderId="0" xfId="9" applyFont="1" applyAlignment="1"/>
    <xf numFmtId="0" fontId="58" fillId="0" borderId="0" xfId="10" applyFont="1" applyFill="1" applyAlignment="1">
      <alignment vertical="top"/>
    </xf>
    <xf numFmtId="0" fontId="63" fillId="0" borderId="0" xfId="10" applyFont="1" applyAlignment="1">
      <alignment horizontal="left" vertical="center" indent="1"/>
    </xf>
    <xf numFmtId="4" fontId="63" fillId="0" borderId="93" xfId="10" applyNumberFormat="1" applyFont="1" applyBorder="1"/>
    <xf numFmtId="0" fontId="63" fillId="0" borderId="0" xfId="10" applyFont="1" applyAlignment="1">
      <alignment horizontal="left" indent="1"/>
    </xf>
    <xf numFmtId="4" fontId="63" fillId="0" borderId="94" xfId="10" applyNumberFormat="1" applyFont="1" applyBorder="1"/>
    <xf numFmtId="0" fontId="63" fillId="0" borderId="0" xfId="10" applyFont="1" applyFill="1" applyAlignment="1">
      <alignment horizontal="left" vertical="center" wrapText="1" indent="1"/>
    </xf>
    <xf numFmtId="4" fontId="63" fillId="7" borderId="94" xfId="10" applyNumberFormat="1" applyFont="1" applyFill="1" applyBorder="1"/>
    <xf numFmtId="0" fontId="63" fillId="0" borderId="0" xfId="10" applyFont="1" applyAlignment="1">
      <alignment horizontal="left" vertical="center" indent="3"/>
    </xf>
    <xf numFmtId="0" fontId="68" fillId="0" borderId="0" xfId="10" applyFont="1" applyAlignment="1">
      <alignment horizontal="left" vertical="center" indent="3"/>
    </xf>
    <xf numFmtId="0" fontId="56" fillId="0" borderId="0" xfId="10" applyFont="1" applyAlignment="1">
      <alignment horizontal="right" vertical="center" indent="1"/>
    </xf>
    <xf numFmtId="0" fontId="63" fillId="0" borderId="0" xfId="10" applyFont="1"/>
    <xf numFmtId="0" fontId="63" fillId="0" borderId="0" xfId="10" applyFont="1" applyAlignment="1">
      <alignment wrapText="1"/>
    </xf>
    <xf numFmtId="0" fontId="63" fillId="0" borderId="0" xfId="10" applyFont="1" applyAlignment="1">
      <alignment horizontal="left" vertical="center" wrapText="1" indent="5"/>
    </xf>
    <xf numFmtId="0" fontId="63" fillId="0" borderId="0" xfId="10" applyFont="1" applyAlignment="1">
      <alignment horizontal="left" indent="7"/>
    </xf>
    <xf numFmtId="0" fontId="72" fillId="0" borderId="0" xfId="10" applyFont="1"/>
    <xf numFmtId="0" fontId="64" fillId="0" borderId="0" xfId="10" applyFont="1" applyAlignment="1">
      <alignment horizontal="right" vertical="center" indent="1"/>
    </xf>
    <xf numFmtId="0" fontId="57" fillId="0" borderId="0" xfId="10" applyFont="1" applyAlignment="1">
      <alignment horizontal="right" vertical="center" indent="1"/>
    </xf>
    <xf numFmtId="4" fontId="49" fillId="0" borderId="0" xfId="5" applyNumberFormat="1"/>
    <xf numFmtId="16" fontId="16" fillId="0" borderId="11" xfId="0" quotePrefix="1" applyNumberFormat="1" applyFont="1" applyBorder="1" applyAlignment="1" applyProtection="1">
      <alignment horizontal="centerContinuous"/>
      <protection locked="0"/>
    </xf>
    <xf numFmtId="164" fontId="16" fillId="0" borderId="11" xfId="0" quotePrefix="1" applyNumberFormat="1" applyFont="1" applyBorder="1" applyAlignment="1" applyProtection="1">
      <alignment horizontal="centerContinuous"/>
      <protection locked="0"/>
    </xf>
    <xf numFmtId="164" fontId="10" fillId="0" borderId="32" xfId="0" quotePrefix="1" applyNumberFormat="1" applyFont="1" applyBorder="1" applyAlignment="1">
      <alignment horizontal="centerContinuous"/>
    </xf>
    <xf numFmtId="0" fontId="0" fillId="0" borderId="0" xfId="0" applyAlignment="1">
      <alignment horizontal="center"/>
    </xf>
    <xf numFmtId="0" fontId="13" fillId="0" borderId="0" xfId="0" applyFont="1" applyAlignment="1" applyProtection="1">
      <alignment horizontal="center"/>
      <protection locked="0"/>
    </xf>
    <xf numFmtId="15" fontId="13" fillId="0" borderId="0" xfId="0" applyNumberFormat="1" applyFont="1" applyBorder="1" applyAlignment="1" applyProtection="1">
      <alignment horizontal="center"/>
      <protection locked="0"/>
    </xf>
    <xf numFmtId="0" fontId="74" fillId="0" borderId="0" xfId="0" applyFont="1"/>
    <xf numFmtId="0" fontId="75" fillId="0" borderId="0" xfId="0" applyFont="1"/>
    <xf numFmtId="0" fontId="13" fillId="0" borderId="0" xfId="0" applyFont="1" applyAlignment="1" applyProtection="1">
      <alignment horizontal="center"/>
      <protection locked="0"/>
    </xf>
    <xf numFmtId="39" fontId="0" fillId="8" borderId="1" xfId="0" applyNumberFormat="1" applyFill="1" applyBorder="1" applyProtection="1"/>
    <xf numFmtId="39" fontId="0" fillId="8" borderId="0" xfId="0" applyNumberFormat="1" applyFill="1" applyProtection="1"/>
    <xf numFmtId="0" fontId="12" fillId="0" borderId="0" xfId="0" applyFont="1" applyBorder="1"/>
    <xf numFmtId="0" fontId="13" fillId="0" borderId="0" xfId="0" applyFont="1" applyBorder="1"/>
    <xf numFmtId="0" fontId="20" fillId="0" borderId="0" xfId="0" applyFont="1" applyBorder="1"/>
    <xf numFmtId="0" fontId="12" fillId="0" borderId="1" xfId="0" applyFont="1" applyBorder="1"/>
    <xf numFmtId="0" fontId="0" fillId="0" borderId="1" xfId="0" applyBorder="1" applyAlignment="1">
      <alignment horizontal="center"/>
    </xf>
    <xf numFmtId="0" fontId="11" fillId="0" borderId="2" xfId="0" applyFont="1" applyBorder="1"/>
    <xf numFmtId="0" fontId="0" fillId="0" borderId="2" xfId="0" applyBorder="1" applyAlignment="1">
      <alignment horizontal="center"/>
    </xf>
    <xf numFmtId="39" fontId="14" fillId="0" borderId="0" xfId="0" applyNumberFormat="1" applyFont="1" applyBorder="1" applyProtection="1"/>
    <xf numFmtId="0" fontId="13" fillId="0" borderId="0" xfId="0" applyFont="1" applyAlignment="1" applyProtection="1">
      <alignment horizontal="right"/>
      <protection locked="0"/>
    </xf>
    <xf numFmtId="0" fontId="0" fillId="0" borderId="18" xfId="0" applyBorder="1" applyAlignment="1">
      <alignment horizontal="center"/>
    </xf>
    <xf numFmtId="0" fontId="0" fillId="0" borderId="95" xfId="0" applyBorder="1"/>
    <xf numFmtId="39" fontId="0" fillId="0" borderId="96" xfId="0" applyNumberFormat="1" applyBorder="1"/>
    <xf numFmtId="0" fontId="74" fillId="0" borderId="0" xfId="0" applyFont="1" applyAlignment="1"/>
    <xf numFmtId="0" fontId="24" fillId="0" borderId="0" xfId="0" applyFont="1" applyAlignment="1">
      <alignment vertical="center"/>
    </xf>
    <xf numFmtId="0" fontId="13" fillId="0" borderId="1" xfId="0" applyFont="1" applyBorder="1" applyAlignment="1" applyProtection="1">
      <alignment horizontal="center"/>
    </xf>
    <xf numFmtId="0" fontId="13" fillId="0" borderId="0" xfId="0" applyFont="1" applyAlignment="1" applyProtection="1">
      <alignment horizontal="left"/>
    </xf>
    <xf numFmtId="0" fontId="12" fillId="0" borderId="0" xfId="0" applyFont="1" applyAlignment="1" applyProtection="1">
      <alignment wrapText="1"/>
    </xf>
    <xf numFmtId="0" fontId="13" fillId="0" borderId="0" xfId="0" applyFont="1" applyAlignment="1" applyProtection="1">
      <alignment horizontal="center" wrapText="1"/>
    </xf>
    <xf numFmtId="15" fontId="0" fillId="0" borderId="0" xfId="0" applyNumberFormat="1" applyAlignment="1" applyProtection="1">
      <alignment horizontal="centerContinuous"/>
    </xf>
    <xf numFmtId="0" fontId="13" fillId="0" borderId="0" xfId="0" quotePrefix="1" applyFont="1" applyAlignment="1" applyProtection="1">
      <alignment horizontal="right"/>
    </xf>
    <xf numFmtId="0" fontId="13" fillId="0" borderId="1" xfId="0" applyFont="1" applyBorder="1" applyAlignment="1" applyProtection="1">
      <alignment horizontal="centerContinuous"/>
    </xf>
    <xf numFmtId="0" fontId="12" fillId="0" borderId="1" xfId="0" applyFont="1" applyBorder="1" applyAlignment="1" applyProtection="1">
      <alignment horizontal="centerContinuous"/>
    </xf>
    <xf numFmtId="0" fontId="13" fillId="0" borderId="1" xfId="0" applyFont="1" applyBorder="1" applyProtection="1"/>
    <xf numFmtId="0" fontId="13" fillId="0" borderId="2" xfId="0" applyFont="1" applyBorder="1" applyAlignment="1" applyProtection="1">
      <alignment horizontal="centerContinuous" wrapText="1"/>
    </xf>
    <xf numFmtId="37" fontId="13" fillId="0" borderId="0" xfId="0" applyNumberFormat="1" applyFont="1" applyAlignment="1" applyProtection="1">
      <alignment horizontal="centerContinuous"/>
    </xf>
    <xf numFmtId="39" fontId="22" fillId="0" borderId="0" xfId="0" applyNumberFormat="1" applyFont="1" applyProtection="1"/>
    <xf numFmtId="0" fontId="14" fillId="0" borderId="0" xfId="0" applyFont="1" applyAlignment="1" applyProtection="1">
      <alignment horizontal="center" wrapText="1"/>
    </xf>
    <xf numFmtId="0" fontId="0" fillId="0" borderId="1" xfId="0" applyBorder="1" applyAlignment="1" applyProtection="1">
      <alignment horizontal="centerContinuous"/>
    </xf>
    <xf numFmtId="15" fontId="13" fillId="0" borderId="0" xfId="0" applyNumberFormat="1" applyFont="1" applyAlignment="1" applyProtection="1">
      <alignment horizontal="centerContinuous"/>
    </xf>
    <xf numFmtId="0" fontId="13" fillId="0" borderId="0" xfId="0" applyFont="1" applyAlignment="1" applyProtection="1">
      <alignment horizontal="centerContinuous"/>
    </xf>
    <xf numFmtId="15" fontId="13" fillId="0" borderId="0" xfId="0" applyNumberFormat="1" applyFont="1" applyAlignment="1" applyProtection="1">
      <alignment horizontal="center"/>
    </xf>
    <xf numFmtId="15" fontId="13" fillId="0" borderId="0" xfId="0" applyNumberFormat="1" applyFont="1" applyBorder="1" applyAlignment="1" applyProtection="1">
      <alignment horizontal="centerContinuous"/>
    </xf>
    <xf numFmtId="0" fontId="13" fillId="0" borderId="0" xfId="0" applyFont="1" applyBorder="1" applyAlignment="1" applyProtection="1">
      <alignment horizontal="centerContinuous"/>
    </xf>
    <xf numFmtId="15" fontId="13" fillId="0" borderId="1" xfId="0" applyNumberFormat="1" applyFont="1" applyBorder="1" applyAlignment="1" applyProtection="1">
      <alignment horizontal="centerContinuous"/>
    </xf>
    <xf numFmtId="0" fontId="14" fillId="0" borderId="0" xfId="0" applyFont="1" applyAlignment="1" applyProtection="1">
      <alignment horizontal="right"/>
    </xf>
    <xf numFmtId="39" fontId="13" fillId="0" borderId="0" xfId="0" applyNumberFormat="1" applyFont="1" applyBorder="1" applyAlignment="1" applyProtection="1">
      <alignment horizontal="center"/>
    </xf>
    <xf numFmtId="0" fontId="13" fillId="0" borderId="1" xfId="0" applyFont="1" applyBorder="1" applyAlignment="1" applyProtection="1">
      <alignment horizontal="right"/>
    </xf>
    <xf numFmtId="0" fontId="0" fillId="0" borderId="0" xfId="0" applyAlignment="1" applyProtection="1">
      <alignment horizontal="centerContinuous"/>
    </xf>
    <xf numFmtId="0" fontId="12" fillId="0" borderId="1" xfId="0" applyFont="1" applyBorder="1" applyAlignment="1" applyProtection="1">
      <alignment horizontal="center"/>
    </xf>
    <xf numFmtId="37" fontId="13" fillId="0" borderId="0" xfId="0" applyNumberFormat="1" applyFont="1" applyBorder="1" applyAlignment="1" applyProtection="1">
      <alignment horizontal="right"/>
    </xf>
    <xf numFmtId="0" fontId="13" fillId="0" borderId="0" xfId="0" quotePrefix="1" applyFont="1" applyAlignment="1" applyProtection="1">
      <alignment textRotation="180"/>
    </xf>
    <xf numFmtId="0" fontId="13" fillId="0" borderId="61" xfId="0" applyFont="1" applyBorder="1" applyAlignment="1" applyProtection="1">
      <alignment horizontal="center"/>
    </xf>
    <xf numFmtId="0" fontId="13" fillId="0" borderId="0" xfId="0" quotePrefix="1" applyFont="1" applyAlignment="1" applyProtection="1">
      <alignment vertical="center" textRotation="180"/>
    </xf>
    <xf numFmtId="0" fontId="12" fillId="0" borderId="0" xfId="0" applyFont="1" applyAlignment="1" applyProtection="1">
      <alignment horizontal="left" vertical="justify" wrapText="1"/>
    </xf>
    <xf numFmtId="0" fontId="37" fillId="0" borderId="0" xfId="0" applyFont="1" applyProtection="1"/>
    <xf numFmtId="0" fontId="37" fillId="0" borderId="0" xfId="0" applyFont="1" applyAlignment="1" applyProtection="1">
      <alignment horizontal="center"/>
    </xf>
    <xf numFmtId="0" fontId="14" fillId="0" borderId="0" xfId="0" applyFont="1" applyProtection="1"/>
    <xf numFmtId="0" fontId="37" fillId="0" borderId="1" xfId="0" applyFont="1" applyBorder="1" applyAlignment="1" applyProtection="1">
      <alignment horizontal="center"/>
    </xf>
    <xf numFmtId="0" fontId="37" fillId="0" borderId="0" xfId="0" applyFont="1" applyAlignment="1" applyProtection="1">
      <alignment horizontal="left"/>
    </xf>
    <xf numFmtId="0" fontId="10" fillId="0" borderId="12" xfId="0" applyFont="1" applyBorder="1"/>
    <xf numFmtId="0" fontId="0" fillId="0" borderId="0" xfId="0" applyFill="1"/>
    <xf numFmtId="0" fontId="10" fillId="0" borderId="0" xfId="0" applyFont="1" applyFill="1"/>
    <xf numFmtId="0" fontId="17" fillId="4" borderId="0" xfId="0" applyFont="1" applyFill="1"/>
    <xf numFmtId="0" fontId="76" fillId="0" borderId="0" xfId="0" applyFont="1"/>
    <xf numFmtId="0" fontId="77" fillId="0" borderId="0" xfId="0" applyFont="1"/>
    <xf numFmtId="0" fontId="10" fillId="9" borderId="12" xfId="0" applyFont="1" applyFill="1" applyBorder="1"/>
    <xf numFmtId="0" fontId="0" fillId="9" borderId="12" xfId="0" applyFill="1" applyBorder="1"/>
    <xf numFmtId="0" fontId="13" fillId="0" borderId="0" xfId="0" quotePrefix="1" applyFont="1" applyAlignment="1" applyProtection="1">
      <alignment horizontal="centerContinuous"/>
    </xf>
    <xf numFmtId="166" fontId="0" fillId="0" borderId="26" xfId="0" applyNumberFormat="1" applyBorder="1" applyProtection="1">
      <protection locked="0"/>
    </xf>
    <xf numFmtId="0" fontId="78" fillId="0" borderId="12" xfId="0" applyFont="1" applyBorder="1"/>
    <xf numFmtId="0" fontId="77" fillId="0" borderId="12" xfId="0" applyFont="1" applyBorder="1"/>
    <xf numFmtId="0" fontId="10" fillId="0" borderId="0" xfId="0" applyFont="1" applyBorder="1" applyAlignment="1">
      <alignment horizontal="right"/>
    </xf>
    <xf numFmtId="0" fontId="46" fillId="10" borderId="0" xfId="1" applyFont="1" applyFill="1"/>
    <xf numFmtId="0" fontId="27" fillId="10" borderId="0" xfId="1" applyFill="1"/>
    <xf numFmtId="0" fontId="12" fillId="0" borderId="0" xfId="1" applyFont="1" applyAlignment="1">
      <alignment horizontal="fill"/>
    </xf>
    <xf numFmtId="49" fontId="80" fillId="11" borderId="0" xfId="15" applyNumberFormat="1" applyFont="1" applyFill="1"/>
    <xf numFmtId="49" fontId="81" fillId="11" borderId="93" xfId="15" applyNumberFormat="1" applyFont="1" applyFill="1" applyBorder="1"/>
    <xf numFmtId="0" fontId="82" fillId="0" borderId="0" xfId="15" applyFont="1"/>
    <xf numFmtId="49" fontId="80" fillId="11" borderId="0" xfId="15" applyNumberFormat="1" applyFont="1" applyFill="1" applyAlignment="1"/>
    <xf numFmtId="49" fontId="81" fillId="11" borderId="0" xfId="15" applyNumberFormat="1" applyFont="1" applyFill="1" applyBorder="1" applyAlignment="1"/>
    <xf numFmtId="49" fontId="81" fillId="11" borderId="91" xfId="15" applyNumberFormat="1" applyFont="1" applyFill="1" applyBorder="1" applyAlignment="1"/>
    <xf numFmtId="0" fontId="82" fillId="0" borderId="0" xfId="15" applyFont="1" applyAlignment="1"/>
    <xf numFmtId="49" fontId="80" fillId="11" borderId="0" xfId="15" applyNumberFormat="1" applyFont="1" applyFill="1" applyAlignment="1">
      <alignment horizontal="left"/>
    </xf>
    <xf numFmtId="49" fontId="82" fillId="11" borderId="0" xfId="15" applyNumberFormat="1" applyFont="1" applyFill="1"/>
    <xf numFmtId="49" fontId="83" fillId="11" borderId="0" xfId="15" applyNumberFormat="1" applyFont="1" applyFill="1"/>
    <xf numFmtId="49" fontId="84" fillId="11" borderId="12" xfId="15" applyNumberFormat="1" applyFont="1" applyFill="1" applyBorder="1"/>
    <xf numFmtId="49" fontId="84" fillId="11" borderId="12" xfId="15" applyNumberFormat="1" applyFont="1" applyFill="1" applyBorder="1" applyAlignment="1">
      <alignment horizontal="left"/>
    </xf>
    <xf numFmtId="49" fontId="82" fillId="0" borderId="0" xfId="15" applyNumberFormat="1" applyFont="1"/>
    <xf numFmtId="39" fontId="14" fillId="0" borderId="0" xfId="0" applyNumberFormat="1" applyFont="1" applyBorder="1" applyProtection="1">
      <protection locked="0"/>
    </xf>
    <xf numFmtId="0" fontId="0" fillId="0" borderId="0" xfId="0" applyNumberFormat="1" applyFill="1"/>
    <xf numFmtId="0" fontId="82" fillId="0" borderId="0" xfId="15" applyNumberFormat="1" applyFont="1"/>
    <xf numFmtId="0" fontId="11" fillId="0" borderId="0" xfId="0" applyFont="1"/>
    <xf numFmtId="15" fontId="17" fillId="0" borderId="0" xfId="0" quotePrefix="1" applyNumberFormat="1" applyFont="1"/>
    <xf numFmtId="1" fontId="17" fillId="0" borderId="0" xfId="0" applyNumberFormat="1" applyFont="1"/>
    <xf numFmtId="0" fontId="13" fillId="0" borderId="0" xfId="0" applyFont="1" applyAlignment="1" applyProtection="1">
      <alignment horizontal="center"/>
      <protection locked="0"/>
    </xf>
    <xf numFmtId="49" fontId="81" fillId="11" borderId="0" xfId="15" applyNumberFormat="1" applyFont="1" applyFill="1" applyBorder="1" applyAlignment="1">
      <alignment wrapText="1"/>
    </xf>
    <xf numFmtId="0" fontId="0" fillId="0" borderId="0" xfId="0" applyFont="1"/>
    <xf numFmtId="0" fontId="10" fillId="0" borderId="0" xfId="0" applyNumberFormat="1" applyFont="1" applyFill="1"/>
    <xf numFmtId="0" fontId="80" fillId="0" borderId="0" xfId="15" applyNumberFormat="1" applyFont="1"/>
    <xf numFmtId="4" fontId="0" fillId="0" borderId="0" xfId="0" applyNumberFormat="1"/>
    <xf numFmtId="4" fontId="0" fillId="0" borderId="12" xfId="0" applyNumberFormat="1" applyBorder="1"/>
    <xf numFmtId="4" fontId="0" fillId="0" borderId="0" xfId="0" applyNumberFormat="1" applyFill="1"/>
    <xf numFmtId="10" fontId="0" fillId="0" borderId="26" xfId="0" applyNumberFormat="1" applyBorder="1" applyAlignment="1" applyProtection="1">
      <alignment horizontal="center"/>
      <protection locked="0"/>
    </xf>
    <xf numFmtId="166" fontId="0" fillId="0" borderId="29" xfId="0" applyNumberFormat="1" applyBorder="1" applyAlignment="1" applyProtection="1">
      <alignment horizontal="center"/>
      <protection locked="0"/>
    </xf>
    <xf numFmtId="166" fontId="0" fillId="0" borderId="63" xfId="0" applyNumberFormat="1" applyBorder="1" applyAlignment="1" applyProtection="1">
      <alignment horizontal="center"/>
      <protection locked="0"/>
    </xf>
    <xf numFmtId="10" fontId="0" fillId="0" borderId="26" xfId="0" applyNumberFormat="1" applyBorder="1" applyProtection="1">
      <protection locked="0"/>
    </xf>
    <xf numFmtId="15" fontId="51" fillId="0" borderId="12" xfId="5" applyNumberFormat="1" applyFont="1" applyBorder="1" applyAlignment="1">
      <alignment horizontal="center" wrapText="1"/>
    </xf>
    <xf numFmtId="1" fontId="0" fillId="0" borderId="0" xfId="0" applyNumberFormat="1" applyBorder="1"/>
    <xf numFmtId="1" fontId="0" fillId="0" borderId="5" xfId="0" applyNumberFormat="1" applyBorder="1"/>
    <xf numFmtId="1" fontId="21" fillId="0" borderId="31" xfId="0" applyNumberFormat="1" applyFont="1" applyBorder="1"/>
    <xf numFmtId="1" fontId="21"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0" fontId="85" fillId="9" borderId="0" xfId="16" applyFill="1"/>
    <xf numFmtId="0" fontId="85" fillId="12" borderId="0" xfId="16" applyFill="1"/>
    <xf numFmtId="4" fontId="0" fillId="0" borderId="0" xfId="0" applyNumberFormat="1" applyBorder="1"/>
    <xf numFmtId="49" fontId="0" fillId="0" borderId="0" xfId="0" applyNumberFormat="1" applyBorder="1"/>
    <xf numFmtId="0" fontId="0" fillId="0" borderId="0" xfId="0" applyNumberFormat="1" applyBorder="1"/>
    <xf numFmtId="0" fontId="85" fillId="0" borderId="0" xfId="16" applyFill="1"/>
    <xf numFmtId="4" fontId="63" fillId="0" borderId="94" xfId="10" applyNumberFormat="1" applyFont="1" applyBorder="1" applyProtection="1">
      <protection locked="0"/>
    </xf>
    <xf numFmtId="49" fontId="82" fillId="0" borderId="0" xfId="15" applyNumberFormat="1" applyFont="1" applyAlignment="1">
      <alignment horizontal="right"/>
    </xf>
    <xf numFmtId="49" fontId="82" fillId="0" borderId="0" xfId="15" applyNumberFormat="1" applyFont="1" applyFill="1"/>
    <xf numFmtId="49" fontId="82" fillId="0" borderId="0" xfId="15" applyNumberFormat="1" applyFont="1" applyAlignment="1">
      <alignment horizontal="center"/>
    </xf>
    <xf numFmtId="0" fontId="13" fillId="0" borderId="0" xfId="0" applyFont="1" applyAlignment="1" applyProtection="1">
      <alignment horizontal="center"/>
      <protection locked="0"/>
    </xf>
    <xf numFmtId="0" fontId="13" fillId="0" borderId="0" xfId="0" applyFont="1" applyAlignment="1" applyProtection="1">
      <alignment horizontal="center"/>
      <protection locked="0"/>
    </xf>
    <xf numFmtId="0" fontId="20" fillId="0" borderId="0" xfId="0" applyFont="1" applyBorder="1" applyAlignment="1">
      <alignment horizontal="left"/>
    </xf>
    <xf numFmtId="0" fontId="0" fillId="0" borderId="96" xfId="0" applyBorder="1"/>
    <xf numFmtId="49" fontId="51" fillId="0" borderId="12" xfId="5" applyNumberFormat="1" applyFont="1" applyBorder="1" applyAlignment="1">
      <alignment horizontal="center" wrapText="1"/>
    </xf>
    <xf numFmtId="15" fontId="13" fillId="0" borderId="0" xfId="0" applyNumberFormat="1" applyFont="1" applyAlignment="1" applyProtection="1">
      <alignment horizontal="center"/>
    </xf>
    <xf numFmtId="0" fontId="15" fillId="0" borderId="0" xfId="0" applyFont="1" applyAlignment="1" applyProtection="1">
      <alignment horizontal="left"/>
    </xf>
    <xf numFmtId="0" fontId="0" fillId="0" borderId="0" xfId="0"/>
    <xf numFmtId="0" fontId="0" fillId="0" borderId="0" xfId="0"/>
    <xf numFmtId="0" fontId="15" fillId="0" borderId="0" xfId="0" applyFont="1"/>
    <xf numFmtId="0" fontId="0" fillId="0" borderId="12" xfId="0" applyBorder="1"/>
    <xf numFmtId="0" fontId="17" fillId="0" borderId="0" xfId="0" applyFont="1"/>
    <xf numFmtId="0" fontId="17" fillId="0" borderId="0" xfId="0" applyFont="1" applyAlignment="1">
      <alignment horizontal="right"/>
    </xf>
    <xf numFmtId="39" fontId="0" fillId="0" borderId="0" xfId="0" applyNumberFormat="1"/>
    <xf numFmtId="39" fontId="0" fillId="0" borderId="12" xfId="0" applyNumberFormat="1" applyBorder="1"/>
    <xf numFmtId="49" fontId="0" fillId="0" borderId="0" xfId="0" applyNumberFormat="1" applyFill="1"/>
    <xf numFmtId="49" fontId="17" fillId="0" borderId="0" xfId="0" applyNumberFormat="1" applyFont="1" applyFill="1"/>
    <xf numFmtId="0" fontId="0" fillId="0" borderId="0" xfId="0" applyAlignment="1">
      <alignment horizontal="center"/>
    </xf>
    <xf numFmtId="49" fontId="17" fillId="0" borderId="0" xfId="0" quotePrefix="1" applyNumberFormat="1" applyFont="1" applyBorder="1"/>
    <xf numFmtId="1" fontId="14" fillId="0" borderId="29" xfId="11" applyNumberFormat="1" applyFont="1" applyBorder="1" applyAlignment="1">
      <alignment horizontal="left"/>
    </xf>
    <xf numFmtId="0" fontId="77" fillId="0" borderId="0" xfId="0" applyFont="1" applyBorder="1"/>
    <xf numFmtId="0" fontId="0" fillId="0" borderId="0" xfId="0" applyAlignment="1">
      <alignment horizontal="center"/>
    </xf>
    <xf numFmtId="0" fontId="13" fillId="0" borderId="0" xfId="0" applyFont="1" applyAlignment="1" applyProtection="1">
      <alignment horizontal="center" wrapText="1"/>
    </xf>
    <xf numFmtId="0" fontId="13" fillId="0" borderId="0" xfId="0" applyFont="1" applyAlignment="1" applyProtection="1">
      <alignment horizontal="center"/>
    </xf>
    <xf numFmtId="0" fontId="37" fillId="13" borderId="0" xfId="0" applyFont="1" applyFill="1"/>
    <xf numFmtId="0" fontId="10" fillId="13" borderId="0" xfId="0" applyFont="1" applyFill="1"/>
    <xf numFmtId="0" fontId="0" fillId="13" borderId="0" xfId="0" applyFill="1"/>
    <xf numFmtId="0" fontId="10" fillId="13" borderId="12" xfId="0" applyFont="1" applyFill="1" applyBorder="1"/>
    <xf numFmtId="0" fontId="0" fillId="13" borderId="12" xfId="0" applyFill="1" applyBorder="1"/>
    <xf numFmtId="0" fontId="59" fillId="0" borderId="0" xfId="12"/>
    <xf numFmtId="0" fontId="87" fillId="0" borderId="0" xfId="0" applyFont="1" applyBorder="1"/>
    <xf numFmtId="0" fontId="88" fillId="0" borderId="0" xfId="0" applyFont="1" applyBorder="1"/>
    <xf numFmtId="0" fontId="26" fillId="0" borderId="12" xfId="0" applyFont="1" applyBorder="1"/>
    <xf numFmtId="0" fontId="11" fillId="13" borderId="23" xfId="0" applyFont="1" applyFill="1" applyBorder="1"/>
    <xf numFmtId="0" fontId="0" fillId="13" borderId="23" xfId="0" applyFill="1" applyBorder="1" applyAlignment="1">
      <alignment horizontal="center"/>
    </xf>
    <xf numFmtId="0" fontId="0" fillId="13" borderId="23" xfId="0" applyFill="1" applyBorder="1"/>
    <xf numFmtId="0" fontId="14" fillId="0" borderId="0" xfId="0" quotePrefix="1" applyNumberFormat="1" applyFont="1" applyAlignment="1" applyProtection="1">
      <alignment horizontal="center"/>
      <protection locked="0"/>
    </xf>
    <xf numFmtId="0" fontId="0" fillId="0" borderId="0" xfId="0" applyAlignment="1">
      <alignment horizontal="center"/>
    </xf>
    <xf numFmtId="0" fontId="51" fillId="0" borderId="12" xfId="5" applyFont="1" applyBorder="1" applyAlignment="1">
      <alignment horizontal="center" vertical="top"/>
    </xf>
    <xf numFmtId="0" fontId="26" fillId="0" borderId="0" xfId="0" applyFont="1" applyBorder="1"/>
    <xf numFmtId="0" fontId="14" fillId="0" borderId="0" xfId="0" applyFont="1" applyBorder="1"/>
    <xf numFmtId="0" fontId="13" fillId="0" borderId="0" xfId="0" applyFont="1" applyAlignment="1" applyProtection="1">
      <alignment horizontal="center"/>
    </xf>
    <xf numFmtId="0" fontId="14" fillId="0" borderId="0" xfId="0" applyNumberFormat="1" applyFont="1" applyAlignment="1" applyProtection="1">
      <alignment horizontal="center"/>
      <protection locked="0"/>
    </xf>
    <xf numFmtId="0" fontId="12" fillId="0" borderId="0" xfId="0" applyNumberFormat="1" applyFont="1" applyAlignment="1" applyProtection="1">
      <alignment horizontal="center"/>
      <protection locked="0"/>
    </xf>
    <xf numFmtId="0" fontId="23" fillId="0" borderId="0" xfId="0" quotePrefix="1" applyNumberFormat="1" applyFont="1" applyAlignment="1" applyProtection="1">
      <alignment horizontal="center"/>
      <protection locked="0"/>
    </xf>
    <xf numFmtId="0" fontId="0" fillId="0" borderId="0" xfId="0" applyNumberFormat="1" applyAlignment="1" applyProtection="1">
      <alignment horizontal="center"/>
      <protection locked="0"/>
    </xf>
    <xf numFmtId="0" fontId="13"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13" fillId="0" borderId="31" xfId="0" quotePrefix="1" applyFont="1" applyBorder="1" applyAlignment="1" applyProtection="1">
      <alignment horizontal="left"/>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0"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Fill="1" applyBorder="1" applyProtection="1">
      <protection locked="0"/>
    </xf>
    <xf numFmtId="0" fontId="0" fillId="0" borderId="15" xfId="0" applyBorder="1" applyProtection="1">
      <protection locked="0"/>
    </xf>
    <xf numFmtId="0" fontId="0" fillId="0" borderId="18" xfId="0" applyBorder="1" applyProtection="1">
      <protection locked="0"/>
    </xf>
    <xf numFmtId="0" fontId="0" fillId="0" borderId="37" xfId="0" applyBorder="1" applyProtection="1">
      <protection locked="0"/>
    </xf>
    <xf numFmtId="0" fontId="0" fillId="0" borderId="38" xfId="0" applyBorder="1" applyProtection="1">
      <protection locked="0"/>
    </xf>
    <xf numFmtId="39" fontId="21" fillId="0" borderId="0" xfId="0" applyNumberFormat="1" applyFont="1" applyProtection="1"/>
    <xf numFmtId="39" fontId="17" fillId="0" borderId="1" xfId="0" applyNumberFormat="1" applyFont="1" applyBorder="1" applyProtection="1">
      <protection locked="0"/>
    </xf>
    <xf numFmtId="39" fontId="17" fillId="0" borderId="0" xfId="0" applyNumberFormat="1" applyFont="1" applyProtection="1">
      <protection locked="0"/>
    </xf>
    <xf numFmtId="0" fontId="13" fillId="0" borderId="0" xfId="0" applyFont="1" applyAlignment="1" applyProtection="1">
      <alignment horizontal="center"/>
    </xf>
    <xf numFmtId="165" fontId="64" fillId="0" borderId="61"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1"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Border="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1" fillId="0" borderId="31" xfId="0" applyNumberFormat="1" applyFont="1" applyBorder="1" applyProtection="1">
      <protection locked="0"/>
    </xf>
    <xf numFmtId="1" fontId="0" fillId="0" borderId="0" xfId="0" applyNumberFormat="1" applyProtection="1">
      <protection locked="0"/>
    </xf>
    <xf numFmtId="1" fontId="21" fillId="0" borderId="11" xfId="0" applyNumberFormat="1" applyFont="1" applyBorder="1" applyProtection="1">
      <protection locked="0"/>
    </xf>
    <xf numFmtId="1" fontId="21" fillId="0" borderId="25" xfId="0" applyNumberFormat="1" applyFont="1" applyBorder="1" applyProtection="1">
      <protection locked="0"/>
    </xf>
    <xf numFmtId="1" fontId="0" fillId="0" borderId="5" xfId="0" applyNumberFormat="1" applyBorder="1" applyProtection="1">
      <protection locked="0"/>
    </xf>
    <xf numFmtId="1" fontId="23" fillId="0" borderId="31" xfId="0" applyNumberFormat="1" applyFont="1" applyBorder="1" applyProtection="1">
      <protection locked="0"/>
    </xf>
    <xf numFmtId="1" fontId="0" fillId="0" borderId="0" xfId="0" applyNumberForma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11" fillId="0" borderId="0" xfId="0" applyFont="1" applyAlignment="1" applyProtection="1">
      <alignment horizontal="centerContinuous"/>
    </xf>
    <xf numFmtId="164" fontId="11" fillId="0" borderId="0" xfId="0" applyNumberFormat="1" applyFont="1" applyAlignment="1" applyProtection="1">
      <alignment horizontal="centerContinuous"/>
    </xf>
    <xf numFmtId="0" fontId="10" fillId="0" borderId="0" xfId="0" applyFont="1" applyAlignment="1" applyProtection="1">
      <alignment horizontal="centerContinuous"/>
    </xf>
    <xf numFmtId="49" fontId="81" fillId="11" borderId="0" xfId="15" applyNumberFormat="1" applyFont="1" applyFill="1" applyBorder="1"/>
    <xf numFmtId="0" fontId="0" fillId="0" borderId="94" xfId="0" applyBorder="1" applyAlignment="1" applyProtection="1">
      <alignment horizontal="center"/>
      <protection locked="0"/>
    </xf>
    <xf numFmtId="164" fontId="11" fillId="0" borderId="0" xfId="0" applyNumberFormat="1" applyFont="1" applyAlignment="1" applyProtection="1">
      <alignment horizontal="center"/>
      <protection locked="0"/>
    </xf>
    <xf numFmtId="166" fontId="0" fillId="0" borderId="94" xfId="0" applyNumberFormat="1" applyBorder="1" applyAlignment="1" applyProtection="1">
      <alignment horizontal="center"/>
      <protection locked="0"/>
    </xf>
    <xf numFmtId="164" fontId="17" fillId="0" borderId="0" xfId="0" applyNumberFormat="1" applyFont="1" applyAlignment="1" applyProtection="1">
      <alignment horizontal="left"/>
      <protection locked="0"/>
    </xf>
    <xf numFmtId="166" fontId="0" fillId="0" borderId="0" xfId="0" applyNumberFormat="1" applyBorder="1" applyAlignment="1" applyProtection="1">
      <alignment horizontal="center"/>
      <protection locked="0"/>
    </xf>
    <xf numFmtId="0" fontId="0" fillId="0" borderId="0" xfId="0" applyBorder="1" applyAlignment="1">
      <alignment horizontal="center"/>
    </xf>
    <xf numFmtId="0" fontId="0" fillId="0" borderId="11" xfId="0" applyBorder="1" applyAlignment="1" applyProtection="1">
      <alignment horizontal="center"/>
      <protection locked="0"/>
    </xf>
    <xf numFmtId="166" fontId="0" fillId="0" borderId="11" xfId="0" applyNumberFormat="1" applyBorder="1" applyAlignment="1" applyProtection="1">
      <alignment horizontal="center"/>
      <protection locked="0"/>
    </xf>
    <xf numFmtId="0" fontId="0" fillId="0" borderId="93" xfId="0" applyBorder="1" applyAlignment="1" applyProtection="1">
      <alignment horizontal="center"/>
      <protection locked="0"/>
    </xf>
    <xf numFmtId="10" fontId="0" fillId="0" borderId="94" xfId="0" applyNumberFormat="1" applyBorder="1" applyAlignment="1" applyProtection="1">
      <alignment horizontal="center"/>
      <protection locked="0"/>
    </xf>
    <xf numFmtId="0" fontId="17" fillId="0" borderId="0" xfId="38" applyFont="1" applyBorder="1" applyAlignment="1">
      <alignment horizontal="center"/>
    </xf>
    <xf numFmtId="0" fontId="10" fillId="0" borderId="13" xfId="0" applyFont="1" applyBorder="1" applyAlignment="1" applyProtection="1">
      <alignment horizontal="left"/>
      <protection locked="0"/>
    </xf>
    <xf numFmtId="0" fontId="17" fillId="0" borderId="0" xfId="38"/>
    <xf numFmtId="0" fontId="17" fillId="0" borderId="0" xfId="38" applyFont="1"/>
    <xf numFmtId="0" fontId="17" fillId="0" borderId="0" xfId="38" applyFont="1" applyAlignment="1"/>
    <xf numFmtId="0" fontId="0" fillId="0" borderId="0" xfId="0" applyBorder="1" applyAlignment="1" applyProtection="1">
      <alignment horizontal="center"/>
      <protection locked="0"/>
    </xf>
    <xf numFmtId="0" fontId="17" fillId="0" borderId="0" xfId="38" applyFont="1"/>
    <xf numFmtId="0" fontId="17" fillId="0" borderId="0" xfId="38" applyFont="1" applyAlignment="1"/>
    <xf numFmtId="0" fontId="15" fillId="0" borderId="0" xfId="38" applyFont="1"/>
    <xf numFmtId="0" fontId="17" fillId="0" borderId="0" xfId="38"/>
    <xf numFmtId="0" fontId="17" fillId="0" borderId="0" xfId="38" applyFont="1"/>
    <xf numFmtId="0" fontId="10" fillId="0" borderId="0" xfId="38" applyFont="1"/>
    <xf numFmtId="0" fontId="50" fillId="0" borderId="0" xfId="38" applyFont="1" applyAlignment="1">
      <alignment horizontal="left" vertical="center"/>
    </xf>
    <xf numFmtId="0" fontId="50" fillId="0" borderId="0" xfId="38" applyFont="1"/>
    <xf numFmtId="0" fontId="17" fillId="0" borderId="12" xfId="38" applyFont="1" applyBorder="1"/>
    <xf numFmtId="0" fontId="17" fillId="0" borderId="0" xfId="38" applyFont="1" applyBorder="1"/>
    <xf numFmtId="0" fontId="17" fillId="0" borderId="95" xfId="38" applyFont="1" applyBorder="1"/>
    <xf numFmtId="10" fontId="0" fillId="0" borderId="0" xfId="0" applyNumberFormat="1" applyBorder="1" applyAlignment="1" applyProtection="1">
      <alignment horizontal="center"/>
      <protection locked="0"/>
    </xf>
    <xf numFmtId="0" fontId="17" fillId="0" borderId="0" xfId="38"/>
    <xf numFmtId="0" fontId="17" fillId="0" borderId="0" xfId="38" applyFont="1"/>
    <xf numFmtId="0" fontId="10" fillId="0" borderId="0" xfId="38" applyFont="1"/>
    <xf numFmtId="0" fontId="50" fillId="0" borderId="0" xfId="38" applyFont="1" applyAlignment="1">
      <alignment horizontal="left" vertical="center"/>
    </xf>
    <xf numFmtId="0" fontId="50" fillId="0" borderId="0" xfId="38" applyFont="1"/>
    <xf numFmtId="0" fontId="17" fillId="0" borderId="12" xfId="38" applyFont="1" applyBorder="1"/>
    <xf numFmtId="0" fontId="17" fillId="0" borderId="0" xfId="38" applyFont="1" applyBorder="1"/>
    <xf numFmtId="0" fontId="17" fillId="0" borderId="95" xfId="38" applyFont="1" applyBorder="1"/>
    <xf numFmtId="0" fontId="17" fillId="0" borderId="0" xfId="38" applyFont="1"/>
    <xf numFmtId="0" fontId="10" fillId="0" borderId="0" xfId="38" applyFont="1"/>
    <xf numFmtId="0" fontId="17" fillId="0" borderId="0" xfId="38" applyFont="1" applyBorder="1"/>
    <xf numFmtId="10" fontId="0" fillId="0" borderId="93" xfId="0" applyNumberFormat="1" applyBorder="1" applyAlignment="1" applyProtection="1">
      <alignment horizontal="center"/>
      <protection locked="0"/>
    </xf>
    <xf numFmtId="0" fontId="0" fillId="0" borderId="90" xfId="0" applyBorder="1" applyAlignment="1" applyProtection="1">
      <alignment horizontal="centerContinuous"/>
      <protection locked="0"/>
    </xf>
    <xf numFmtId="0" fontId="0" fillId="0" borderId="92" xfId="0" applyBorder="1" applyProtection="1">
      <protection locked="0"/>
    </xf>
    <xf numFmtId="166" fontId="0" fillId="0" borderId="93" xfId="0" applyNumberFormat="1" applyBorder="1" applyAlignment="1" applyProtection="1">
      <alignment horizontal="center"/>
      <protection locked="0"/>
    </xf>
    <xf numFmtId="0" fontId="17" fillId="0" borderId="0" xfId="0" applyFont="1" applyBorder="1" applyAlignment="1">
      <alignment horizontal="right"/>
    </xf>
    <xf numFmtId="0" fontId="39" fillId="0" borderId="0" xfId="0" applyFont="1" applyBorder="1"/>
    <xf numFmtId="0" fontId="17" fillId="0" borderId="95" xfId="0" applyFont="1" applyBorder="1" applyAlignment="1">
      <alignment horizontal="right"/>
    </xf>
    <xf numFmtId="0" fontId="17" fillId="0" borderId="0" xfId="0" applyFont="1" applyBorder="1" applyAlignment="1">
      <alignment horizontal="left"/>
    </xf>
    <xf numFmtId="0" fontId="12" fillId="0" borderId="0" xfId="0" applyFont="1" applyAlignment="1" applyProtection="1">
      <alignment horizontal="right"/>
    </xf>
    <xf numFmtId="0" fontId="10" fillId="0" borderId="0" xfId="38" applyFont="1" applyAlignment="1">
      <alignment horizontal="left"/>
    </xf>
    <xf numFmtId="0" fontId="17" fillId="0" borderId="0" xfId="38"/>
    <xf numFmtId="0" fontId="17" fillId="0" borderId="12" xfId="38" applyBorder="1"/>
    <xf numFmtId="0" fontId="17" fillId="0" borderId="95" xfId="38" applyBorder="1"/>
    <xf numFmtId="0" fontId="17" fillId="0" borderId="91" xfId="38" applyBorder="1"/>
    <xf numFmtId="0" fontId="17" fillId="0" borderId="27" xfId="38" applyBorder="1"/>
    <xf numFmtId="0" fontId="17" fillId="0" borderId="92" xfId="38" applyBorder="1"/>
    <xf numFmtId="0" fontId="17" fillId="0" borderId="41" xfId="38" applyBorder="1"/>
    <xf numFmtId="0" fontId="17" fillId="0" borderId="90" xfId="38" applyFont="1" applyBorder="1"/>
    <xf numFmtId="0" fontId="16" fillId="0" borderId="91" xfId="38" applyFont="1" applyBorder="1"/>
    <xf numFmtId="0" fontId="39" fillId="0" borderId="11" xfId="38" applyFont="1" applyFill="1" applyBorder="1"/>
    <xf numFmtId="0" fontId="17" fillId="0" borderId="11" xfId="38" applyFont="1" applyFill="1" applyBorder="1"/>
    <xf numFmtId="0" fontId="17" fillId="0" borderId="26" xfId="38" applyFont="1" applyFill="1" applyBorder="1"/>
    <xf numFmtId="0" fontId="15" fillId="0" borderId="0" xfId="38" applyFont="1"/>
    <xf numFmtId="0" fontId="17" fillId="0" borderId="0" xfId="38" applyFont="1"/>
    <xf numFmtId="0" fontId="17" fillId="0" borderId="0" xfId="38" applyFont="1"/>
    <xf numFmtId="0" fontId="17" fillId="0" borderId="0" xfId="38" applyFont="1" applyBorder="1"/>
    <xf numFmtId="0" fontId="17" fillId="0" borderId="0" xfId="38" applyFont="1" applyAlignment="1">
      <alignment horizontal="left"/>
    </xf>
    <xf numFmtId="15" fontId="13" fillId="0" borderId="0" xfId="0" applyNumberFormat="1" applyFont="1" applyAlignment="1" applyProtection="1">
      <alignment horizontal="center"/>
    </xf>
    <xf numFmtId="0" fontId="13" fillId="0" borderId="0" xfId="0" applyFont="1" applyAlignment="1" applyProtection="1">
      <alignment horizontal="center"/>
    </xf>
    <xf numFmtId="4" fontId="12" fillId="0" borderId="0" xfId="0" applyNumberFormat="1" applyFont="1" applyAlignment="1" applyProtection="1">
      <protection locked="0"/>
    </xf>
    <xf numFmtId="0" fontId="11" fillId="0" borderId="12" xfId="0" applyFont="1" applyBorder="1"/>
    <xf numFmtId="0" fontId="10" fillId="0" borderId="95" xfId="0" applyFont="1" applyBorder="1"/>
    <xf numFmtId="0" fontId="13" fillId="0" borderId="0" xfId="0" applyFont="1" applyBorder="1" applyProtection="1">
      <protection locked="0"/>
    </xf>
    <xf numFmtId="49" fontId="81" fillId="14" borderId="93" xfId="38" applyNumberFormat="1" applyFont="1" applyFill="1" applyBorder="1" applyProtection="1"/>
    <xf numFmtId="0" fontId="81" fillId="14" borderId="93" xfId="38" applyNumberFormat="1" applyFont="1" applyFill="1" applyBorder="1" applyProtection="1"/>
    <xf numFmtId="0" fontId="82" fillId="0" borderId="0" xfId="38" applyFont="1" applyProtection="1"/>
    <xf numFmtId="49" fontId="93" fillId="11" borderId="0" xfId="38" applyNumberFormat="1" applyFont="1" applyFill="1" applyAlignment="1" applyProtection="1">
      <alignment horizontal="center"/>
    </xf>
    <xf numFmtId="0" fontId="93" fillId="15" borderId="0" xfId="38" applyNumberFormat="1" applyFont="1" applyFill="1" applyAlignment="1" applyProtection="1">
      <alignment horizontal="center"/>
    </xf>
    <xf numFmtId="0" fontId="82" fillId="0" borderId="0" xfId="38" applyFont="1" applyAlignment="1" applyProtection="1"/>
    <xf numFmtId="49" fontId="94" fillId="13" borderId="93" xfId="38" applyNumberFormat="1" applyFont="1" applyFill="1" applyBorder="1" applyAlignment="1" applyProtection="1">
      <alignment horizontal="center" wrapText="1"/>
    </xf>
    <xf numFmtId="0" fontId="94" fillId="13" borderId="93" xfId="38" applyNumberFormat="1" applyFont="1" applyFill="1" applyBorder="1" applyAlignment="1" applyProtection="1">
      <alignment horizontal="center" wrapText="1"/>
    </xf>
    <xf numFmtId="0" fontId="82" fillId="13" borderId="102" xfId="38" applyFont="1" applyFill="1" applyBorder="1" applyProtection="1"/>
    <xf numFmtId="49" fontId="94" fillId="15" borderId="103" xfId="38" applyNumberFormat="1" applyFont="1" applyFill="1" applyBorder="1" applyAlignment="1" applyProtection="1">
      <alignment horizontal="center" wrapText="1"/>
      <protection locked="0"/>
    </xf>
    <xf numFmtId="0" fontId="96" fillId="0" borderId="93" xfId="38" applyNumberFormat="1" applyFont="1" applyFill="1" applyBorder="1" applyAlignment="1" applyProtection="1">
      <alignment horizontal="center" wrapText="1"/>
    </xf>
    <xf numFmtId="0" fontId="82" fillId="0" borderId="95" xfId="38" applyFont="1" applyBorder="1" applyProtection="1"/>
    <xf numFmtId="0" fontId="82" fillId="0" borderId="95" xfId="38" applyFont="1" applyBorder="1" applyProtection="1">
      <protection locked="0"/>
    </xf>
    <xf numFmtId="0" fontId="82" fillId="0" borderId="0" xfId="38" applyFont="1" applyProtection="1">
      <protection locked="0"/>
    </xf>
    <xf numFmtId="49" fontId="94" fillId="15" borderId="95" xfId="38" applyNumberFormat="1" applyFont="1" applyFill="1" applyBorder="1" applyAlignment="1" applyProtection="1">
      <alignment horizontal="center" wrapText="1"/>
      <protection locked="0"/>
    </xf>
    <xf numFmtId="49" fontId="96" fillId="9" borderId="102" xfId="38" applyNumberFormat="1" applyFont="1" applyFill="1" applyBorder="1" applyAlignment="1" applyProtection="1">
      <alignment horizontal="center" wrapText="1"/>
    </xf>
    <xf numFmtId="49" fontId="97" fillId="0" borderId="0" xfId="38" applyNumberFormat="1" applyFont="1" applyFill="1" applyBorder="1" applyAlignment="1" applyProtection="1">
      <alignment horizontal="center" wrapText="1"/>
    </xf>
    <xf numFmtId="49" fontId="98" fillId="13" borderId="89" xfId="38" applyNumberFormat="1" applyFont="1" applyFill="1" applyBorder="1" applyAlignment="1" applyProtection="1">
      <alignment horizontal="center" wrapText="1"/>
    </xf>
    <xf numFmtId="49" fontId="99" fillId="13" borderId="89" xfId="38" applyNumberFormat="1" applyFont="1" applyFill="1" applyBorder="1" applyAlignment="1" applyProtection="1">
      <alignment horizontal="center" wrapText="1"/>
    </xf>
    <xf numFmtId="49" fontId="98" fillId="13" borderId="91" xfId="38" applyNumberFormat="1" applyFont="1" applyFill="1" applyBorder="1" applyAlignment="1" applyProtection="1">
      <alignment horizontal="center" wrapText="1"/>
    </xf>
    <xf numFmtId="0" fontId="98" fillId="13" borderId="29" xfId="38" applyNumberFormat="1" applyFont="1" applyFill="1" applyBorder="1" applyAlignment="1" applyProtection="1">
      <alignment horizontal="center" wrapText="1"/>
    </xf>
    <xf numFmtId="0" fontId="100" fillId="0" borderId="0" xfId="38" applyFont="1" applyAlignment="1" applyProtection="1">
      <alignment horizontal="center"/>
    </xf>
    <xf numFmtId="0" fontId="100" fillId="0" borderId="0" xfId="38" applyFont="1" applyAlignment="1" applyProtection="1">
      <alignment horizontal="center"/>
      <protection locked="0"/>
    </xf>
    <xf numFmtId="49" fontId="101" fillId="13" borderId="102" xfId="38" applyNumberFormat="1" applyFont="1" applyFill="1" applyBorder="1" applyAlignment="1" applyProtection="1">
      <alignment horizontal="center"/>
    </xf>
    <xf numFmtId="49" fontId="101" fillId="13" borderId="104" xfId="38" applyNumberFormat="1" applyFont="1" applyFill="1" applyBorder="1" applyAlignment="1" applyProtection="1">
      <alignment horizontal="center"/>
    </xf>
    <xf numFmtId="0" fontId="101" fillId="13" borderId="102" xfId="38" applyNumberFormat="1" applyFont="1" applyFill="1" applyBorder="1" applyAlignment="1" applyProtection="1">
      <alignment horizontal="center"/>
    </xf>
    <xf numFmtId="49" fontId="97" fillId="0" borderId="102" xfId="38" applyNumberFormat="1" applyFont="1" applyFill="1" applyBorder="1" applyAlignment="1" applyProtection="1">
      <alignment horizontal="right"/>
    </xf>
    <xf numFmtId="49" fontId="82" fillId="0" borderId="102" xfId="38" applyNumberFormat="1" applyFont="1" applyFill="1" applyBorder="1" applyProtection="1"/>
    <xf numFmtId="49" fontId="82" fillId="0" borderId="104" xfId="38" applyNumberFormat="1" applyFont="1" applyFill="1" applyBorder="1" applyProtection="1"/>
    <xf numFmtId="49" fontId="82" fillId="0" borderId="93" xfId="38" applyNumberFormat="1" applyFont="1" applyFill="1" applyBorder="1" applyAlignment="1" applyProtection="1">
      <alignment horizontal="right"/>
    </xf>
    <xf numFmtId="49" fontId="97" fillId="0" borderId="93" xfId="38" applyNumberFormat="1" applyFont="1" applyFill="1" applyBorder="1" applyAlignment="1" applyProtection="1">
      <alignment horizontal="right" wrapText="1"/>
    </xf>
    <xf numFmtId="49" fontId="82" fillId="0" borderId="93" xfId="38" applyNumberFormat="1" applyFont="1" applyFill="1" applyBorder="1" applyProtection="1"/>
    <xf numFmtId="49" fontId="97" fillId="0" borderId="93" xfId="38" applyNumberFormat="1" applyFont="1" applyFill="1" applyBorder="1" applyAlignment="1" applyProtection="1">
      <alignment horizontal="right"/>
    </xf>
    <xf numFmtId="0" fontId="94" fillId="16" borderId="95" xfId="38" applyFont="1" applyFill="1" applyBorder="1" applyProtection="1"/>
    <xf numFmtId="0" fontId="82" fillId="16" borderId="95" xfId="38" applyFont="1" applyFill="1" applyBorder="1" applyProtection="1"/>
    <xf numFmtId="0" fontId="82" fillId="9" borderId="0" xfId="38" applyFont="1" applyFill="1" applyProtection="1"/>
    <xf numFmtId="4" fontId="82" fillId="9" borderId="0" xfId="38" applyNumberFormat="1" applyFont="1" applyFill="1" applyProtection="1"/>
    <xf numFmtId="0" fontId="82" fillId="9" borderId="103" xfId="38" applyFont="1" applyFill="1" applyBorder="1" applyProtection="1"/>
    <xf numFmtId="4" fontId="82" fillId="9" borderId="103" xfId="38" applyNumberFormat="1" applyFont="1" applyFill="1" applyBorder="1" applyProtection="1"/>
    <xf numFmtId="0" fontId="94" fillId="9" borderId="62" xfId="38" applyFont="1" applyFill="1" applyBorder="1" applyProtection="1"/>
    <xf numFmtId="4" fontId="96" fillId="9" borderId="62" xfId="38" applyNumberFormat="1" applyFont="1" applyFill="1" applyBorder="1" applyProtection="1"/>
    <xf numFmtId="4" fontId="94" fillId="0" borderId="61" xfId="38" applyNumberFormat="1" applyFont="1" applyBorder="1" applyProtection="1"/>
    <xf numFmtId="49" fontId="82" fillId="0" borderId="93" xfId="38" applyNumberFormat="1" applyFont="1" applyFill="1" applyBorder="1" applyAlignment="1" applyProtection="1">
      <alignment horizontal="center"/>
    </xf>
    <xf numFmtId="49" fontId="82" fillId="0" borderId="94" xfId="38" applyNumberFormat="1" applyFont="1" applyFill="1" applyBorder="1" applyAlignment="1" applyProtection="1">
      <alignment horizontal="right"/>
    </xf>
    <xf numFmtId="49" fontId="82" fillId="0" borderId="95" xfId="38" applyNumberFormat="1" applyFont="1" applyFill="1" applyBorder="1" applyAlignment="1" applyProtection="1">
      <alignment horizontal="right"/>
    </xf>
    <xf numFmtId="49" fontId="82" fillId="0" borderId="95" xfId="38" applyNumberFormat="1" applyFont="1" applyFill="1" applyBorder="1" applyProtection="1"/>
    <xf numFmtId="0" fontId="82" fillId="0" borderId="0" xfId="38" applyFont="1" applyAlignment="1" applyProtection="1">
      <alignment horizontal="right"/>
    </xf>
    <xf numFmtId="4" fontId="94" fillId="0" borderId="61" xfId="38" applyNumberFormat="1" applyFont="1" applyBorder="1" applyAlignment="1" applyProtection="1">
      <alignment horizontal="right"/>
    </xf>
    <xf numFmtId="0" fontId="82" fillId="0" borderId="0" xfId="38" applyFont="1" applyAlignment="1" applyProtection="1">
      <alignment horizontal="right"/>
      <protection locked="0"/>
    </xf>
    <xf numFmtId="0" fontId="94" fillId="0" borderId="0" xfId="38" applyFont="1" applyBorder="1" applyProtection="1"/>
    <xf numFmtId="4" fontId="96" fillId="0" borderId="0" xfId="38" applyNumberFormat="1" applyFont="1" applyBorder="1" applyProtection="1"/>
    <xf numFmtId="49" fontId="82" fillId="0" borderId="0" xfId="38" applyNumberFormat="1" applyFont="1" applyProtection="1"/>
    <xf numFmtId="0" fontId="82" fillId="0" borderId="0" xfId="38" applyNumberFormat="1" applyFont="1" applyProtection="1"/>
    <xf numFmtId="49" fontId="103" fillId="0" borderId="0" xfId="38" applyNumberFormat="1" applyFont="1" applyProtection="1"/>
    <xf numFmtId="0" fontId="104" fillId="0" borderId="0" xfId="0" applyFont="1"/>
    <xf numFmtId="0" fontId="106" fillId="0" borderId="0" xfId="0" applyFont="1"/>
    <xf numFmtId="0" fontId="17" fillId="17" borderId="0" xfId="0" applyFont="1" applyFill="1"/>
    <xf numFmtId="0" fontId="0" fillId="17" borderId="0" xfId="0" applyFill="1"/>
    <xf numFmtId="0" fontId="13" fillId="0" borderId="0" xfId="0" applyFont="1" applyAlignment="1" applyProtection="1">
      <alignment horizontal="center"/>
    </xf>
    <xf numFmtId="39" fontId="27" fillId="0" borderId="107" xfId="6" applyNumberFormat="1" applyBorder="1" applyProtection="1">
      <protection locked="0"/>
    </xf>
    <xf numFmtId="168" fontId="27" fillId="0" borderId="106" xfId="6" applyNumberFormat="1" applyBorder="1" applyAlignment="1" applyProtection="1">
      <alignment horizontal="center"/>
      <protection locked="0"/>
    </xf>
    <xf numFmtId="39" fontId="12" fillId="0" borderId="107" xfId="6" applyFont="1" applyBorder="1" applyProtection="1">
      <protection locked="0"/>
    </xf>
    <xf numFmtId="49" fontId="82" fillId="0" borderId="108" xfId="38" applyNumberFormat="1" applyFont="1" applyFill="1" applyBorder="1" applyAlignment="1" applyProtection="1">
      <alignment horizontal="right"/>
    </xf>
    <xf numFmtId="49" fontId="82" fillId="0" borderId="109" xfId="38" applyNumberFormat="1" applyFont="1" applyFill="1" applyBorder="1" applyProtection="1"/>
    <xf numFmtId="0" fontId="14" fillId="17" borderId="0" xfId="0" applyFont="1" applyFill="1" applyAlignment="1" applyProtection="1">
      <alignment horizontal="right"/>
    </xf>
    <xf numFmtId="0" fontId="14" fillId="17" borderId="0" xfId="0" applyFont="1" applyFill="1" applyAlignment="1" applyProtection="1">
      <alignment horizontal="center"/>
    </xf>
    <xf numFmtId="49" fontId="80" fillId="0" borderId="0" xfId="15" applyNumberFormat="1" applyFont="1" applyFill="1" applyBorder="1"/>
    <xf numFmtId="0" fontId="82" fillId="0" borderId="108" xfId="38" applyNumberFormat="1" applyFont="1" applyFill="1" applyBorder="1" applyAlignment="1" applyProtection="1">
      <alignment horizontal="right"/>
    </xf>
    <xf numFmtId="0" fontId="82" fillId="0" borderId="110" xfId="38" applyNumberFormat="1" applyFont="1" applyFill="1" applyBorder="1" applyAlignment="1" applyProtection="1">
      <alignment horizontal="right"/>
    </xf>
    <xf numFmtId="49" fontId="82" fillId="0" borderId="108" xfId="38" applyNumberFormat="1" applyFont="1" applyFill="1" applyBorder="1" applyProtection="1"/>
    <xf numFmtId="0" fontId="0" fillId="0" borderId="103" xfId="0" applyBorder="1"/>
    <xf numFmtId="0" fontId="10" fillId="0" borderId="110" xfId="0" applyFont="1" applyBorder="1"/>
    <xf numFmtId="4" fontId="82" fillId="15" borderId="93" xfId="38" applyNumberFormat="1" applyFont="1" applyFill="1" applyBorder="1" applyAlignment="1" applyProtection="1">
      <alignment wrapText="1"/>
    </xf>
    <xf numFmtId="4" fontId="82" fillId="15" borderId="93" xfId="38" quotePrefix="1" applyNumberFormat="1" applyFont="1" applyFill="1" applyBorder="1" applyAlignment="1" applyProtection="1">
      <alignment wrapText="1"/>
    </xf>
    <xf numFmtId="4" fontId="82" fillId="15" borderId="93" xfId="38" applyNumberFormat="1" applyFont="1" applyFill="1" applyBorder="1" applyProtection="1"/>
    <xf numFmtId="4" fontId="82" fillId="0" borderId="97" xfId="38" applyNumberFormat="1" applyFont="1" applyFill="1" applyBorder="1" applyProtection="1"/>
    <xf numFmtId="4" fontId="82" fillId="15" borderId="110" xfId="38" applyNumberFormat="1" applyFont="1" applyFill="1" applyBorder="1" applyProtection="1"/>
    <xf numFmtId="0" fontId="82" fillId="0" borderId="102" xfId="38" applyNumberFormat="1" applyFont="1" applyFill="1" applyBorder="1" applyAlignment="1" applyProtection="1">
      <alignment horizontal="right"/>
    </xf>
    <xf numFmtId="0" fontId="0" fillId="0" borderId="0" xfId="0" applyAlignment="1">
      <alignment horizontal="center"/>
    </xf>
    <xf numFmtId="0" fontId="17" fillId="0" borderId="0" xfId="38" applyFont="1" applyAlignment="1">
      <alignment horizontal="right"/>
    </xf>
    <xf numFmtId="0" fontId="17" fillId="0" borderId="0" xfId="38" applyBorder="1"/>
    <xf numFmtId="0" fontId="40" fillId="0" borderId="0" xfId="38" applyFont="1"/>
    <xf numFmtId="39" fontId="0" fillId="18" borderId="110" xfId="0" applyNumberFormat="1" applyFill="1" applyBorder="1" applyProtection="1">
      <protection locked="0"/>
    </xf>
    <xf numFmtId="0" fontId="10" fillId="0" borderId="0" xfId="0" applyFont="1" applyFill="1" applyBorder="1" applyAlignment="1" applyProtection="1">
      <alignment horizontal="center" wrapText="1"/>
      <protection locked="0"/>
    </xf>
    <xf numFmtId="0" fontId="0" fillId="0" borderId="0" xfId="0" applyFill="1" applyProtection="1">
      <protection locked="0"/>
    </xf>
    <xf numFmtId="0" fontId="11" fillId="0" borderId="103" xfId="0" applyFont="1" applyBorder="1"/>
    <xf numFmtId="0" fontId="0" fillId="0" borderId="0" xfId="0" applyAlignment="1">
      <alignment horizontal="center"/>
    </xf>
    <xf numFmtId="39" fontId="0" fillId="0" borderId="0" xfId="0" applyNumberFormat="1" applyFill="1" applyBorder="1" applyProtection="1">
      <protection locked="0"/>
    </xf>
    <xf numFmtId="0" fontId="59" fillId="0" borderId="0" xfId="12" applyBorder="1"/>
    <xf numFmtId="0" fontId="37" fillId="0" borderId="0" xfId="0" applyFont="1" applyAlignment="1">
      <alignment wrapText="1"/>
    </xf>
    <xf numFmtId="0" fontId="14" fillId="0" borderId="0" xfId="0" applyFont="1" applyAlignment="1">
      <alignment wrapText="1"/>
    </xf>
    <xf numFmtId="0" fontId="10" fillId="0" borderId="0" xfId="0" applyFont="1" applyAlignment="1">
      <alignment horizontal="center"/>
    </xf>
    <xf numFmtId="0" fontId="0" fillId="0" borderId="0" xfId="0" applyAlignment="1">
      <alignment horizontal="center"/>
    </xf>
    <xf numFmtId="0" fontId="13" fillId="0" borderId="0" xfId="0" quotePrefix="1" applyFont="1" applyAlignment="1" applyProtection="1">
      <alignment horizontal="center"/>
      <protection locked="0"/>
    </xf>
    <xf numFmtId="164" fontId="11" fillId="0" borderId="0" xfId="0" applyNumberFormat="1" applyFont="1" applyAlignment="1">
      <alignment horizontal="center"/>
    </xf>
    <xf numFmtId="0" fontId="0" fillId="0" borderId="0" xfId="0" applyFill="1" applyBorder="1" applyAlignment="1"/>
    <xf numFmtId="0" fontId="17" fillId="0" borderId="0" xfId="38"/>
    <xf numFmtId="0" fontId="17" fillId="0" borderId="0" xfId="38" applyAlignment="1">
      <alignment horizontal="left" indent="1"/>
    </xf>
    <xf numFmtId="0" fontId="17" fillId="0" borderId="0" xfId="38" applyAlignment="1">
      <alignment horizontal="left" indent="3"/>
    </xf>
    <xf numFmtId="44" fontId="17" fillId="0" borderId="0" xfId="38" applyNumberFormat="1" applyAlignment="1">
      <alignment wrapText="1"/>
    </xf>
    <xf numFmtId="0" fontId="17" fillId="0" borderId="0" xfId="38"/>
    <xf numFmtId="0" fontId="17" fillId="0" borderId="0" xfId="38" applyAlignment="1">
      <alignment horizontal="left" indent="1"/>
    </xf>
    <xf numFmtId="42" fontId="17" fillId="0" borderId="0" xfId="38" applyNumberFormat="1" applyBorder="1" applyAlignment="1"/>
    <xf numFmtId="41" fontId="17" fillId="0" borderId="0" xfId="38" applyNumberFormat="1" applyAlignment="1"/>
    <xf numFmtId="0" fontId="17" fillId="0" borderId="0" xfId="38" applyAlignment="1">
      <alignment horizontal="left"/>
    </xf>
    <xf numFmtId="0" fontId="17" fillId="0" borderId="0" xfId="38" applyAlignment="1"/>
    <xf numFmtId="0" fontId="40" fillId="0" borderId="0" xfId="38" applyFont="1" applyAlignment="1"/>
    <xf numFmtId="0" fontId="119" fillId="0" borderId="0" xfId="38" applyFont="1"/>
    <xf numFmtId="0" fontId="17" fillId="0" borderId="0" xfId="38"/>
    <xf numFmtId="0" fontId="17" fillId="0" borderId="0" xfId="38" applyAlignment="1">
      <alignment vertical="center"/>
    </xf>
    <xf numFmtId="0" fontId="17" fillId="0" borderId="0" xfId="38" applyBorder="1" applyAlignment="1"/>
    <xf numFmtId="0" fontId="40" fillId="0" borderId="0" xfId="38" applyFont="1" applyAlignment="1">
      <alignment vertical="center"/>
    </xf>
    <xf numFmtId="0" fontId="17" fillId="0" borderId="103" xfId="38" applyBorder="1" applyAlignment="1">
      <alignment horizontal="center"/>
    </xf>
    <xf numFmtId="0" fontId="86" fillId="0" borderId="0" xfId="38" applyFont="1" applyAlignment="1">
      <alignment horizontal="center"/>
    </xf>
    <xf numFmtId="42" fontId="17" fillId="0" borderId="0" xfId="38" applyNumberFormat="1"/>
    <xf numFmtId="41" fontId="17" fillId="0" borderId="0" xfId="38" applyNumberFormat="1"/>
    <xf numFmtId="41" fontId="17" fillId="0" borderId="103" xfId="38" applyNumberFormat="1" applyBorder="1"/>
    <xf numFmtId="42" fontId="17" fillId="0" borderId="109" xfId="38" applyNumberFormat="1" applyBorder="1"/>
    <xf numFmtId="42" fontId="17" fillId="0" borderId="62" xfId="38" applyNumberFormat="1" applyBorder="1"/>
    <xf numFmtId="0" fontId="86" fillId="0" borderId="0" xfId="38" applyFont="1" applyAlignment="1"/>
    <xf numFmtId="0" fontId="50" fillId="0" borderId="0" xfId="38" applyFont="1" applyAlignment="1">
      <alignment horizontal="center"/>
    </xf>
    <xf numFmtId="0" fontId="16" fillId="0" borderId="103" xfId="38" applyFont="1" applyBorder="1" applyAlignment="1">
      <alignment horizontal="center"/>
    </xf>
    <xf numFmtId="41" fontId="17" fillId="20" borderId="0" xfId="38" applyNumberFormat="1" applyFill="1"/>
    <xf numFmtId="42" fontId="50" fillId="0" borderId="61" xfId="38" applyNumberFormat="1" applyFont="1" applyBorder="1" applyAlignment="1">
      <alignment horizontal="center"/>
    </xf>
    <xf numFmtId="41" fontId="86" fillId="0" borderId="0" xfId="38" applyNumberFormat="1" applyFont="1" applyBorder="1" applyAlignment="1">
      <alignment horizontal="center"/>
    </xf>
    <xf numFmtId="42" fontId="17" fillId="0" borderId="109" xfId="38" applyNumberFormat="1" applyFont="1" applyBorder="1" applyAlignment="1">
      <alignment horizontal="center"/>
    </xf>
    <xf numFmtId="42" fontId="17" fillId="0" borderId="0" xfId="38" applyNumberFormat="1" applyBorder="1"/>
    <xf numFmtId="41" fontId="17" fillId="0" borderId="0" xfId="38" applyNumberFormat="1" applyBorder="1"/>
    <xf numFmtId="0" fontId="17" fillId="0" borderId="0" xfId="38" applyFill="1" applyBorder="1" applyAlignment="1">
      <alignment horizontal="left" indent="1"/>
    </xf>
    <xf numFmtId="0" fontId="17" fillId="0" borderId="0" xfId="38" applyFill="1" applyBorder="1"/>
    <xf numFmtId="0" fontId="17" fillId="0" borderId="0" xfId="38" applyFill="1" applyBorder="1" applyAlignment="1">
      <alignment horizontal="left" indent="3"/>
    </xf>
    <xf numFmtId="0" fontId="0" fillId="0" borderId="0" xfId="0" applyFill="1" applyBorder="1"/>
    <xf numFmtId="0" fontId="17" fillId="0" borderId="0" xfId="38" applyFill="1" applyBorder="1" applyAlignment="1"/>
    <xf numFmtId="0" fontId="17" fillId="0" borderId="0" xfId="38" applyFill="1" applyBorder="1" applyAlignment="1">
      <alignment horizontal="center"/>
    </xf>
    <xf numFmtId="41" fontId="17" fillId="0" borderId="0" xfId="38" applyNumberFormat="1" applyFill="1" applyBorder="1"/>
    <xf numFmtId="0" fontId="86" fillId="0" borderId="0" xfId="38" applyFont="1" applyBorder="1" applyAlignment="1"/>
    <xf numFmtId="0" fontId="86" fillId="0" borderId="0" xfId="38" applyFont="1" applyBorder="1" applyAlignment="1">
      <alignment horizontal="center"/>
    </xf>
    <xf numFmtId="0" fontId="50" fillId="0" borderId="0" xfId="38" applyFont="1" applyBorder="1" applyAlignment="1">
      <alignment horizontal="center"/>
    </xf>
    <xf numFmtId="0" fontId="0" fillId="0" borderId="103" xfId="0" applyFill="1" applyBorder="1" applyAlignment="1"/>
    <xf numFmtId="0" fontId="0" fillId="0" borderId="109" xfId="0" applyFill="1" applyBorder="1"/>
    <xf numFmtId="41" fontId="17" fillId="0" borderId="109" xfId="38" applyNumberFormat="1" applyFill="1" applyBorder="1" applyAlignment="1"/>
    <xf numFmtId="0" fontId="17" fillId="0" borderId="0" xfId="38" applyFill="1" applyBorder="1" applyAlignment="1">
      <alignment wrapText="1"/>
    </xf>
    <xf numFmtId="0" fontId="17" fillId="0" borderId="0" xfId="38" applyFont="1" applyFill="1" applyBorder="1" applyAlignment="1">
      <alignment wrapText="1"/>
    </xf>
    <xf numFmtId="0" fontId="12" fillId="0" borderId="0" xfId="0" quotePrefix="1" applyFont="1" applyProtection="1">
      <protection locked="0"/>
    </xf>
    <xf numFmtId="0" fontId="17" fillId="0" borderId="0" xfId="38"/>
    <xf numFmtId="0" fontId="17" fillId="0" borderId="0" xfId="38" applyAlignment="1">
      <alignment horizontal="left"/>
    </xf>
    <xf numFmtId="0" fontId="17" fillId="0" borderId="0" xfId="38" applyAlignment="1">
      <alignment horizontal="left" vertical="center" wrapText="1"/>
    </xf>
    <xf numFmtId="0" fontId="16" fillId="0" borderId="0" xfId="38" applyFont="1" applyAlignment="1">
      <alignment horizontal="center" vertical="center" wrapText="1"/>
    </xf>
    <xf numFmtId="49" fontId="16" fillId="0" borderId="0" xfId="38" applyNumberFormat="1" applyFont="1" applyAlignment="1">
      <alignment horizontal="center" vertical="center" wrapText="1"/>
    </xf>
    <xf numFmtId="0" fontId="17" fillId="0" borderId="103" xfId="38" applyBorder="1" applyAlignment="1">
      <alignment horizontal="center" vertical="center" wrapText="1"/>
    </xf>
    <xf numFmtId="0" fontId="17" fillId="0" borderId="109" xfId="38" applyBorder="1" applyAlignment="1">
      <alignment horizontal="center" vertical="center" wrapText="1"/>
    </xf>
    <xf numFmtId="0" fontId="17" fillId="0" borderId="0" xfId="38" applyAlignment="1">
      <alignment horizontal="right"/>
    </xf>
    <xf numFmtId="0" fontId="17" fillId="0" borderId="103" xfId="38" applyBorder="1"/>
    <xf numFmtId="0" fontId="17" fillId="0" borderId="62" xfId="38" applyBorder="1"/>
    <xf numFmtId="0" fontId="16" fillId="0" borderId="0" xfId="38" applyFont="1" applyAlignment="1">
      <alignment horizontal="center"/>
    </xf>
    <xf numFmtId="0" fontId="115" fillId="0" borderId="0" xfId="5" quotePrefix="1" applyFont="1"/>
    <xf numFmtId="0" fontId="13" fillId="0" borderId="0" xfId="0" quotePrefix="1" applyFont="1" applyProtection="1"/>
    <xf numFmtId="0" fontId="59" fillId="0" borderId="0" xfId="12" applyAlignment="1"/>
    <xf numFmtId="0" fontId="122" fillId="0" borderId="0" xfId="0" applyFont="1" applyAlignment="1" applyProtection="1">
      <alignment horizontal="centerContinuous"/>
    </xf>
    <xf numFmtId="0" fontId="123" fillId="0" borderId="0" xfId="0" applyFont="1" applyAlignment="1" applyProtection="1">
      <alignment horizontal="centerContinuous"/>
    </xf>
    <xf numFmtId="0" fontId="124" fillId="0" borderId="0" xfId="0" applyFont="1" applyAlignment="1" applyProtection="1">
      <alignment horizontal="centerContinuous"/>
    </xf>
    <xf numFmtId="0" fontId="125" fillId="0" borderId="0" xfId="0" applyFont="1" applyAlignment="1" applyProtection="1">
      <alignment horizontal="centerContinuous"/>
    </xf>
    <xf numFmtId="0" fontId="126" fillId="0" borderId="0" xfId="0" applyFont="1" applyAlignment="1">
      <alignment horizontal="centerContinuous"/>
    </xf>
    <xf numFmtId="0" fontId="123" fillId="0" borderId="0" xfId="0" applyFont="1" applyAlignment="1">
      <alignment horizontal="centerContinuous"/>
    </xf>
    <xf numFmtId="0" fontId="127" fillId="0" borderId="0" xfId="0" applyFont="1" applyAlignment="1" applyProtection="1">
      <alignment horizontal="centerContinuous"/>
      <protection locked="0"/>
    </xf>
    <xf numFmtId="0" fontId="128" fillId="0" borderId="0" xfId="0" applyFont="1" applyAlignment="1" applyProtection="1">
      <alignment horizontal="center"/>
    </xf>
    <xf numFmtId="0" fontId="128" fillId="0" borderId="12" xfId="0" applyNumberFormat="1" applyFont="1" applyBorder="1" applyAlignment="1" applyProtection="1">
      <alignment horizontal="center"/>
    </xf>
    <xf numFmtId="49" fontId="128" fillId="0" borderId="0" xfId="0" applyNumberFormat="1" applyFont="1" applyBorder="1" applyAlignment="1" applyProtection="1">
      <alignment horizontal="center"/>
    </xf>
    <xf numFmtId="0" fontId="129" fillId="0" borderId="0" xfId="0" applyFont="1" applyAlignment="1" applyProtection="1">
      <alignment horizontal="centerContinuous"/>
    </xf>
    <xf numFmtId="0" fontId="86" fillId="0" borderId="0" xfId="0" applyFont="1" applyAlignment="1" applyProtection="1">
      <alignment horizontal="centerContinuous"/>
    </xf>
    <xf numFmtId="0" fontId="129" fillId="0" borderId="0" xfId="0" applyNumberFormat="1" applyFont="1" applyAlignment="1" applyProtection="1">
      <alignment horizontal="centerContinuous"/>
      <protection locked="0"/>
    </xf>
    <xf numFmtId="0" fontId="44" fillId="0" borderId="0" xfId="0" applyFont="1" applyBorder="1" applyAlignment="1" applyProtection="1">
      <alignment horizontal="center" wrapText="1"/>
      <protection locked="0"/>
    </xf>
    <xf numFmtId="39" fontId="0" fillId="0" borderId="0" xfId="0" applyNumberFormat="1" applyBorder="1" applyProtection="1">
      <protection locked="0"/>
    </xf>
    <xf numFmtId="0" fontId="0" fillId="0" borderId="0" xfId="0"/>
    <xf numFmtId="39" fontId="11" fillId="2" borderId="64" xfId="6" applyFont="1" applyFill="1" applyBorder="1" applyAlignment="1" applyProtection="1">
      <alignment horizontal="centerContinuous" vertical="center"/>
      <protection locked="0"/>
    </xf>
    <xf numFmtId="0" fontId="0" fillId="0" borderId="0" xfId="0"/>
    <xf numFmtId="0" fontId="10" fillId="0" borderId="0" xfId="0" applyFont="1" applyAlignment="1">
      <alignment horizontal="center"/>
    </xf>
    <xf numFmtId="0" fontId="17" fillId="0" borderId="0" xfId="38" applyFont="1" applyAlignment="1">
      <alignment horizontal="left" vertical="top" wrapText="1"/>
    </xf>
    <xf numFmtId="0" fontId="17" fillId="0" borderId="0" xfId="38" applyFont="1" applyAlignment="1">
      <alignment vertical="top"/>
    </xf>
    <xf numFmtId="0" fontId="17" fillId="0" borderId="0" xfId="38"/>
    <xf numFmtId="0" fontId="17" fillId="0" borderId="0" xfId="0" applyFont="1" applyAlignment="1">
      <alignment horizontal="left"/>
    </xf>
    <xf numFmtId="0" fontId="130" fillId="0" borderId="0" xfId="38" applyFont="1" applyAlignment="1">
      <alignment horizontal="left" vertical="center"/>
    </xf>
    <xf numFmtId="0" fontId="17" fillId="0" borderId="0" xfId="0" applyFont="1" applyFill="1" applyAlignment="1">
      <alignment horizontal="left"/>
    </xf>
    <xf numFmtId="0" fontId="13" fillId="0" borderId="0" xfId="38" applyFont="1" applyAlignment="1">
      <alignment horizontal="right"/>
    </xf>
    <xf numFmtId="0" fontId="13" fillId="0" borderId="0" xfId="38" applyFont="1" applyBorder="1" applyAlignment="1">
      <alignment horizontal="left"/>
    </xf>
    <xf numFmtId="0" fontId="17" fillId="0" borderId="0" xfId="38" applyBorder="1" applyAlignment="1">
      <alignment horizontal="left"/>
    </xf>
    <xf numFmtId="0" fontId="37" fillId="0" borderId="0" xfId="38" applyFont="1"/>
    <xf numFmtId="0" fontId="17" fillId="0" borderId="0" xfId="38" applyFont="1" applyBorder="1" applyAlignment="1">
      <alignment horizontal="left"/>
    </xf>
    <xf numFmtId="0" fontId="17" fillId="0" borderId="110" xfId="38" applyBorder="1"/>
    <xf numFmtId="0" fontId="17" fillId="0" borderId="110" xfId="38" applyFont="1" applyBorder="1"/>
    <xf numFmtId="0" fontId="40" fillId="0" borderId="0" xfId="38" applyFont="1" applyBorder="1"/>
    <xf numFmtId="0" fontId="17" fillId="0" borderId="0" xfId="38" applyFont="1" applyFill="1" applyBorder="1"/>
    <xf numFmtId="169" fontId="17" fillId="0" borderId="0" xfId="38" applyNumberFormat="1" applyFont="1" applyFill="1" applyBorder="1"/>
    <xf numFmtId="0" fontId="10" fillId="0" borderId="0" xfId="0" applyFont="1" applyBorder="1" applyAlignment="1" applyProtection="1">
      <alignment horizontal="centerContinuous"/>
      <protection locked="0"/>
    </xf>
    <xf numFmtId="4" fontId="0" fillId="0" borderId="0" xfId="0" applyNumberFormat="1" applyBorder="1" applyAlignment="1" applyProtection="1">
      <alignment horizontal="centerContinuous"/>
      <protection locked="0"/>
    </xf>
    <xf numFmtId="4" fontId="0" fillId="0" borderId="0" xfId="0" applyNumberFormat="1" applyBorder="1" applyAlignment="1" applyProtection="1">
      <alignment horizontal="centerContinuous"/>
    </xf>
    <xf numFmtId="0" fontId="0" fillId="0" borderId="0" xfId="0"/>
    <xf numFmtId="0" fontId="17" fillId="0" borderId="0" xfId="38"/>
    <xf numFmtId="0" fontId="17" fillId="0" borderId="0" xfId="38" applyFont="1" applyAlignment="1">
      <alignment horizontal="left" vertical="top"/>
    </xf>
    <xf numFmtId="39" fontId="17" fillId="2" borderId="0" xfId="6" applyFont="1" applyFill="1" applyProtection="1">
      <protection locked="0"/>
    </xf>
    <xf numFmtId="39" fontId="12" fillId="2" borderId="0" xfId="6" applyFont="1" applyFill="1" applyBorder="1" applyProtection="1">
      <protection locked="0"/>
    </xf>
    <xf numFmtId="0" fontId="17" fillId="0" borderId="0" xfId="38" applyBorder="1" applyAlignment="1">
      <alignment horizontal="center"/>
    </xf>
    <xf numFmtId="0" fontId="17" fillId="0" borderId="0" xfId="38" applyAlignment="1">
      <alignment horizontal="left"/>
    </xf>
    <xf numFmtId="0" fontId="17" fillId="0" borderId="0" xfId="38"/>
    <xf numFmtId="0" fontId="109" fillId="0" borderId="0" xfId="0" applyFont="1"/>
    <xf numFmtId="0" fontId="51" fillId="0" borderId="0" xfId="0" applyFont="1"/>
    <xf numFmtId="0" fontId="10" fillId="0" borderId="103" xfId="38" applyFont="1" applyBorder="1"/>
    <xf numFmtId="0" fontId="17" fillId="0" borderId="108" xfId="38" applyFont="1" applyBorder="1"/>
    <xf numFmtId="0" fontId="17" fillId="0" borderId="109" xfId="38" applyBorder="1"/>
    <xf numFmtId="0" fontId="17" fillId="0" borderId="108" xfId="38" applyBorder="1"/>
    <xf numFmtId="0" fontId="17" fillId="0" borderId="108" xfId="38" applyBorder="1" applyAlignment="1">
      <alignment horizontal="left"/>
    </xf>
    <xf numFmtId="0" fontId="17" fillId="0" borderId="109" xfId="38" applyBorder="1" applyAlignment="1">
      <alignment horizontal="left"/>
    </xf>
    <xf numFmtId="0" fontId="17" fillId="0" borderId="103" xfId="38" applyFont="1" applyBorder="1"/>
    <xf numFmtId="0" fontId="17" fillId="0" borderId="109" xfId="38" applyFont="1" applyBorder="1"/>
    <xf numFmtId="0" fontId="10" fillId="0" borderId="0" xfId="38" applyFont="1" applyAlignment="1">
      <alignment horizontal="center"/>
    </xf>
    <xf numFmtId="0" fontId="10" fillId="0" borderId="110" xfId="38" applyFont="1" applyBorder="1" applyAlignment="1">
      <alignment horizontal="center" wrapText="1"/>
    </xf>
    <xf numFmtId="0" fontId="17" fillId="0" borderId="0" xfId="38" applyFont="1" applyBorder="1" applyAlignment="1">
      <alignment horizontal="right"/>
    </xf>
    <xf numFmtId="0" fontId="17" fillId="0" borderId="0" xfId="38" applyFont="1" applyBorder="1" applyAlignment="1"/>
    <xf numFmtId="0" fontId="0" fillId="0" borderId="0" xfId="0"/>
    <xf numFmtId="0" fontId="17" fillId="0" borderId="0" xfId="38" applyAlignment="1">
      <alignment horizontal="left" vertical="top" wrapText="1"/>
    </xf>
    <xf numFmtId="0" fontId="17" fillId="0" borderId="0" xfId="38" applyAlignment="1">
      <alignment horizontal="left" vertical="center" wrapText="1"/>
    </xf>
    <xf numFmtId="0" fontId="17" fillId="0" borderId="0" xfId="38" applyBorder="1" applyAlignment="1">
      <alignment horizontal="left" vertical="top" wrapText="1"/>
    </xf>
    <xf numFmtId="0" fontId="10" fillId="0" borderId="0" xfId="38" applyFont="1" applyBorder="1"/>
    <xf numFmtId="0" fontId="17" fillId="0" borderId="0" xfId="38" applyFont="1" applyBorder="1" applyAlignment="1">
      <alignment horizontal="left" vertical="top"/>
    </xf>
    <xf numFmtId="0" fontId="10" fillId="0" borderId="0" xfId="38" applyFont="1" applyBorder="1" applyAlignment="1">
      <alignment horizontal="center"/>
    </xf>
    <xf numFmtId="0" fontId="10" fillId="0" borderId="0" xfId="38" applyFont="1" applyBorder="1" applyAlignment="1">
      <alignment horizontal="center" wrapText="1"/>
    </xf>
    <xf numFmtId="0" fontId="15" fillId="0" borderId="0" xfId="38" applyFont="1" applyBorder="1"/>
    <xf numFmtId="0" fontId="17" fillId="0" borderId="108" xfId="38" applyBorder="1" applyAlignment="1">
      <alignment horizontal="right"/>
    </xf>
    <xf numFmtId="0" fontId="17" fillId="0" borderId="109" xfId="38" applyBorder="1" applyAlignment="1">
      <alignment horizontal="right"/>
    </xf>
    <xf numFmtId="0" fontId="17" fillId="0" borderId="112" xfId="38" applyBorder="1" applyAlignment="1">
      <alignment horizontal="right"/>
    </xf>
    <xf numFmtId="0" fontId="0" fillId="0" borderId="0" xfId="0"/>
    <xf numFmtId="0" fontId="10" fillId="0" borderId="0" xfId="0" applyFont="1" applyAlignment="1">
      <alignment horizontal="center"/>
    </xf>
    <xf numFmtId="0" fontId="17" fillId="0" borderId="0" xfId="38" applyFont="1" applyAlignment="1">
      <alignment horizontal="left" vertical="top" wrapText="1"/>
    </xf>
    <xf numFmtId="0" fontId="17" fillId="0" borderId="0" xfId="38" applyFont="1" applyAlignment="1">
      <alignment vertical="top"/>
    </xf>
    <xf numFmtId="0" fontId="17" fillId="0" borderId="103" xfId="38" applyBorder="1" applyAlignment="1">
      <alignment horizontal="left" vertical="center" wrapText="1"/>
    </xf>
    <xf numFmtId="0" fontId="17" fillId="0" borderId="0" xfId="0" applyFont="1" applyFill="1" applyAlignment="1">
      <alignment horizontal="left"/>
    </xf>
    <xf numFmtId="0" fontId="17" fillId="0" borderId="0" xfId="38" applyFont="1" applyAlignment="1">
      <alignment horizontal="left" vertical="top"/>
    </xf>
    <xf numFmtId="0" fontId="10" fillId="0" borderId="0" xfId="38" applyFont="1" applyAlignment="1">
      <alignment horizontal="left" vertical="center" wrapText="1"/>
    </xf>
    <xf numFmtId="0" fontId="17" fillId="0" borderId="0" xfId="38" applyAlignment="1">
      <alignment horizontal="center" vertical="top" wrapText="1"/>
    </xf>
    <xf numFmtId="0" fontId="17" fillId="0" borderId="103" xfId="38" applyBorder="1" applyAlignment="1">
      <alignment horizontal="left" vertical="top" wrapText="1"/>
    </xf>
    <xf numFmtId="0" fontId="17" fillId="0" borderId="109" xfId="38" applyBorder="1" applyAlignment="1">
      <alignment horizontal="left" vertical="top" wrapText="1"/>
    </xf>
    <xf numFmtId="0" fontId="17" fillId="0" borderId="0" xfId="38" applyAlignment="1">
      <alignment vertical="top" wrapText="1"/>
    </xf>
    <xf numFmtId="0" fontId="0" fillId="0" borderId="0" xfId="0" applyAlignment="1">
      <alignment horizontal="left"/>
    </xf>
    <xf numFmtId="0" fontId="10" fillId="0" borderId="0" xfId="0" quotePrefix="1" applyFont="1" applyAlignment="1">
      <alignment horizontal="left"/>
    </xf>
    <xf numFmtId="0" fontId="10" fillId="0" borderId="0" xfId="0" applyFont="1" applyAlignment="1">
      <alignment horizontal="left"/>
    </xf>
    <xf numFmtId="0" fontId="10" fillId="0" borderId="0" xfId="0" applyFont="1" applyFill="1" applyAlignment="1">
      <alignment horizontal="left"/>
    </xf>
    <xf numFmtId="0" fontId="15" fillId="0" borderId="0" xfId="38" applyFont="1" applyAlignment="1">
      <alignment horizontal="left" vertical="center"/>
    </xf>
    <xf numFmtId="0" fontId="12" fillId="0" borderId="0" xfId="0" applyFont="1" applyAlignment="1">
      <alignment horizontal="centerContinuous"/>
    </xf>
    <xf numFmtId="0" fontId="133" fillId="0" borderId="0" xfId="0" applyFont="1" applyProtection="1">
      <protection locked="0"/>
    </xf>
    <xf numFmtId="39" fontId="137" fillId="2" borderId="0" xfId="6" applyFont="1" applyFill="1" applyBorder="1" applyProtection="1">
      <protection locked="0"/>
    </xf>
    <xf numFmtId="0" fontId="39" fillId="0" borderId="0" xfId="0" applyFont="1" applyAlignment="1">
      <alignment horizontal="left" wrapText="1"/>
    </xf>
    <xf numFmtId="0" fontId="39" fillId="0" borderId="0" xfId="0" applyFont="1" applyFill="1" applyAlignment="1">
      <alignment horizontal="left"/>
    </xf>
    <xf numFmtId="0" fontId="39" fillId="0" borderId="0" xfId="38" applyFont="1" applyAlignment="1">
      <alignment horizontal="left" vertical="top" wrapText="1"/>
    </xf>
    <xf numFmtId="0" fontId="40" fillId="0" borderId="0" xfId="38" applyFont="1" applyAlignment="1">
      <alignment vertical="top"/>
    </xf>
    <xf numFmtId="0" fontId="17" fillId="0" borderId="0" xfId="38"/>
    <xf numFmtId="0" fontId="17" fillId="0" borderId="0" xfId="38" applyFont="1" applyFill="1" applyBorder="1" applyAlignment="1">
      <alignment horizontal="left" wrapText="1"/>
    </xf>
    <xf numFmtId="0" fontId="17" fillId="0" borderId="110" xfId="38" applyFont="1" applyBorder="1" applyAlignment="1">
      <alignment wrapText="1"/>
    </xf>
    <xf numFmtId="0" fontId="10" fillId="0" borderId="110" xfId="38" applyFont="1" applyBorder="1" applyAlignment="1">
      <alignment horizontal="left" wrapText="1"/>
    </xf>
    <xf numFmtId="0" fontId="40" fillId="0" borderId="110" xfId="38" applyFont="1" applyBorder="1" applyAlignment="1">
      <alignment wrapText="1"/>
    </xf>
    <xf numFmtId="0" fontId="39" fillId="0" borderId="29" xfId="38" applyFont="1" applyFill="1" applyBorder="1"/>
    <xf numFmtId="0" fontId="17" fillId="0" borderId="0" xfId="38" applyFont="1" applyBorder="1" applyAlignment="1">
      <alignment wrapText="1"/>
    </xf>
    <xf numFmtId="3" fontId="23" fillId="19" borderId="110" xfId="38" applyNumberFormat="1" applyFont="1" applyFill="1" applyBorder="1"/>
    <xf numFmtId="0" fontId="10" fillId="0" borderId="112" xfId="38" applyFont="1" applyBorder="1" applyAlignment="1">
      <alignment wrapText="1"/>
    </xf>
    <xf numFmtId="170" fontId="23" fillId="19" borderId="110" xfId="38" applyNumberFormat="1" applyFont="1" applyFill="1" applyBorder="1"/>
    <xf numFmtId="0" fontId="10" fillId="0" borderId="0" xfId="0" applyFont="1" applyAlignment="1">
      <alignment horizontal="left" wrapText="1"/>
    </xf>
    <xf numFmtId="0" fontId="0" fillId="0" borderId="0" xfId="0"/>
    <xf numFmtId="0" fontId="10"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17" fillId="0" borderId="0" xfId="38"/>
    <xf numFmtId="0" fontId="0" fillId="0" borderId="0" xfId="0" applyAlignment="1">
      <alignment horizontal="left" wrapText="1"/>
    </xf>
    <xf numFmtId="0" fontId="17" fillId="0" borderId="0" xfId="0" applyFont="1" applyAlignment="1">
      <alignment horizontal="left" wrapText="1"/>
    </xf>
    <xf numFmtId="39" fontId="142" fillId="0" borderId="0" xfId="0" applyNumberFormat="1" applyFont="1" applyProtection="1">
      <protection locked="0"/>
    </xf>
    <xf numFmtId="0" fontId="147" fillId="0" borderId="0" xfId="0" applyFont="1" applyProtection="1"/>
    <xf numFmtId="39" fontId="147" fillId="0" borderId="0" xfId="0" applyNumberFormat="1" applyFont="1" applyProtection="1"/>
    <xf numFmtId="0" fontId="149" fillId="0" borderId="0" xfId="0" applyFont="1" applyProtection="1">
      <protection locked="0"/>
    </xf>
    <xf numFmtId="0" fontId="147" fillId="0" borderId="0" xfId="0" applyFont="1" applyProtection="1">
      <protection locked="0"/>
    </xf>
    <xf numFmtId="39" fontId="149" fillId="0" borderId="0" xfId="0" applyNumberFormat="1" applyFont="1" applyProtection="1"/>
    <xf numFmtId="0" fontId="17" fillId="0" borderId="0" xfId="0" applyFont="1" applyAlignment="1">
      <alignment horizontal="right" vertical="top"/>
    </xf>
    <xf numFmtId="0" fontId="17" fillId="0" borderId="0" xfId="0" applyFont="1" applyAlignment="1"/>
    <xf numFmtId="0" fontId="0" fillId="0" borderId="0" xfId="0" applyAlignment="1">
      <alignment horizontal="right" vertical="top"/>
    </xf>
    <xf numFmtId="0" fontId="10" fillId="0" borderId="0" xfId="0" applyFont="1" applyAlignment="1">
      <alignment vertical="center"/>
    </xf>
    <xf numFmtId="0" fontId="150" fillId="0" borderId="0" xfId="0" applyFont="1" applyAlignment="1">
      <alignment vertical="center"/>
    </xf>
    <xf numFmtId="0" fontId="17" fillId="0" borderId="0" xfId="0" applyFont="1" applyBorder="1" applyAlignment="1">
      <alignment vertical="center" wrapText="1"/>
    </xf>
    <xf numFmtId="0" fontId="17" fillId="0" borderId="0" xfId="0" applyFont="1" applyAlignment="1">
      <alignment vertical="center"/>
    </xf>
    <xf numFmtId="0" fontId="17" fillId="0" borderId="0" xfId="0" applyFont="1" applyBorder="1" applyAlignment="1">
      <alignment horizontal="justify" vertical="center" wrapText="1"/>
    </xf>
    <xf numFmtId="0" fontId="17" fillId="0" borderId="0" xfId="0" applyFont="1" applyAlignment="1">
      <alignment horizontal="justify" vertical="center"/>
    </xf>
    <xf numFmtId="0" fontId="147" fillId="0" borderId="110" xfId="0" applyFont="1" applyBorder="1"/>
    <xf numFmtId="0" fontId="48" fillId="0" borderId="0" xfId="0" applyFont="1"/>
    <xf numFmtId="44" fontId="0" fillId="0" borderId="110" xfId="0" applyNumberFormat="1" applyFill="1" applyBorder="1" applyAlignment="1">
      <alignment horizontal="right"/>
    </xf>
    <xf numFmtId="10" fontId="0" fillId="0" borderId="110" xfId="0" applyNumberFormat="1" applyFill="1" applyBorder="1" applyAlignment="1">
      <alignment horizontal="right"/>
    </xf>
    <xf numFmtId="171" fontId="0" fillId="0" borderId="110" xfId="0" applyNumberFormat="1" applyFill="1" applyBorder="1" applyAlignment="1">
      <alignment horizontal="right"/>
    </xf>
    <xf numFmtId="0" fontId="0" fillId="0" borderId="0" xfId="0" applyFont="1" applyAlignment="1">
      <alignment horizontal="left" wrapText="1"/>
    </xf>
    <xf numFmtId="44" fontId="10" fillId="19" borderId="110" xfId="0" applyNumberFormat="1" applyFont="1" applyFill="1" applyBorder="1" applyAlignment="1">
      <alignment horizontal="right"/>
    </xf>
    <xf numFmtId="0" fontId="10" fillId="0" borderId="0" xfId="38" applyFont="1" applyAlignment="1">
      <alignment vertical="center"/>
    </xf>
    <xf numFmtId="0" fontId="17" fillId="0" borderId="0" xfId="38" applyFont="1" applyAlignment="1">
      <alignment vertical="center"/>
    </xf>
    <xf numFmtId="0" fontId="150" fillId="0" borderId="0" xfId="38" applyFont="1" applyAlignment="1">
      <alignment vertical="center"/>
    </xf>
    <xf numFmtId="0" fontId="17" fillId="0" borderId="0" xfId="38" applyFont="1" applyBorder="1" applyAlignment="1">
      <alignment vertical="center" wrapText="1"/>
    </xf>
    <xf numFmtId="0" fontId="17" fillId="0" borderId="0" xfId="38" applyFont="1" applyBorder="1" applyAlignment="1">
      <alignment horizontal="justify" vertical="center" wrapText="1"/>
    </xf>
    <xf numFmtId="0" fontId="17" fillId="0" borderId="0" xfId="38" applyFont="1" applyAlignment="1">
      <alignment horizontal="justify" vertical="center"/>
    </xf>
    <xf numFmtId="0" fontId="150" fillId="0" borderId="0" xfId="38" applyFont="1" applyAlignment="1"/>
    <xf numFmtId="0" fontId="17" fillId="0" borderId="0" xfId="38"/>
    <xf numFmtId="0" fontId="17" fillId="0" borderId="0" xfId="38" applyFont="1" applyFill="1" applyBorder="1" applyAlignment="1">
      <alignment horizontal="left" wrapText="1"/>
    </xf>
    <xf numFmtId="0" fontId="152" fillId="0" borderId="0" xfId="10" applyFont="1"/>
    <xf numFmtId="0" fontId="37" fillId="0" borderId="0" xfId="9" applyFont="1" applyAlignment="1"/>
    <xf numFmtId="0" fontId="17" fillId="0" borderId="0" xfId="9" applyFont="1" applyAlignment="1">
      <alignment horizontal="center"/>
    </xf>
    <xf numFmtId="0" fontId="0" fillId="0" borderId="0" xfId="0"/>
    <xf numFmtId="4" fontId="63" fillId="0" borderId="94" xfId="10" applyNumberFormat="1" applyFont="1" applyBorder="1" applyProtection="1"/>
    <xf numFmtId="4" fontId="63" fillId="0" borderId="100" xfId="10" applyNumberFormat="1" applyFont="1" applyBorder="1" applyProtection="1"/>
    <xf numFmtId="0" fontId="56" fillId="0" borderId="0" xfId="10" applyFont="1" applyAlignment="1">
      <alignment horizontal="right" vertical="center"/>
    </xf>
    <xf numFmtId="165" fontId="63" fillId="0" borderId="94" xfId="10" applyNumberFormat="1" applyFont="1" applyBorder="1" applyProtection="1"/>
    <xf numFmtId="0" fontId="69" fillId="0" borderId="0" xfId="10" applyFont="1" applyAlignment="1" applyProtection="1">
      <alignment horizontal="center" wrapText="1"/>
      <protection locked="0"/>
    </xf>
    <xf numFmtId="0" fontId="63" fillId="18" borderId="94" xfId="10" applyFont="1" applyFill="1" applyBorder="1" applyProtection="1">
      <protection locked="0"/>
    </xf>
    <xf numFmtId="165" fontId="64" fillId="0" borderId="101" xfId="10" applyNumberFormat="1" applyFont="1" applyBorder="1" applyProtection="1"/>
    <xf numFmtId="4" fontId="63" fillId="18" borderId="94" xfId="10" applyNumberFormat="1" applyFont="1" applyFill="1" applyBorder="1" applyProtection="1">
      <protection locked="0"/>
    </xf>
    <xf numFmtId="0" fontId="44" fillId="0" borderId="110" xfId="38" applyFont="1" applyBorder="1" applyAlignment="1" applyProtection="1">
      <alignment horizontal="center"/>
      <protection locked="0"/>
    </xf>
    <xf numFmtId="0" fontId="23" fillId="0" borderId="111" xfId="38" applyFont="1" applyBorder="1" applyAlignment="1" applyProtection="1">
      <alignment horizontal="center"/>
      <protection locked="0"/>
    </xf>
    <xf numFmtId="0" fontId="23" fillId="0" borderId="113" xfId="38" applyFont="1" applyBorder="1" applyAlignment="1" applyProtection="1">
      <alignment horizontal="center"/>
      <protection locked="0"/>
    </xf>
    <xf numFmtId="3" fontId="23" fillId="0" borderId="110" xfId="38" applyNumberFormat="1" applyFont="1" applyBorder="1" applyProtection="1">
      <protection locked="0"/>
    </xf>
    <xf numFmtId="3" fontId="23" fillId="0" borderId="111" xfId="38" applyNumberFormat="1" applyFont="1" applyBorder="1" applyProtection="1">
      <protection locked="0"/>
    </xf>
    <xf numFmtId="3" fontId="23" fillId="0" borderId="113" xfId="38" applyNumberFormat="1" applyFont="1" applyBorder="1" applyProtection="1">
      <protection locked="0"/>
    </xf>
    <xf numFmtId="0" fontId="23" fillId="0" borderId="113" xfId="38" applyNumberFormat="1" applyFont="1" applyBorder="1" applyProtection="1">
      <protection locked="0"/>
    </xf>
    <xf numFmtId="0" fontId="44" fillId="0" borderId="110" xfId="38" applyFont="1" applyFill="1" applyBorder="1" applyProtection="1">
      <protection locked="0"/>
    </xf>
    <xf numFmtId="0" fontId="23" fillId="0" borderId="111" xfId="38" applyFont="1" applyFill="1" applyBorder="1" applyProtection="1">
      <protection locked="0"/>
    </xf>
    <xf numFmtId="0" fontId="23" fillId="0" borderId="113" xfId="38" applyFont="1" applyFill="1" applyBorder="1" applyProtection="1">
      <protection locked="0"/>
    </xf>
    <xf numFmtId="0" fontId="23" fillId="4" borderId="110" xfId="38" applyFont="1" applyFill="1" applyBorder="1" applyProtection="1">
      <protection locked="0"/>
    </xf>
    <xf numFmtId="0" fontId="23" fillId="4" borderId="111" xfId="38" applyFont="1" applyFill="1" applyBorder="1" applyProtection="1">
      <protection locked="0"/>
    </xf>
    <xf numFmtId="0" fontId="23" fillId="4" borderId="113" xfId="38" applyFont="1" applyFill="1" applyBorder="1" applyProtection="1">
      <protection locked="0"/>
    </xf>
    <xf numFmtId="44" fontId="23" fillId="0" borderId="110" xfId="38" applyNumberFormat="1" applyFont="1" applyBorder="1" applyProtection="1">
      <protection locked="0"/>
    </xf>
    <xf numFmtId="44" fontId="23" fillId="0" borderId="111" xfId="38" applyNumberFormat="1" applyFont="1" applyBorder="1" applyProtection="1">
      <protection locked="0"/>
    </xf>
    <xf numFmtId="44" fontId="23" fillId="0" borderId="113" xfId="38" applyNumberFormat="1" applyFont="1" applyBorder="1" applyProtection="1">
      <protection locked="0"/>
    </xf>
    <xf numFmtId="0" fontId="23" fillId="0" borderId="110" xfId="38" applyFont="1" applyBorder="1" applyProtection="1">
      <protection locked="0"/>
    </xf>
    <xf numFmtId="0" fontId="23" fillId="0" borderId="111" xfId="38" applyFont="1" applyBorder="1" applyProtection="1">
      <protection locked="0"/>
    </xf>
    <xf numFmtId="0" fontId="23" fillId="0" borderId="113" xfId="38" applyFont="1" applyBorder="1" applyProtection="1">
      <protection locked="0"/>
    </xf>
    <xf numFmtId="0" fontId="17" fillId="0" borderId="110" xfId="38" applyFont="1" applyBorder="1" applyProtection="1">
      <protection locked="0"/>
    </xf>
    <xf numFmtId="0" fontId="17" fillId="0" borderId="111" xfId="38" applyFont="1" applyBorder="1" applyProtection="1">
      <protection locked="0"/>
    </xf>
    <xf numFmtId="0" fontId="17" fillId="0" borderId="113" xfId="38" applyFont="1" applyBorder="1" applyProtection="1">
      <protection locked="0"/>
    </xf>
    <xf numFmtId="44" fontId="17" fillId="0" borderId="110" xfId="38" applyNumberFormat="1" applyFont="1" applyBorder="1" applyProtection="1">
      <protection locked="0"/>
    </xf>
    <xf numFmtId="44" fontId="17" fillId="0" borderId="111" xfId="38" applyNumberFormat="1" applyFont="1" applyBorder="1" applyProtection="1">
      <protection locked="0"/>
    </xf>
    <xf numFmtId="44" fontId="17" fillId="0" borderId="113" xfId="38" applyNumberFormat="1" applyFont="1" applyBorder="1" applyProtection="1">
      <protection locked="0"/>
    </xf>
    <xf numFmtId="169" fontId="17" fillId="0" borderId="110" xfId="38" applyNumberFormat="1" applyFont="1" applyBorder="1" applyProtection="1">
      <protection locked="0"/>
    </xf>
    <xf numFmtId="169" fontId="17" fillId="0" borderId="111" xfId="38" applyNumberFormat="1" applyFont="1" applyBorder="1" applyProtection="1">
      <protection locked="0"/>
    </xf>
    <xf numFmtId="169" fontId="17" fillId="0" borderId="113" xfId="38" applyNumberFormat="1" applyFont="1" applyBorder="1" applyProtection="1">
      <protection locked="0"/>
    </xf>
    <xf numFmtId="0" fontId="17" fillId="0" borderId="112" xfId="38" applyFont="1" applyBorder="1" applyProtection="1">
      <protection locked="0"/>
    </xf>
    <xf numFmtId="0" fontId="17" fillId="0" borderId="110" xfId="38" applyFont="1" applyBorder="1" applyAlignment="1" applyProtection="1">
      <alignment wrapText="1"/>
      <protection locked="0"/>
    </xf>
    <xf numFmtId="0" fontId="17" fillId="0" borderId="0" xfId="38" applyBorder="1" applyAlignment="1" applyProtection="1">
      <alignment wrapText="1"/>
      <protection locked="0"/>
    </xf>
    <xf numFmtId="0" fontId="17" fillId="0" borderId="0" xfId="38" applyBorder="1" applyProtection="1">
      <protection locked="0"/>
    </xf>
    <xf numFmtId="0" fontId="37" fillId="0" borderId="0" xfId="38" applyFont="1" applyBorder="1" applyAlignment="1" applyProtection="1">
      <alignment wrapText="1"/>
      <protection locked="0"/>
    </xf>
    <xf numFmtId="0" fontId="17" fillId="0" borderId="0" xfId="38" applyProtection="1">
      <protection locked="0"/>
    </xf>
    <xf numFmtId="0" fontId="17" fillId="0" borderId="0" xfId="38" applyFont="1" applyFill="1" applyBorder="1" applyAlignment="1" applyProtection="1">
      <alignment horizontal="left" wrapText="1"/>
      <protection locked="0"/>
    </xf>
    <xf numFmtId="0" fontId="17" fillId="0" borderId="1" xfId="38" applyFont="1" applyFill="1" applyBorder="1" applyAlignment="1" applyProtection="1">
      <alignment horizontal="left" wrapText="1"/>
      <protection locked="0"/>
    </xf>
    <xf numFmtId="0" fontId="44" fillId="0" borderId="110" xfId="38" applyFont="1" applyFill="1" applyBorder="1" applyAlignment="1" applyProtection="1">
      <alignment horizontal="center"/>
      <protection locked="0"/>
    </xf>
    <xf numFmtId="0" fontId="23" fillId="0" borderId="110" xfId="38" applyFont="1" applyFill="1" applyBorder="1" applyAlignment="1" applyProtection="1">
      <alignment horizontal="center"/>
      <protection locked="0"/>
    </xf>
    <xf numFmtId="0" fontId="17" fillId="0" borderId="110" xfId="38" applyFont="1" applyBorder="1" applyAlignment="1" applyProtection="1">
      <alignment horizontal="left" wrapText="1"/>
      <protection locked="0"/>
    </xf>
    <xf numFmtId="0" fontId="17" fillId="4" borderId="110" xfId="38" applyFont="1" applyFill="1" applyBorder="1" applyProtection="1">
      <protection locked="0"/>
    </xf>
    <xf numFmtId="170" fontId="0" fillId="0" borderId="110" xfId="0" applyNumberFormat="1" applyFill="1" applyBorder="1" applyAlignment="1" applyProtection="1">
      <alignment horizontal="right"/>
      <protection locked="0"/>
    </xf>
    <xf numFmtId="44" fontId="0" fillId="0" borderId="110" xfId="0" applyNumberFormat="1" applyFill="1" applyBorder="1" applyAlignment="1" applyProtection="1">
      <alignment horizontal="right"/>
      <protection locked="0"/>
    </xf>
    <xf numFmtId="10" fontId="0" fillId="0" borderId="110" xfId="0" applyNumberFormat="1" applyFill="1" applyBorder="1" applyAlignment="1" applyProtection="1">
      <alignment horizontal="right"/>
      <protection locked="0"/>
    </xf>
    <xf numFmtId="171" fontId="0" fillId="0" borderId="110" xfId="0" applyNumberFormat="1" applyFill="1" applyBorder="1" applyAlignment="1" applyProtection="1">
      <alignment horizontal="right"/>
      <protection locked="0"/>
    </xf>
    <xf numFmtId="0" fontId="0" fillId="0" borderId="39" xfId="0" applyBorder="1" applyProtection="1">
      <protection locked="0"/>
    </xf>
    <xf numFmtId="0" fontId="69" fillId="0" borderId="0" xfId="10" applyFont="1" applyAlignment="1">
      <alignment horizontal="center" wrapText="1"/>
    </xf>
    <xf numFmtId="0" fontId="12" fillId="0" borderId="0" xfId="1" applyFont="1" applyAlignment="1">
      <alignment horizontal="center" wrapText="1"/>
    </xf>
    <xf numFmtId="0" fontId="12" fillId="0" borderId="0" xfId="7" applyFont="1" applyAlignment="1">
      <alignment horizontal="centerContinuous"/>
    </xf>
    <xf numFmtId="0" fontId="30" fillId="0" borderId="0" xfId="8" applyFont="1" applyAlignment="1">
      <alignment horizontal="center" wrapText="1"/>
    </xf>
    <xf numFmtId="0" fontId="13" fillId="0" borderId="57" xfId="8" applyFont="1" applyBorder="1" applyAlignment="1">
      <alignment horizontal="center" wrapText="1"/>
    </xf>
    <xf numFmtId="0" fontId="30" fillId="0" borderId="57" xfId="8" applyFont="1" applyBorder="1" applyAlignment="1">
      <alignment horizontal="center" wrapText="1"/>
    </xf>
    <xf numFmtId="0" fontId="12" fillId="0" borderId="0" xfId="8" applyFont="1" applyAlignment="1">
      <alignment horizontal="centerContinuous"/>
    </xf>
    <xf numFmtId="0" fontId="30" fillId="0" borderId="0" xfId="8" applyFont="1" applyAlignment="1">
      <alignment horizontal="center" shrinkToFit="1"/>
    </xf>
    <xf numFmtId="0" fontId="30" fillId="0" borderId="0" xfId="8" applyFont="1" applyAlignment="1">
      <alignment shrinkToFit="1"/>
    </xf>
    <xf numFmtId="0" fontId="13" fillId="0" borderId="0" xfId="8" applyFont="1" applyAlignment="1">
      <alignment horizontal="center" shrinkToFit="1"/>
    </xf>
    <xf numFmtId="0" fontId="27" fillId="0" borderId="0" xfId="8" applyAlignment="1">
      <alignment shrinkToFit="1"/>
    </xf>
    <xf numFmtId="0" fontId="13" fillId="0" borderId="0" xfId="8" applyFont="1" applyAlignment="1">
      <alignment shrinkToFit="1"/>
    </xf>
    <xf numFmtId="0" fontId="86" fillId="0" borderId="0" xfId="0" applyFont="1"/>
    <xf numFmtId="0" fontId="17" fillId="10" borderId="0" xfId="0" applyFont="1" applyFill="1"/>
    <xf numFmtId="0" fontId="17" fillId="10" borderId="0" xfId="38" applyFill="1"/>
    <xf numFmtId="0" fontId="17" fillId="10" borderId="0" xfId="0" applyFont="1" applyFill="1" applyProtection="1">
      <protection locked="0"/>
    </xf>
    <xf numFmtId="0" fontId="17" fillId="0" borderId="35" xfId="0" applyFont="1" applyBorder="1" applyAlignment="1">
      <alignment horizontal="centerContinuous"/>
    </xf>
    <xf numFmtId="0" fontId="17" fillId="0" borderId="18" xfId="0" applyFont="1" applyBorder="1" applyAlignment="1">
      <alignment horizontal="centerContinuous"/>
    </xf>
    <xf numFmtId="0" fontId="17" fillId="0" borderId="31" xfId="0" applyFont="1" applyBorder="1"/>
    <xf numFmtId="0" fontId="17" fillId="0" borderId="19" xfId="0" applyFont="1" applyBorder="1" applyAlignment="1">
      <alignment wrapText="1"/>
    </xf>
    <xf numFmtId="0" fontId="10" fillId="0" borderId="0" xfId="0" applyFont="1" applyAlignment="1">
      <alignment horizontal="left" wrapText="1"/>
    </xf>
    <xf numFmtId="0" fontId="129" fillId="0" borderId="0" xfId="0" applyFont="1" applyAlignment="1" applyProtection="1">
      <alignment horizontal="center"/>
      <protection locked="0"/>
    </xf>
    <xf numFmtId="0" fontId="128" fillId="0" borderId="0" xfId="0" applyFont="1" applyAlignment="1" applyProtection="1">
      <alignment horizontal="right"/>
    </xf>
    <xf numFmtId="0" fontId="10" fillId="0" borderId="78" xfId="0" applyFont="1" applyBorder="1" applyAlignment="1">
      <alignment horizontal="center"/>
    </xf>
    <xf numFmtId="0" fontId="33" fillId="0" borderId="78" xfId="0" applyFont="1" applyBorder="1" applyAlignment="1">
      <alignment horizontal="center"/>
    </xf>
    <xf numFmtId="0" fontId="10" fillId="0" borderId="79" xfId="0" applyFont="1" applyBorder="1" applyAlignment="1">
      <alignment horizontal="left" vertical="top"/>
    </xf>
    <xf numFmtId="0" fontId="33" fillId="0" borderId="80" xfId="0" applyFont="1" applyBorder="1" applyAlignment="1">
      <alignment horizontal="left" vertical="top"/>
    </xf>
    <xf numFmtId="0" fontId="33" fillId="0" borderId="81" xfId="0" applyFont="1" applyBorder="1" applyAlignment="1">
      <alignment horizontal="left" vertical="top"/>
    </xf>
    <xf numFmtId="0" fontId="33" fillId="0" borderId="82" xfId="0" applyFont="1" applyBorder="1" applyAlignment="1">
      <alignment horizontal="left" vertical="top"/>
    </xf>
    <xf numFmtId="0" fontId="33" fillId="0" borderId="0" xfId="0" applyFont="1" applyBorder="1" applyAlignment="1">
      <alignment horizontal="left" vertical="top"/>
    </xf>
    <xf numFmtId="0" fontId="33" fillId="0" borderId="83" xfId="0" applyFont="1" applyBorder="1" applyAlignment="1">
      <alignment horizontal="left" vertical="top"/>
    </xf>
    <xf numFmtId="0" fontId="34" fillId="0" borderId="79" xfId="0" applyFont="1" applyBorder="1" applyAlignment="1">
      <alignment horizontal="center"/>
    </xf>
    <xf numFmtId="0" fontId="34" fillId="0" borderId="81" xfId="0" applyFont="1" applyBorder="1" applyAlignment="1">
      <alignment horizontal="center"/>
    </xf>
    <xf numFmtId="0" fontId="34" fillId="0" borderId="82" xfId="0" applyFont="1" applyBorder="1" applyAlignment="1">
      <alignment horizontal="center"/>
    </xf>
    <xf numFmtId="0" fontId="34" fillId="0" borderId="83" xfId="0" applyFont="1" applyBorder="1" applyAlignment="1">
      <alignment horizontal="center"/>
    </xf>
    <xf numFmtId="0" fontId="34" fillId="0" borderId="84" xfId="0" applyFont="1" applyBorder="1" applyAlignment="1">
      <alignment horizontal="center"/>
    </xf>
    <xf numFmtId="0" fontId="34" fillId="0" borderId="85" xfId="0" applyFont="1" applyBorder="1" applyAlignment="1">
      <alignment horizontal="center"/>
    </xf>
    <xf numFmtId="0" fontId="33" fillId="0" borderId="84" xfId="0" applyFont="1" applyBorder="1" applyAlignment="1">
      <alignment horizontal="left" vertical="top"/>
    </xf>
    <xf numFmtId="0" fontId="33" fillId="0" borderId="78" xfId="0" applyFont="1" applyBorder="1" applyAlignment="1">
      <alignment horizontal="left" vertical="top"/>
    </xf>
    <xf numFmtId="0" fontId="33" fillId="0" borderId="85" xfId="0" applyFont="1" applyBorder="1" applyAlignment="1">
      <alignment horizontal="left" vertical="top"/>
    </xf>
    <xf numFmtId="0" fontId="71" fillId="0" borderId="17" xfId="10" applyFont="1" applyBorder="1" applyAlignment="1">
      <alignment horizontal="center" vertical="center" wrapText="1"/>
    </xf>
    <xf numFmtId="0" fontId="71" fillId="0" borderId="8" xfId="10" applyFont="1" applyBorder="1" applyAlignment="1">
      <alignment horizontal="center" vertical="center" wrapText="1"/>
    </xf>
    <xf numFmtId="0" fontId="71" fillId="0" borderId="31" xfId="10" applyFont="1" applyBorder="1" applyAlignment="1">
      <alignment horizontal="center" vertical="center" wrapText="1"/>
    </xf>
    <xf numFmtId="0" fontId="71" fillId="0" borderId="0" xfId="10" applyFont="1" applyBorder="1" applyAlignment="1">
      <alignment horizontal="center" vertical="center" wrapText="1"/>
    </xf>
    <xf numFmtId="0" fontId="71" fillId="0" borderId="19" xfId="10" applyFont="1" applyBorder="1" applyAlignment="1">
      <alignment horizontal="center" vertical="center" wrapText="1"/>
    </xf>
    <xf numFmtId="0" fontId="71" fillId="0" borderId="1" xfId="10" applyFont="1" applyBorder="1" applyAlignment="1">
      <alignment horizontal="center" vertical="center" wrapText="1"/>
    </xf>
    <xf numFmtId="0" fontId="66" fillId="0" borderId="8" xfId="10" applyFont="1" applyBorder="1" applyAlignment="1">
      <alignment horizontal="center" vertical="center"/>
    </xf>
    <xf numFmtId="0" fontId="66" fillId="0" borderId="9" xfId="10" applyFont="1" applyBorder="1" applyAlignment="1">
      <alignment horizontal="center" vertical="center"/>
    </xf>
    <xf numFmtId="0" fontId="66" fillId="0" borderId="0" xfId="10" applyFont="1" applyBorder="1" applyAlignment="1">
      <alignment horizontal="center" vertical="center"/>
    </xf>
    <xf numFmtId="0" fontId="66" fillId="0" borderId="5" xfId="10" applyFont="1" applyBorder="1" applyAlignment="1">
      <alignment horizontal="center" vertical="center"/>
    </xf>
    <xf numFmtId="0" fontId="66" fillId="0" borderId="1" xfId="10" applyFont="1" applyBorder="1" applyAlignment="1">
      <alignment horizontal="center" vertical="center"/>
    </xf>
    <xf numFmtId="0" fontId="66" fillId="0" borderId="4" xfId="10" applyFont="1" applyBorder="1" applyAlignment="1">
      <alignment horizontal="center" vertical="center"/>
    </xf>
    <xf numFmtId="0" fontId="56" fillId="0" borderId="0" xfId="10" applyFont="1" applyAlignment="1">
      <alignment horizontal="left" wrapText="1"/>
    </xf>
    <xf numFmtId="0" fontId="17" fillId="0" borderId="0" xfId="9" applyFont="1" applyAlignment="1">
      <alignment horizontal="center"/>
    </xf>
    <xf numFmtId="0" fontId="0" fillId="0" borderId="0" xfId="0"/>
    <xf numFmtId="0" fontId="60" fillId="6" borderId="0" xfId="12" applyFont="1" applyFill="1" applyAlignment="1">
      <alignment horizontal="left" vertical="center"/>
    </xf>
    <xf numFmtId="0" fontId="60" fillId="6" borderId="0" xfId="10" applyFont="1" applyFill="1" applyAlignment="1">
      <alignment horizontal="left"/>
    </xf>
    <xf numFmtId="0" fontId="62" fillId="6" borderId="0" xfId="10" applyFont="1" applyFill="1" applyAlignment="1">
      <alignment horizontal="left" indent="8"/>
    </xf>
    <xf numFmtId="0" fontId="2" fillId="0" borderId="0" xfId="10" applyFont="1" applyBorder="1" applyAlignment="1">
      <alignment horizontal="left" vertical="center" wrapText="1"/>
    </xf>
    <xf numFmtId="0" fontId="3" fillId="0" borderId="0" xfId="10" applyFont="1" applyBorder="1" applyAlignment="1">
      <alignment horizontal="left" vertical="center" wrapText="1"/>
    </xf>
    <xf numFmtId="0" fontId="70" fillId="0" borderId="10" xfId="10" applyFont="1" applyBorder="1" applyAlignment="1">
      <alignment horizontal="center" wrapText="1"/>
    </xf>
    <xf numFmtId="0" fontId="70" fillId="0" borderId="2" xfId="10" applyFont="1" applyBorder="1" applyAlignment="1">
      <alignment horizontal="center" wrapText="1"/>
    </xf>
    <xf numFmtId="0" fontId="70" fillId="0" borderId="3" xfId="10" applyFont="1" applyBorder="1" applyAlignment="1">
      <alignment horizontal="center" wrapText="1"/>
    </xf>
    <xf numFmtId="0" fontId="64" fillId="0" borderId="10" xfId="10" applyFont="1" applyBorder="1" applyAlignment="1">
      <alignment horizontal="center" vertical="center" wrapText="1"/>
    </xf>
    <xf numFmtId="0" fontId="64" fillId="0" borderId="2" xfId="10" applyFont="1" applyBorder="1" applyAlignment="1">
      <alignment horizontal="center" vertical="center" wrapText="1"/>
    </xf>
    <xf numFmtId="0" fontId="64" fillId="0" borderId="3" xfId="10" applyFont="1" applyBorder="1" applyAlignment="1">
      <alignment horizontal="center" vertical="center" wrapText="1"/>
    </xf>
    <xf numFmtId="0" fontId="64" fillId="0" borderId="17" xfId="10" applyFont="1" applyBorder="1" applyAlignment="1">
      <alignment horizontal="center" vertical="center" wrapText="1"/>
    </xf>
    <xf numFmtId="0" fontId="64" fillId="0" borderId="8" xfId="10" applyFont="1" applyBorder="1" applyAlignment="1">
      <alignment horizontal="center" vertical="center" wrapText="1"/>
    </xf>
    <xf numFmtId="0" fontId="64" fillId="0" borderId="31" xfId="10" applyFont="1" applyBorder="1" applyAlignment="1">
      <alignment horizontal="center" vertical="center" wrapText="1"/>
    </xf>
    <xf numFmtId="0" fontId="64" fillId="0" borderId="0" xfId="10" applyFont="1" applyBorder="1" applyAlignment="1">
      <alignment horizontal="center" vertical="center" wrapText="1"/>
    </xf>
    <xf numFmtId="0" fontId="64" fillId="0" borderId="19" xfId="10" applyFont="1" applyBorder="1" applyAlignment="1">
      <alignment horizontal="center" vertical="center" wrapText="1"/>
    </xf>
    <xf numFmtId="0" fontId="64" fillId="0" borderId="1" xfId="10" applyFont="1" applyBorder="1" applyAlignment="1">
      <alignment horizontal="center" vertical="center" wrapText="1"/>
    </xf>
    <xf numFmtId="165" fontId="66" fillId="0" borderId="8" xfId="10" applyNumberFormat="1" applyFont="1" applyBorder="1" applyAlignment="1">
      <alignment horizontal="center" vertical="center"/>
    </xf>
    <xf numFmtId="165" fontId="66" fillId="0" borderId="9" xfId="10" applyNumberFormat="1" applyFont="1" applyBorder="1" applyAlignment="1">
      <alignment horizontal="center" vertical="center"/>
    </xf>
    <xf numFmtId="165" fontId="66" fillId="0" borderId="0" xfId="10" applyNumberFormat="1" applyFont="1" applyBorder="1" applyAlignment="1">
      <alignment horizontal="center" vertical="center"/>
    </xf>
    <xf numFmtId="165" fontId="66" fillId="0" borderId="5" xfId="10" applyNumberFormat="1" applyFont="1" applyBorder="1" applyAlignment="1">
      <alignment horizontal="center" vertical="center"/>
    </xf>
    <xf numFmtId="165" fontId="66" fillId="0" borderId="1" xfId="10" applyNumberFormat="1" applyFont="1" applyBorder="1" applyAlignment="1">
      <alignment horizontal="center" vertical="center"/>
    </xf>
    <xf numFmtId="165" fontId="66" fillId="0" borderId="4" xfId="10" applyNumberFormat="1" applyFont="1" applyBorder="1" applyAlignment="1">
      <alignment horizontal="center" vertical="center"/>
    </xf>
    <xf numFmtId="0" fontId="9" fillId="0" borderId="17" xfId="10" applyBorder="1" applyAlignment="1">
      <alignment horizontal="left" vertical="top"/>
    </xf>
    <xf numFmtId="0" fontId="9" fillId="0" borderId="31" xfId="10" applyBorder="1" applyAlignment="1">
      <alignment horizontal="left" vertical="top"/>
    </xf>
    <xf numFmtId="0" fontId="10" fillId="0" borderId="32" xfId="9" applyFont="1" applyBorder="1" applyAlignment="1">
      <alignment horizontal="left"/>
    </xf>
    <xf numFmtId="0" fontId="10" fillId="0" borderId="12" xfId="9" applyFont="1" applyBorder="1" applyAlignment="1">
      <alignment horizontal="left"/>
    </xf>
    <xf numFmtId="0" fontId="10" fillId="0" borderId="33" xfId="9" applyFont="1" applyBorder="1" applyAlignment="1">
      <alignment horizontal="left"/>
    </xf>
    <xf numFmtId="0" fontId="57" fillId="0" borderId="0" xfId="10" applyFont="1" applyAlignment="1">
      <alignment horizontal="center"/>
    </xf>
    <xf numFmtId="0" fontId="17"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61" fillId="0" borderId="10" xfId="10" applyFont="1" applyFill="1" applyBorder="1" applyAlignment="1">
      <alignment horizontal="left" vertical="center" wrapText="1"/>
    </xf>
    <xf numFmtId="0" fontId="161" fillId="0" borderId="2" xfId="10" applyFont="1" applyFill="1" applyBorder="1" applyAlignment="1">
      <alignment horizontal="left" vertical="center" wrapText="1"/>
    </xf>
    <xf numFmtId="0" fontId="161" fillId="0" borderId="3" xfId="10" applyFont="1" applyFill="1" applyBorder="1" applyAlignment="1">
      <alignment horizontal="left" vertical="center" wrapText="1"/>
    </xf>
    <xf numFmtId="167" fontId="17" fillId="5" borderId="12" xfId="11" applyNumberFormat="1" applyFill="1" applyBorder="1" applyAlignment="1">
      <alignment horizontal="center"/>
    </xf>
    <xf numFmtId="167" fontId="17" fillId="5" borderId="27" xfId="11" applyNumberFormat="1" applyFill="1" applyBorder="1" applyAlignment="1">
      <alignment horizontal="center"/>
    </xf>
    <xf numFmtId="0" fontId="10" fillId="0" borderId="0" xfId="9" applyFont="1" applyBorder="1" applyAlignment="1">
      <alignment horizontal="center"/>
    </xf>
    <xf numFmtId="0" fontId="55" fillId="0" borderId="17" xfId="10" applyFont="1" applyBorder="1" applyAlignment="1">
      <alignment horizontal="left" vertical="top"/>
    </xf>
    <xf numFmtId="0" fontId="55" fillId="0" borderId="31" xfId="10" applyFont="1" applyBorder="1" applyAlignment="1">
      <alignment horizontal="left" vertical="top"/>
    </xf>
    <xf numFmtId="0" fontId="10" fillId="0" borderId="17" xfId="9" applyFont="1" applyBorder="1" applyAlignment="1">
      <alignment horizontal="center"/>
    </xf>
    <xf numFmtId="0" fontId="10" fillId="0" borderId="8" xfId="9" applyFont="1" applyBorder="1" applyAlignment="1">
      <alignment horizontal="center"/>
    </xf>
    <xf numFmtId="0" fontId="10" fillId="0" borderId="12" xfId="9" applyFont="1" applyBorder="1" applyAlignment="1">
      <alignment horizontal="center"/>
    </xf>
    <xf numFmtId="0" fontId="10" fillId="0" borderId="33" xfId="9" applyFont="1" applyBorder="1" applyAlignment="1">
      <alignment horizontal="center"/>
    </xf>
    <xf numFmtId="167" fontId="17" fillId="0" borderId="0" xfId="11" applyNumberFormat="1" applyBorder="1" applyAlignment="1">
      <alignment horizontal="right" indent="5"/>
    </xf>
    <xf numFmtId="167" fontId="17" fillId="0" borderId="0" xfId="11" applyNumberFormat="1" applyBorder="1" applyAlignment="1">
      <alignment horizontal="center"/>
    </xf>
    <xf numFmtId="167" fontId="17" fillId="0" borderId="41" xfId="11" applyNumberFormat="1" applyBorder="1" applyAlignment="1">
      <alignment horizontal="center"/>
    </xf>
    <xf numFmtId="167" fontId="17" fillId="5" borderId="0" xfId="11" applyNumberFormat="1" applyFill="1" applyBorder="1" applyAlignment="1">
      <alignment horizontal="right" indent="5"/>
    </xf>
    <xf numFmtId="167" fontId="17" fillId="5" borderId="0" xfId="11" applyNumberFormat="1" applyFill="1" applyBorder="1" applyAlignment="1">
      <alignment horizontal="center"/>
    </xf>
    <xf numFmtId="167" fontId="17" fillId="5" borderId="41" xfId="11" applyNumberFormat="1" applyFill="1" applyBorder="1" applyAlignment="1">
      <alignment horizontal="center"/>
    </xf>
    <xf numFmtId="167" fontId="17" fillId="5" borderId="0" xfId="11" applyNumberFormat="1" applyFill="1" applyBorder="1" applyAlignment="1">
      <alignment horizontal="right" wrapText="1" indent="5"/>
    </xf>
    <xf numFmtId="0" fontId="10" fillId="0" borderId="91" xfId="11" applyFont="1" applyBorder="1" applyAlignment="1">
      <alignment horizontal="center"/>
    </xf>
    <xf numFmtId="0" fontId="10" fillId="0" borderId="92" xfId="11" applyFont="1" applyBorder="1" applyAlignment="1">
      <alignment horizontal="center"/>
    </xf>
    <xf numFmtId="0" fontId="10" fillId="0" borderId="12" xfId="11" applyFont="1" applyBorder="1" applyAlignment="1">
      <alignment horizontal="center"/>
    </xf>
    <xf numFmtId="0" fontId="10" fillId="0" borderId="27" xfId="11" applyFont="1" applyBorder="1" applyAlignment="1">
      <alignment horizontal="center"/>
    </xf>
    <xf numFmtId="167" fontId="17" fillId="0" borderId="91" xfId="11" applyNumberFormat="1" applyBorder="1" applyAlignment="1">
      <alignment horizontal="right" indent="5"/>
    </xf>
    <xf numFmtId="167" fontId="17" fillId="0" borderId="91" xfId="11" applyNumberFormat="1" applyBorder="1" applyAlignment="1">
      <alignment horizontal="center"/>
    </xf>
    <xf numFmtId="167" fontId="17" fillId="0" borderId="92" xfId="11" applyNumberFormat="1" applyBorder="1" applyAlignment="1">
      <alignment horizontal="center"/>
    </xf>
    <xf numFmtId="0" fontId="17" fillId="0" borderId="0" xfId="11" applyFont="1" applyAlignment="1">
      <alignment horizontal="center" wrapText="1"/>
    </xf>
    <xf numFmtId="0" fontId="11" fillId="0" borderId="0" xfId="9" applyFont="1" applyAlignment="1">
      <alignment horizontal="center"/>
    </xf>
    <xf numFmtId="0" fontId="13" fillId="0" borderId="0" xfId="11" applyFont="1" applyAlignment="1">
      <alignment horizontal="center"/>
    </xf>
    <xf numFmtId="0" fontId="17" fillId="0" borderId="11" xfId="11" applyFont="1" applyBorder="1" applyAlignment="1">
      <alignment horizontal="center"/>
    </xf>
    <xf numFmtId="0" fontId="17" fillId="0" borderId="0" xfId="11" applyFont="1" applyBorder="1" applyAlignment="1">
      <alignment horizontal="center"/>
    </xf>
    <xf numFmtId="0" fontId="17" fillId="0" borderId="26" xfId="11" applyBorder="1" applyAlignment="1" applyProtection="1">
      <alignment horizontal="center"/>
      <protection locked="0"/>
    </xf>
    <xf numFmtId="0" fontId="17" fillId="0" borderId="12" xfId="11" applyBorder="1" applyAlignment="1" applyProtection="1">
      <alignment horizontal="center"/>
      <protection locked="0"/>
    </xf>
    <xf numFmtId="0" fontId="68" fillId="0" borderId="10" xfId="13" applyFont="1" applyBorder="1" applyAlignment="1">
      <alignment horizontal="left" vertical="center" wrapText="1" indent="1"/>
    </xf>
    <xf numFmtId="0" fontId="68" fillId="0" borderId="2" xfId="13" applyFont="1" applyBorder="1" applyAlignment="1">
      <alignment horizontal="left" vertical="center" wrapText="1" indent="1"/>
    </xf>
    <xf numFmtId="0" fontId="68" fillId="0" borderId="3" xfId="13" applyFont="1" applyBorder="1" applyAlignment="1">
      <alignment horizontal="left" vertical="center" wrapText="1" indent="1"/>
    </xf>
    <xf numFmtId="0" fontId="14" fillId="0" borderId="26" xfId="11" applyFont="1" applyBorder="1" applyAlignment="1" applyProtection="1">
      <alignment horizontal="center"/>
      <protection locked="0"/>
    </xf>
    <xf numFmtId="0" fontId="14" fillId="0" borderId="12" xfId="11" applyFont="1" applyBorder="1" applyAlignment="1" applyProtection="1">
      <alignment horizontal="center"/>
      <protection locked="0"/>
    </xf>
    <xf numFmtId="0" fontId="12" fillId="0" borderId="0" xfId="9" applyFont="1" applyAlignment="1">
      <alignment horizontal="left" vertical="top" wrapText="1"/>
    </xf>
    <xf numFmtId="0" fontId="10" fillId="0" borderId="0" xfId="11" applyFont="1" applyAlignment="1">
      <alignment horizontal="center"/>
    </xf>
    <xf numFmtId="0" fontId="153" fillId="0" borderId="10" xfId="10" applyFont="1" applyBorder="1" applyAlignment="1">
      <alignment vertical="center" wrapText="1"/>
    </xf>
    <xf numFmtId="0" fontId="153" fillId="0" borderId="2" xfId="10" applyFont="1" applyBorder="1" applyAlignment="1">
      <alignment vertical="center" wrapText="1"/>
    </xf>
    <xf numFmtId="0" fontId="153" fillId="0" borderId="3" xfId="10" applyFont="1" applyBorder="1" applyAlignment="1">
      <alignment vertical="center" wrapText="1"/>
    </xf>
    <xf numFmtId="0" fontId="25" fillId="0" borderId="0" xfId="0" applyFont="1" applyAlignment="1">
      <alignment horizontal="center"/>
    </xf>
    <xf numFmtId="0" fontId="10" fillId="0" borderId="0" xfId="0" applyFont="1" applyAlignment="1">
      <alignment horizontal="center"/>
    </xf>
    <xf numFmtId="0" fontId="0" fillId="0" borderId="0" xfId="0" applyAlignment="1">
      <alignment horizontal="center"/>
    </xf>
    <xf numFmtId="0" fontId="14" fillId="0" borderId="31" xfId="0" applyFont="1" applyBorder="1" applyAlignment="1" applyProtection="1">
      <alignment horizontal="center"/>
    </xf>
    <xf numFmtId="0" fontId="14" fillId="0" borderId="0" xfId="0" applyFont="1" applyBorder="1" applyAlignment="1" applyProtection="1">
      <alignment horizontal="center"/>
    </xf>
    <xf numFmtId="0" fontId="14" fillId="0" borderId="5" xfId="0" applyFont="1" applyBorder="1" applyAlignment="1" applyProtection="1">
      <alignment horizontal="center"/>
    </xf>
    <xf numFmtId="0" fontId="11" fillId="0" borderId="17" xfId="0" applyFont="1" applyBorder="1" applyAlignment="1" applyProtection="1">
      <alignment horizontal="center" vertical="center"/>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11" fillId="0" borderId="31" xfId="0" applyFont="1"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0" fontId="14" fillId="0" borderId="17" xfId="0" applyFont="1" applyBorder="1" applyAlignment="1" applyProtection="1">
      <alignment horizontal="center"/>
    </xf>
    <xf numFmtId="0" fontId="14" fillId="0" borderId="8" xfId="0" applyFont="1" applyBorder="1" applyAlignment="1" applyProtection="1">
      <alignment horizontal="center"/>
    </xf>
    <xf numFmtId="0" fontId="14" fillId="0" borderId="9" xfId="0" applyFont="1" applyBorder="1" applyAlignment="1" applyProtection="1">
      <alignment horizontal="center"/>
    </xf>
    <xf numFmtId="0" fontId="13" fillId="0" borderId="0" xfId="0" applyFont="1" applyAlignment="1" applyProtection="1">
      <alignment horizontal="center" wrapText="1"/>
      <protection locked="0"/>
    </xf>
    <xf numFmtId="0" fontId="13" fillId="0" borderId="1" xfId="0" applyFont="1" applyBorder="1" applyAlignment="1" applyProtection="1">
      <alignment horizontal="center" wrapText="1"/>
      <protection locked="0"/>
    </xf>
    <xf numFmtId="0" fontId="13" fillId="0" borderId="0" xfId="0" applyFont="1" applyAlignment="1" applyProtection="1">
      <alignment horizontal="center" wrapText="1"/>
    </xf>
    <xf numFmtId="0" fontId="13" fillId="0" borderId="1" xfId="0" applyFont="1" applyBorder="1" applyAlignment="1" applyProtection="1">
      <alignment horizontal="center" wrapText="1"/>
    </xf>
    <xf numFmtId="0" fontId="13" fillId="0" borderId="0" xfId="0" quotePrefix="1" applyFont="1" applyAlignment="1" applyProtection="1">
      <alignment horizontal="center"/>
      <protection locked="0"/>
    </xf>
    <xf numFmtId="0" fontId="133" fillId="0" borderId="0" xfId="38" applyFont="1" applyAlignment="1">
      <alignment horizontal="left" vertical="center" wrapText="1"/>
    </xf>
    <xf numFmtId="0" fontId="17" fillId="0" borderId="0" xfId="38" applyFont="1" applyAlignment="1">
      <alignment horizontal="left" vertical="top" wrapText="1"/>
    </xf>
    <xf numFmtId="0" fontId="118" fillId="0" borderId="0" xfId="38" applyFont="1" applyAlignment="1">
      <alignment vertical="top" wrapText="1"/>
    </xf>
    <xf numFmtId="0" fontId="17" fillId="0" borderId="0" xfId="38" applyFont="1" applyAlignment="1">
      <alignment vertical="top"/>
    </xf>
    <xf numFmtId="0" fontId="17" fillId="0" borderId="0" xfId="38" applyAlignment="1">
      <alignment horizontal="left" wrapText="1"/>
    </xf>
    <xf numFmtId="0" fontId="17" fillId="0" borderId="0" xfId="38" applyAlignment="1">
      <alignment horizontal="left" vertical="top" wrapText="1"/>
    </xf>
    <xf numFmtId="0" fontId="50" fillId="0" borderId="0" xfId="38" applyFont="1" applyAlignment="1">
      <alignment horizontal="left" vertical="top" wrapText="1"/>
    </xf>
    <xf numFmtId="0" fontId="17" fillId="0" borderId="12" xfId="38" applyFont="1" applyBorder="1" applyAlignment="1">
      <alignment horizontal="center"/>
    </xf>
    <xf numFmtId="4" fontId="17" fillId="0" borderId="12" xfId="38" applyNumberFormat="1" applyFont="1" applyBorder="1" applyAlignment="1">
      <alignment horizontal="center"/>
    </xf>
    <xf numFmtId="0" fontId="17" fillId="0" borderId="95" xfId="38" applyFont="1" applyBorder="1" applyAlignment="1">
      <alignment horizontal="center"/>
    </xf>
    <xf numFmtId="0" fontId="11" fillId="0" borderId="0" xfId="0" applyFont="1" applyAlignment="1">
      <alignment horizontal="center"/>
    </xf>
    <xf numFmtId="164" fontId="11" fillId="0" borderId="0" xfId="0" applyNumberFormat="1" applyFont="1" applyAlignment="1">
      <alignment horizontal="center"/>
    </xf>
    <xf numFmtId="44" fontId="17" fillId="0" borderId="62" xfId="38" applyNumberFormat="1" applyBorder="1" applyAlignment="1">
      <alignment horizontal="left" wrapText="1"/>
    </xf>
    <xf numFmtId="44" fontId="17" fillId="0" borderId="0" xfId="38" applyNumberFormat="1" applyAlignment="1">
      <alignment horizontal="left" wrapText="1"/>
    </xf>
    <xf numFmtId="44" fontId="17" fillId="0" borderId="0" xfId="38" applyNumberFormat="1" applyBorder="1" applyAlignment="1">
      <alignment horizontal="left" wrapText="1"/>
    </xf>
    <xf numFmtId="44" fontId="17" fillId="0" borderId="109" xfId="38" applyNumberFormat="1" applyBorder="1" applyAlignment="1">
      <alignment horizontal="left" wrapText="1"/>
    </xf>
    <xf numFmtId="0" fontId="17" fillId="0" borderId="0" xfId="38" applyAlignment="1">
      <alignment horizontal="left" wrapText="1" indent="2"/>
    </xf>
    <xf numFmtId="0" fontId="0" fillId="0" borderId="0" xfId="0" applyBorder="1" applyAlignment="1">
      <alignment horizontal="center"/>
    </xf>
    <xf numFmtId="0" fontId="17" fillId="0" borderId="0" xfId="38" applyAlignment="1">
      <alignment horizontal="left" wrapText="1" indent="1"/>
    </xf>
    <xf numFmtId="0" fontId="17" fillId="0" borderId="0" xfId="38" applyAlignment="1">
      <alignment horizontal="left" indent="1"/>
    </xf>
    <xf numFmtId="0" fontId="17" fillId="0" borderId="0" xfId="38" applyBorder="1" applyAlignment="1">
      <alignment horizontal="center"/>
    </xf>
    <xf numFmtId="42" fontId="17" fillId="0" borderId="103" xfId="38" applyNumberFormat="1" applyBorder="1" applyAlignment="1">
      <alignment horizontal="center"/>
    </xf>
    <xf numFmtId="41" fontId="17" fillId="0" borderId="103" xfId="38" applyNumberFormat="1" applyBorder="1" applyAlignment="1">
      <alignment horizontal="center"/>
    </xf>
    <xf numFmtId="42" fontId="17" fillId="0" borderId="62" xfId="38" applyNumberFormat="1" applyBorder="1" applyAlignment="1">
      <alignment horizontal="center"/>
    </xf>
    <xf numFmtId="0" fontId="17" fillId="0" borderId="103" xfId="38" applyBorder="1" applyAlignment="1">
      <alignment horizontal="center" wrapText="1"/>
    </xf>
    <xf numFmtId="0" fontId="39" fillId="0" borderId="0" xfId="38" applyFont="1" applyAlignment="1">
      <alignment horizontal="left" wrapText="1"/>
    </xf>
    <xf numFmtId="0" fontId="116" fillId="0" borderId="0" xfId="38" applyFont="1" applyAlignment="1">
      <alignment horizontal="left" wrapText="1"/>
    </xf>
    <xf numFmtId="0" fontId="17" fillId="0" borderId="0" xfId="38" applyFont="1" applyAlignment="1">
      <alignment horizontal="left" wrapText="1" indent="1"/>
    </xf>
    <xf numFmtId="0" fontId="17" fillId="0" borderId="0" xfId="38" applyFont="1" applyAlignment="1">
      <alignment horizontal="left" wrapText="1"/>
    </xf>
    <xf numFmtId="0" fontId="50" fillId="0" borderId="0" xfId="38" applyFont="1" applyAlignment="1">
      <alignment horizontal="left" wrapText="1"/>
    </xf>
    <xf numFmtId="0" fontId="50" fillId="0" borderId="0" xfId="38" applyFont="1" applyAlignment="1">
      <alignment horizontal="left" wrapText="1" indent="1"/>
    </xf>
    <xf numFmtId="0" fontId="117" fillId="0" borderId="0" xfId="38" applyFont="1" applyAlignment="1">
      <alignment horizontal="left" wrapText="1" indent="1"/>
    </xf>
    <xf numFmtId="0" fontId="17" fillId="0" borderId="0" xfId="38" applyBorder="1" applyAlignment="1">
      <alignment horizontal="center" vertical="top" wrapText="1"/>
    </xf>
    <xf numFmtId="0" fontId="17" fillId="0" borderId="0" xfId="38" applyAlignment="1">
      <alignment horizontal="center" vertical="top" wrapText="1"/>
    </xf>
    <xf numFmtId="0" fontId="17" fillId="0" borderId="103" xfId="38" applyBorder="1" applyAlignment="1">
      <alignment horizontal="center" vertical="top" wrapText="1"/>
    </xf>
    <xf numFmtId="0" fontId="17" fillId="0" borderId="103" xfId="38" applyBorder="1" applyAlignment="1">
      <alignment horizontal="left" vertical="top" wrapText="1"/>
    </xf>
    <xf numFmtId="0" fontId="17" fillId="0" borderId="109" xfId="38" applyBorder="1" applyAlignment="1">
      <alignment horizontal="left" vertical="top" wrapText="1"/>
    </xf>
    <xf numFmtId="0" fontId="17" fillId="0" borderId="109" xfId="38" applyBorder="1" applyAlignment="1">
      <alignment horizontal="center" vertical="top" wrapText="1"/>
    </xf>
    <xf numFmtId="44" fontId="17" fillId="0" borderId="0" xfId="38" applyNumberFormat="1" applyFill="1" applyBorder="1" applyAlignment="1">
      <alignment horizontal="left" wrapText="1"/>
    </xf>
    <xf numFmtId="0" fontId="139" fillId="0" borderId="0" xfId="38" applyFont="1" applyAlignment="1">
      <alignment horizontal="left" vertical="top" wrapText="1"/>
    </xf>
    <xf numFmtId="0" fontId="135" fillId="0" borderId="0" xfId="38" applyFont="1" applyAlignment="1">
      <alignment horizontal="left" vertical="top" wrapText="1"/>
    </xf>
    <xf numFmtId="0" fontId="15" fillId="0" borderId="0" xfId="38" applyFont="1" applyAlignment="1">
      <alignment horizontal="left" vertical="top" wrapText="1"/>
    </xf>
    <xf numFmtId="0" fontId="17" fillId="0" borderId="0" xfId="38" applyBorder="1" applyAlignment="1">
      <alignment horizontal="left" vertical="top" wrapText="1"/>
    </xf>
    <xf numFmtId="165" fontId="17" fillId="0" borderId="103" xfId="38" applyNumberFormat="1" applyBorder="1" applyAlignment="1">
      <alignment horizontal="left" vertical="top" wrapText="1"/>
    </xf>
    <xf numFmtId="0" fontId="164" fillId="0" borderId="0" xfId="38" applyFont="1" applyBorder="1" applyAlignment="1">
      <alignment horizontal="left" vertical="top" wrapText="1"/>
    </xf>
    <xf numFmtId="0" fontId="17" fillId="0" borderId="0" xfId="38" applyAlignment="1">
      <alignment horizontal="left" vertical="center" wrapText="1"/>
    </xf>
    <xf numFmtId="0" fontId="17" fillId="0" borderId="0" xfId="38" applyBorder="1" applyAlignment="1">
      <alignment horizontal="center" vertical="center" wrapText="1"/>
    </xf>
    <xf numFmtId="0" fontId="17" fillId="0" borderId="103" xfId="38" applyBorder="1" applyAlignment="1">
      <alignment horizontal="left" vertical="center" wrapText="1"/>
    </xf>
    <xf numFmtId="0" fontId="17" fillId="0" borderId="109" xfId="38" applyBorder="1" applyAlignment="1">
      <alignment horizontal="left" vertical="center" wrapText="1"/>
    </xf>
    <xf numFmtId="0" fontId="17" fillId="0" borderId="103" xfId="38" applyFill="1" applyBorder="1" applyAlignment="1">
      <alignment horizontal="left" vertical="top"/>
    </xf>
    <xf numFmtId="0" fontId="17" fillId="0" borderId="109" xfId="38" applyFill="1" applyBorder="1" applyAlignment="1">
      <alignment horizontal="left" wrapText="1"/>
    </xf>
    <xf numFmtId="0" fontId="17" fillId="0" borderId="109" xfId="38" applyFill="1" applyBorder="1" applyAlignment="1">
      <alignment horizontal="left" wrapText="1" indent="1"/>
    </xf>
    <xf numFmtId="0" fontId="17" fillId="0" borderId="0" xfId="38" applyFill="1" applyBorder="1" applyAlignment="1">
      <alignment horizontal="left" wrapText="1" indent="1"/>
    </xf>
    <xf numFmtId="41" fontId="17" fillId="0" borderId="0" xfId="38" applyNumberFormat="1" applyFill="1" applyBorder="1" applyAlignment="1">
      <alignment horizontal="center"/>
    </xf>
    <xf numFmtId="0" fontId="16" fillId="0" borderId="0" xfId="38" applyFont="1" applyAlignment="1">
      <alignment horizontal="center" vertical="center" wrapText="1"/>
    </xf>
    <xf numFmtId="0" fontId="17" fillId="0" borderId="0" xfId="38" applyAlignment="1">
      <alignment horizontal="center" vertical="center" wrapText="1"/>
    </xf>
    <xf numFmtId="0" fontId="17" fillId="0" borderId="109" xfId="229" applyNumberFormat="1" applyFont="1" applyBorder="1" applyAlignment="1">
      <alignment horizontal="left" vertical="center" wrapText="1"/>
    </xf>
    <xf numFmtId="0" fontId="16" fillId="0" borderId="0" xfId="38" applyFont="1" applyBorder="1" applyAlignment="1">
      <alignment horizontal="left" vertical="center" wrapText="1"/>
    </xf>
    <xf numFmtId="0" fontId="17" fillId="0" borderId="0" xfId="38" applyBorder="1" applyAlignment="1">
      <alignment horizontal="left" vertical="center" wrapText="1"/>
    </xf>
    <xf numFmtId="0" fontId="0" fillId="0" borderId="20" xfId="0" applyBorder="1" applyAlignment="1">
      <alignment horizontal="center"/>
    </xf>
    <xf numFmtId="0" fontId="0" fillId="0" borderId="34" xfId="0" applyBorder="1" applyAlignment="1">
      <alignment horizontal="center"/>
    </xf>
    <xf numFmtId="0" fontId="120" fillId="0" borderId="0" xfId="38" applyFont="1"/>
    <xf numFmtId="0" fontId="17" fillId="0" borderId="0" xfId="38" applyAlignment="1">
      <alignment horizontal="left"/>
    </xf>
    <xf numFmtId="0" fontId="17" fillId="0" borderId="0" xfId="38" applyFill="1" applyBorder="1" applyAlignment="1">
      <alignment horizontal="left"/>
    </xf>
    <xf numFmtId="0" fontId="17" fillId="0" borderId="0" xfId="38"/>
    <xf numFmtId="0" fontId="0" fillId="0" borderId="22" xfId="0" applyBorder="1" applyAlignment="1">
      <alignment horizontal="center"/>
    </xf>
    <xf numFmtId="0" fontId="0" fillId="0" borderId="77"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8"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86" xfId="0" applyBorder="1" applyAlignment="1">
      <alignment horizontal="center"/>
    </xf>
    <xf numFmtId="0" fontId="0" fillId="0" borderId="38" xfId="0" applyBorder="1" applyAlignment="1">
      <alignment horizontal="center"/>
    </xf>
    <xf numFmtId="42" fontId="17" fillId="0" borderId="0" xfId="38" applyNumberFormat="1" applyFill="1" applyBorder="1" applyAlignment="1">
      <alignment horizontal="center"/>
    </xf>
    <xf numFmtId="0" fontId="139" fillId="0" borderId="0" xfId="0" applyFont="1" applyAlignment="1" applyProtection="1">
      <alignment horizontal="right"/>
      <protection locked="0"/>
    </xf>
    <xf numFmtId="0" fontId="0" fillId="0" borderId="94" xfId="0" applyBorder="1" applyAlignment="1" applyProtection="1">
      <alignment horizontal="center"/>
      <protection locked="0"/>
    </xf>
    <xf numFmtId="0" fontId="0" fillId="0" borderId="97"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28" xfId="0" applyBorder="1" applyAlignment="1" applyProtection="1">
      <alignment horizontal="center"/>
      <protection locked="0"/>
    </xf>
    <xf numFmtId="0" fontId="11" fillId="0" borderId="0" xfId="0" applyFont="1" applyAlignment="1" applyProtection="1">
      <alignment horizontal="center"/>
      <protection locked="0"/>
    </xf>
    <xf numFmtId="0" fontId="0" fillId="0" borderId="0" xfId="0" applyAlignment="1" applyProtection="1">
      <alignment horizontal="center"/>
      <protection locked="0"/>
    </xf>
    <xf numFmtId="164" fontId="11" fillId="0" borderId="0" xfId="0" applyNumberFormat="1" applyFont="1"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95" xfId="0" applyBorder="1" applyAlignment="1" applyProtection="1">
      <alignment horizontal="center"/>
    </xf>
    <xf numFmtId="0" fontId="0" fillId="0" borderId="28" xfId="0" applyBorder="1" applyAlignment="1" applyProtection="1">
      <alignment horizontal="center"/>
    </xf>
    <xf numFmtId="0" fontId="0" fillId="0" borderId="108" xfId="0" applyBorder="1" applyAlignment="1" applyProtection="1">
      <alignment horizontal="center"/>
      <protection locked="0"/>
    </xf>
    <xf numFmtId="0" fontId="0" fillId="0" borderId="1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3" fontId="0" fillId="0" borderId="13" xfId="0" applyNumberFormat="1" applyBorder="1" applyAlignment="1" applyProtection="1">
      <alignment horizontal="center"/>
      <protection locked="0"/>
    </xf>
    <xf numFmtId="3" fontId="0" fillId="0" borderId="28" xfId="0" applyNumberFormat="1" applyBorder="1" applyAlignment="1" applyProtection="1">
      <alignment horizontal="center"/>
      <protection locked="0"/>
    </xf>
    <xf numFmtId="0" fontId="0" fillId="0" borderId="94" xfId="0" applyBorder="1" applyAlignment="1" applyProtection="1">
      <alignment horizontal="center"/>
    </xf>
    <xf numFmtId="0" fontId="0" fillId="0" borderId="97" xfId="0" applyBorder="1" applyAlignment="1" applyProtection="1">
      <alignment horizontal="center"/>
    </xf>
    <xf numFmtId="3" fontId="0" fillId="0" borderId="12" xfId="0" applyNumberFormat="1" applyBorder="1" applyAlignment="1" applyProtection="1">
      <alignment horizontal="center"/>
      <protection locked="0"/>
    </xf>
    <xf numFmtId="3" fontId="0" fillId="0" borderId="14" xfId="0" applyNumberFormat="1" applyBorder="1" applyAlignment="1" applyProtection="1">
      <alignment horizontal="center"/>
      <protection locked="0"/>
    </xf>
    <xf numFmtId="3" fontId="0" fillId="0" borderId="95" xfId="0" applyNumberFormat="1" applyBorder="1" applyAlignment="1" applyProtection="1">
      <alignment horizontal="center"/>
    </xf>
    <xf numFmtId="3" fontId="0" fillId="0" borderId="97" xfId="0" applyNumberFormat="1" applyBorder="1" applyAlignment="1" applyProtection="1">
      <alignment horizontal="center"/>
    </xf>
    <xf numFmtId="3" fontId="0" fillId="0" borderId="94" xfId="0" applyNumberFormat="1" applyBorder="1" applyAlignment="1" applyProtection="1">
      <alignment horizontal="center"/>
    </xf>
    <xf numFmtId="0" fontId="10" fillId="0" borderId="11"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41" xfId="0" applyFont="1" applyBorder="1" applyAlignment="1" applyProtection="1">
      <alignment horizontal="center"/>
      <protection locked="0"/>
    </xf>
    <xf numFmtId="0" fontId="0" fillId="0" borderId="95" xfId="0" applyBorder="1" applyAlignment="1" applyProtection="1">
      <alignment horizontal="center"/>
      <protection locked="0"/>
    </xf>
    <xf numFmtId="166" fontId="0" fillId="0" borderId="94" xfId="0" applyNumberFormat="1" applyBorder="1" applyAlignment="1" applyProtection="1">
      <alignment horizontal="center"/>
      <protection locked="0"/>
    </xf>
    <xf numFmtId="166" fontId="0" fillId="0" borderId="97" xfId="0" applyNumberFormat="1" applyBorder="1" applyAlignment="1" applyProtection="1">
      <alignment horizontal="center"/>
      <protection locked="0"/>
    </xf>
    <xf numFmtId="0" fontId="0" fillId="0" borderId="12" xfId="0" applyBorder="1" applyAlignment="1" applyProtection="1">
      <alignment horizontal="center"/>
      <protection locked="0"/>
    </xf>
    <xf numFmtId="166" fontId="0" fillId="0" borderId="26" xfId="0" applyNumberFormat="1" applyBorder="1" applyAlignment="1" applyProtection="1">
      <alignment horizontal="center"/>
      <protection locked="0"/>
    </xf>
    <xf numFmtId="166" fontId="0" fillId="0" borderId="27" xfId="0" applyNumberFormat="1" applyBorder="1" applyAlignment="1" applyProtection="1">
      <alignment horizontal="center"/>
      <protection locked="0"/>
    </xf>
    <xf numFmtId="0" fontId="13" fillId="0" borderId="0" xfId="0" quotePrefix="1" applyFont="1" applyAlignment="1">
      <alignment horizontal="center"/>
    </xf>
    <xf numFmtId="0" fontId="13" fillId="0" borderId="0" xfId="0" applyFont="1" applyAlignment="1">
      <alignment horizontal="center"/>
    </xf>
    <xf numFmtId="0" fontId="0" fillId="0" borderId="0" xfId="0" applyAlignment="1">
      <alignment horizontal="left" wrapText="1"/>
    </xf>
    <xf numFmtId="0" fontId="17" fillId="0" borderId="0" xfId="0" applyFont="1" applyAlignment="1">
      <alignment horizontal="left"/>
    </xf>
    <xf numFmtId="0" fontId="13" fillId="0" borderId="0" xfId="38" quotePrefix="1" applyFont="1" applyAlignment="1">
      <alignment horizontal="center"/>
    </xf>
    <xf numFmtId="0" fontId="13" fillId="0" borderId="0" xfId="38" applyFont="1" applyAlignment="1">
      <alignment horizontal="center"/>
    </xf>
    <xf numFmtId="0" fontId="11" fillId="0" borderId="0" xfId="38" applyFont="1" applyAlignment="1" applyProtection="1">
      <alignment horizontal="center"/>
      <protection locked="0"/>
    </xf>
    <xf numFmtId="164" fontId="11" fillId="0" borderId="0" xfId="38" applyNumberFormat="1" applyFont="1" applyAlignment="1" applyProtection="1">
      <alignment horizontal="center"/>
      <protection locked="0"/>
    </xf>
    <xf numFmtId="0" fontId="17" fillId="0" borderId="0" xfId="38" applyFont="1" applyBorder="1" applyAlignment="1">
      <alignment horizontal="right"/>
    </xf>
    <xf numFmtId="0" fontId="17" fillId="0" borderId="110" xfId="38" applyBorder="1" applyAlignment="1">
      <alignment horizontal="center"/>
    </xf>
    <xf numFmtId="0" fontId="17" fillId="0" borderId="110" xfId="38" applyFont="1" applyBorder="1" applyAlignment="1">
      <alignment horizontal="center"/>
    </xf>
    <xf numFmtId="0" fontId="17" fillId="0" borderId="0" xfId="38" applyFont="1" applyAlignment="1">
      <alignment horizontal="right"/>
    </xf>
    <xf numFmtId="0" fontId="10" fillId="0" borderId="103" xfId="38" applyFont="1" applyBorder="1" applyAlignment="1">
      <alignment horizontal="center"/>
    </xf>
    <xf numFmtId="0" fontId="10" fillId="0" borderId="110" xfId="38" applyFont="1" applyBorder="1" applyAlignment="1">
      <alignment horizontal="center" wrapText="1"/>
    </xf>
    <xf numFmtId="0" fontId="17" fillId="0" borderId="108" xfId="38" applyBorder="1" applyAlignment="1">
      <alignment horizontal="left" wrapText="1"/>
    </xf>
    <xf numFmtId="0" fontId="17" fillId="0" borderId="109" xfId="38" applyBorder="1" applyAlignment="1">
      <alignment horizontal="left" wrapText="1"/>
    </xf>
    <xf numFmtId="0" fontId="17" fillId="0" borderId="108" xfId="38" applyBorder="1" applyAlignment="1">
      <alignment horizontal="center"/>
    </xf>
    <xf numFmtId="0" fontId="17" fillId="0" borderId="112" xfId="38" applyBorder="1" applyAlignment="1">
      <alignment horizontal="center"/>
    </xf>
    <xf numFmtId="0" fontId="10" fillId="0" borderId="108" xfId="38" applyFont="1" applyBorder="1" applyAlignment="1">
      <alignment horizontal="center" wrapText="1"/>
    </xf>
    <xf numFmtId="0" fontId="10" fillId="0" borderId="112" xfId="38" applyFont="1" applyBorder="1" applyAlignment="1">
      <alignment horizontal="center" wrapText="1"/>
    </xf>
    <xf numFmtId="0" fontId="17" fillId="0" borderId="108" xfId="38" applyBorder="1" applyAlignment="1">
      <alignment horizontal="left"/>
    </xf>
    <xf numFmtId="0" fontId="17" fillId="0" borderId="109" xfId="38" applyBorder="1" applyAlignment="1">
      <alignment horizontal="left"/>
    </xf>
    <xf numFmtId="0" fontId="17" fillId="0" borderId="109" xfId="38" applyBorder="1" applyAlignment="1">
      <alignment horizontal="center"/>
    </xf>
    <xf numFmtId="0" fontId="11" fillId="0" borderId="0" xfId="38" applyFont="1" applyAlignment="1">
      <alignment horizontal="center"/>
    </xf>
    <xf numFmtId="0" fontId="10" fillId="0" borderId="0" xfId="38" applyFont="1" applyAlignment="1">
      <alignment horizontal="left" wrapText="1"/>
    </xf>
    <xf numFmtId="0" fontId="17" fillId="0" borderId="0" xfId="38" applyBorder="1" applyAlignment="1">
      <alignment horizontal="left"/>
    </xf>
    <xf numFmtId="0" fontId="17" fillId="0" borderId="0" xfId="38" applyBorder="1" applyAlignment="1">
      <alignment horizontal="left" wrapText="1"/>
    </xf>
    <xf numFmtId="0" fontId="17" fillId="0" borderId="103" xfId="38" applyBorder="1" applyAlignment="1">
      <alignment horizontal="left"/>
    </xf>
    <xf numFmtId="0" fontId="17" fillId="0" borderId="109" xfId="38" applyFont="1" applyBorder="1" applyAlignment="1">
      <alignment horizontal="left"/>
    </xf>
    <xf numFmtId="0" fontId="10" fillId="0" borderId="0" xfId="38" applyFont="1" applyBorder="1" applyAlignment="1">
      <alignment horizontal="center"/>
    </xf>
    <xf numFmtId="0" fontId="13" fillId="0" borderId="0" xfId="38" quotePrefix="1" applyFont="1" applyBorder="1" applyAlignment="1">
      <alignment horizontal="center"/>
    </xf>
    <xf numFmtId="0" fontId="13" fillId="0" borderId="0" xfId="38" applyFont="1" applyBorder="1" applyAlignment="1">
      <alignment horizontal="center"/>
    </xf>
    <xf numFmtId="0" fontId="17" fillId="0" borderId="0" xfId="38" applyBorder="1" applyAlignment="1">
      <alignment horizontal="right"/>
    </xf>
    <xf numFmtId="0" fontId="17" fillId="0" borderId="108" xfId="38" applyBorder="1" applyAlignment="1">
      <alignment horizontal="right"/>
    </xf>
    <xf numFmtId="0" fontId="17" fillId="0" borderId="109" xfId="38" applyBorder="1" applyAlignment="1">
      <alignment horizontal="right"/>
    </xf>
    <xf numFmtId="0" fontId="17" fillId="0" borderId="112" xfId="38" applyBorder="1" applyAlignment="1">
      <alignment horizontal="right"/>
    </xf>
    <xf numFmtId="0" fontId="17" fillId="0" borderId="108" xfId="38" applyFont="1" applyBorder="1" applyAlignment="1">
      <alignment horizontal="center"/>
    </xf>
    <xf numFmtId="0" fontId="17" fillId="0" borderId="112" xfId="38" applyFont="1" applyBorder="1" applyAlignment="1">
      <alignment horizontal="center"/>
    </xf>
    <xf numFmtId="0" fontId="17" fillId="0" borderId="0" xfId="38" applyFont="1" applyBorder="1" applyAlignment="1">
      <alignment horizontal="center"/>
    </xf>
    <xf numFmtId="4" fontId="0" fillId="0" borderId="0" xfId="0" applyNumberFormat="1" applyBorder="1" applyAlignment="1" applyProtection="1">
      <alignment horizontal="center"/>
      <protection locked="0"/>
    </xf>
    <xf numFmtId="0" fontId="0" fillId="0" borderId="14" xfId="0" applyBorder="1" applyAlignment="1" applyProtection="1">
      <alignment horizontal="center"/>
      <protection locked="0"/>
    </xf>
    <xf numFmtId="39" fontId="0" fillId="0" borderId="13" xfId="0" applyNumberFormat="1" applyBorder="1" applyAlignment="1" applyProtection="1">
      <alignment horizontal="center"/>
      <protection locked="0"/>
    </xf>
    <xf numFmtId="39" fontId="0" fillId="0" borderId="28" xfId="0" applyNumberFormat="1" applyBorder="1" applyAlignment="1" applyProtection="1">
      <alignment horizontal="center"/>
      <protection locked="0"/>
    </xf>
    <xf numFmtId="39" fontId="0" fillId="0" borderId="13" xfId="0" applyNumberFormat="1" applyBorder="1" applyAlignment="1" applyProtection="1">
      <alignment horizontal="center"/>
    </xf>
    <xf numFmtId="39" fontId="0" fillId="0" borderId="28" xfId="0" applyNumberFormat="1" applyBorder="1" applyAlignment="1" applyProtection="1">
      <alignment horizontal="center"/>
    </xf>
    <xf numFmtId="0" fontId="10" fillId="0" borderId="21" xfId="0" applyFont="1" applyBorder="1" applyAlignment="1">
      <alignment horizontal="center"/>
    </xf>
    <xf numFmtId="0" fontId="10" fillId="0" borderId="23" xfId="0" applyFont="1" applyBorder="1" applyAlignment="1">
      <alignment horizontal="center"/>
    </xf>
    <xf numFmtId="0" fontId="10" fillId="0" borderId="86" xfId="0" applyFont="1" applyBorder="1" applyAlignment="1">
      <alignment horizontal="center"/>
    </xf>
    <xf numFmtId="0" fontId="17" fillId="0" borderId="20" xfId="0" applyFont="1" applyBorder="1" applyAlignment="1">
      <alignment horizontal="center"/>
    </xf>
    <xf numFmtId="0" fontId="17" fillId="0" borderId="22" xfId="0" applyFont="1" applyBorder="1" applyAlignment="1">
      <alignment horizontal="center"/>
    </xf>
    <xf numFmtId="0" fontId="17" fillId="0" borderId="77" xfId="0" applyFont="1" applyBorder="1" applyAlignment="1">
      <alignment horizontal="center"/>
    </xf>
    <xf numFmtId="0" fontId="17" fillId="0" borderId="94" xfId="0" applyFont="1" applyBorder="1" applyAlignment="1">
      <alignment horizontal="center"/>
    </xf>
    <xf numFmtId="0" fontId="17" fillId="0" borderId="95" xfId="0" applyFont="1" applyBorder="1" applyAlignment="1">
      <alignment horizontal="center"/>
    </xf>
    <xf numFmtId="0" fontId="0" fillId="0" borderId="94" xfId="0" applyBorder="1" applyAlignment="1">
      <alignment horizontal="center"/>
    </xf>
    <xf numFmtId="0" fontId="0" fillId="0" borderId="95" xfId="0" applyBorder="1" applyAlignment="1">
      <alignment horizontal="center"/>
    </xf>
    <xf numFmtId="0" fontId="17" fillId="0" borderId="97" xfId="0" applyFont="1" applyBorder="1" applyAlignment="1">
      <alignment horizontal="center"/>
    </xf>
    <xf numFmtId="0" fontId="0" fillId="0" borderId="97" xfId="0" applyBorder="1" applyAlignment="1">
      <alignment horizontal="center"/>
    </xf>
    <xf numFmtId="0" fontId="52" fillId="0" borderId="0" xfId="5" quotePrefix="1" applyFont="1" applyAlignment="1">
      <alignment horizontal="center" textRotation="90"/>
    </xf>
    <xf numFmtId="0" fontId="51" fillId="0" borderId="12" xfId="5" applyFont="1" applyBorder="1" applyAlignment="1">
      <alignment horizontal="center"/>
    </xf>
    <xf numFmtId="164" fontId="17" fillId="0" borderId="0" xfId="0" applyNumberFormat="1" applyFont="1" applyAlignment="1" applyProtection="1">
      <alignment horizontal="left"/>
      <protection locked="0"/>
    </xf>
    <xf numFmtId="0" fontId="0" fillId="0" borderId="0" xfId="0" applyAlignment="1">
      <alignment horizontal="left"/>
    </xf>
    <xf numFmtId="0" fontId="17" fillId="0" borderId="0" xfId="0" applyFont="1" applyAlignment="1">
      <alignment horizontal="left" wrapText="1"/>
    </xf>
    <xf numFmtId="0" fontId="17" fillId="0" borderId="0" xfId="0" applyFont="1" applyFill="1" applyAlignment="1">
      <alignment horizontal="left"/>
    </xf>
    <xf numFmtId="0" fontId="17" fillId="0" borderId="0" xfId="0" applyFont="1" applyFill="1" applyAlignment="1">
      <alignment horizontal="left" wrapText="1"/>
    </xf>
    <xf numFmtId="0" fontId="39" fillId="0" borderId="0" xfId="0" applyFont="1" applyAlignment="1">
      <alignment horizontal="left" wrapText="1"/>
    </xf>
    <xf numFmtId="0" fontId="39" fillId="0" borderId="0" xfId="0" applyFont="1" applyAlignment="1">
      <alignment horizontal="left" vertical="center" wrapText="1"/>
    </xf>
    <xf numFmtId="0" fontId="144" fillId="0" borderId="0" xfId="0" applyFont="1" applyAlignment="1">
      <alignment horizontal="left" wrapText="1"/>
    </xf>
    <xf numFmtId="0" fontId="17" fillId="0" borderId="0" xfId="38" applyFont="1" applyAlignment="1">
      <alignment horizontal="left" vertical="top"/>
    </xf>
    <xf numFmtId="0" fontId="16" fillId="0" borderId="0" xfId="0" applyFont="1" applyAlignment="1">
      <alignment horizontal="left"/>
    </xf>
    <xf numFmtId="0" fontId="10" fillId="0" borderId="0" xfId="0" applyFont="1" applyBorder="1" applyAlignment="1">
      <alignment horizontal="left"/>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Border="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3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33" xfId="0" applyNumberFormat="1" applyBorder="1" applyAlignment="1" applyProtection="1">
      <alignment horizontal="center"/>
      <protection locked="0"/>
    </xf>
    <xf numFmtId="0" fontId="10" fillId="0" borderId="31" xfId="0" applyFont="1" applyBorder="1" applyAlignment="1">
      <alignment horizontal="center"/>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90" xfId="0" applyNumberFormat="1" applyBorder="1" applyAlignment="1" applyProtection="1">
      <alignment horizontal="center"/>
      <protection locked="0"/>
    </xf>
    <xf numFmtId="1" fontId="0" fillId="0" borderId="91" xfId="0" applyNumberFormat="1" applyBorder="1" applyAlignment="1" applyProtection="1">
      <alignment horizontal="center"/>
      <protection locked="0"/>
    </xf>
    <xf numFmtId="1" fontId="0" fillId="0" borderId="98" xfId="0" applyNumberFormat="1" applyBorder="1" applyAlignment="1" applyProtection="1">
      <alignment horizontal="center"/>
      <protection locked="0"/>
    </xf>
    <xf numFmtId="37" fontId="0" fillId="0" borderId="90" xfId="0" applyNumberFormat="1" applyBorder="1" applyAlignment="1" applyProtection="1">
      <alignment horizontal="center"/>
      <protection locked="0"/>
    </xf>
    <xf numFmtId="37" fontId="0" fillId="0" borderId="91" xfId="0" applyNumberFormat="1" applyBorder="1" applyAlignment="1" applyProtection="1">
      <alignment horizontal="center"/>
      <protection locked="0"/>
    </xf>
    <xf numFmtId="37" fontId="0" fillId="0" borderId="92"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99" xfId="0" applyNumberFormat="1" applyBorder="1" applyAlignment="1" applyProtection="1">
      <alignment horizontal="center"/>
      <protection locked="0"/>
    </xf>
    <xf numFmtId="37" fontId="0" fillId="0" borderId="98" xfId="0" applyNumberFormat="1" applyBorder="1" applyAlignment="1" applyProtection="1">
      <alignment horizontal="center"/>
      <protection locked="0"/>
    </xf>
    <xf numFmtId="1" fontId="21" fillId="0" borderId="26" xfId="0" applyNumberFormat="1" applyFont="1" applyBorder="1" applyAlignment="1" applyProtection="1">
      <alignment horizontal="center"/>
      <protection locked="0"/>
    </xf>
    <xf numFmtId="1" fontId="21" fillId="0" borderId="12" xfId="0" applyNumberFormat="1" applyFont="1" applyBorder="1" applyAlignment="1" applyProtection="1">
      <alignment horizontal="center"/>
      <protection locked="0"/>
    </xf>
    <xf numFmtId="1" fontId="21" fillId="0" borderId="33" xfId="0" applyNumberFormat="1" applyFon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99"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0" fontId="13" fillId="0" borderId="0" xfId="0" quotePrefix="1" applyFont="1" applyAlignment="1" applyProtection="1">
      <alignment horizontal="center"/>
    </xf>
    <xf numFmtId="15" fontId="13" fillId="0" borderId="0" xfId="0" applyNumberFormat="1" applyFont="1" applyAlignment="1" applyProtection="1">
      <alignment horizontal="center"/>
    </xf>
    <xf numFmtId="0" fontId="37" fillId="0" borderId="0" xfId="0" applyFont="1" applyAlignment="1">
      <alignment horizontal="center"/>
    </xf>
    <xf numFmtId="0" fontId="14" fillId="0" borderId="0" xfId="0" applyFont="1" applyAlignment="1">
      <alignment horizontal="center"/>
    </xf>
    <xf numFmtId="0" fontId="12" fillId="0" borderId="0" xfId="0" applyFont="1" applyAlignment="1">
      <alignment horizontal="center"/>
    </xf>
    <xf numFmtId="0" fontId="17" fillId="0" borderId="108" xfId="0" applyFont="1" applyBorder="1" applyAlignment="1">
      <alignment horizontal="left" vertical="center" wrapText="1"/>
    </xf>
    <xf numFmtId="0" fontId="17" fillId="0" borderId="109" xfId="0" applyFont="1" applyBorder="1" applyAlignment="1">
      <alignment horizontal="left" vertical="center" wrapText="1"/>
    </xf>
    <xf numFmtId="0" fontId="17" fillId="0" borderId="112" xfId="0" applyFont="1" applyBorder="1" applyAlignment="1">
      <alignment horizontal="left" vertical="center" wrapText="1"/>
    </xf>
    <xf numFmtId="0" fontId="48" fillId="0" borderId="0" xfId="0" applyFont="1" applyAlignment="1">
      <alignment horizontal="center"/>
    </xf>
    <xf numFmtId="0" fontId="10" fillId="0" borderId="0" xfId="0" quotePrefix="1" applyFont="1" applyAlignment="1">
      <alignment horizontal="center"/>
    </xf>
    <xf numFmtId="10" fontId="17" fillId="0" borderId="108" xfId="0" applyNumberFormat="1" applyFont="1" applyBorder="1" applyAlignment="1">
      <alignment horizontal="left" vertical="center" wrapText="1"/>
    </xf>
    <xf numFmtId="10" fontId="17" fillId="0" borderId="109" xfId="0" applyNumberFormat="1" applyFont="1" applyBorder="1" applyAlignment="1">
      <alignment horizontal="left" vertical="center" wrapText="1"/>
    </xf>
    <xf numFmtId="10" fontId="17" fillId="0" borderId="112" xfId="0" applyNumberFormat="1" applyFont="1" applyBorder="1" applyAlignment="1">
      <alignment horizontal="left" vertical="center" wrapText="1"/>
    </xf>
    <xf numFmtId="10" fontId="0" fillId="0" borderId="108" xfId="0" applyNumberFormat="1" applyBorder="1" applyAlignment="1">
      <alignment horizontal="left"/>
    </xf>
    <xf numFmtId="0" fontId="0" fillId="0" borderId="109" xfId="0" applyBorder="1" applyAlignment="1">
      <alignment horizontal="left"/>
    </xf>
    <xf numFmtId="0" fontId="0" fillId="0" borderId="112" xfId="0" applyBorder="1" applyAlignment="1">
      <alignment horizontal="left"/>
    </xf>
    <xf numFmtId="0" fontId="150" fillId="0" borderId="0" xfId="0" applyFont="1" applyAlignment="1">
      <alignment horizontal="left" vertical="center" wrapText="1"/>
    </xf>
    <xf numFmtId="0" fontId="37" fillId="0" borderId="0" xfId="0" applyFont="1" applyAlignment="1">
      <alignment horizontal="left" vertical="center"/>
    </xf>
    <xf numFmtId="0" fontId="17" fillId="0" borderId="0" xfId="0" applyFont="1" applyAlignment="1">
      <alignment horizontal="center"/>
    </xf>
    <xf numFmtId="0" fontId="10" fillId="0" borderId="108" xfId="0" applyFont="1" applyBorder="1" applyAlignment="1">
      <alignment horizontal="center"/>
    </xf>
    <xf numFmtId="0" fontId="10" fillId="0" borderId="109" xfId="0" applyFont="1" applyBorder="1" applyAlignment="1">
      <alignment horizontal="center"/>
    </xf>
    <xf numFmtId="0" fontId="10" fillId="0" borderId="112" xfId="0" applyFont="1" applyBorder="1" applyAlignment="1">
      <alignment horizontal="center"/>
    </xf>
    <xf numFmtId="0" fontId="17" fillId="0" borderId="108" xfId="0" applyFont="1" applyBorder="1" applyAlignment="1">
      <alignment horizontal="left" wrapText="1"/>
    </xf>
    <xf numFmtId="0" fontId="0" fillId="0" borderId="109" xfId="0" applyBorder="1" applyAlignment="1">
      <alignment horizontal="left" wrapText="1"/>
    </xf>
    <xf numFmtId="0" fontId="0" fillId="0" borderId="112" xfId="0" applyBorder="1" applyAlignment="1">
      <alignment horizontal="left" wrapText="1"/>
    </xf>
    <xf numFmtId="0" fontId="17" fillId="0" borderId="109" xfId="0" applyFont="1" applyBorder="1" applyAlignment="1">
      <alignment horizontal="left" wrapText="1"/>
    </xf>
    <xf numFmtId="0" fontId="17" fillId="0" borderId="112" xfId="0" applyFont="1" applyBorder="1" applyAlignment="1">
      <alignment horizontal="left" wrapText="1"/>
    </xf>
    <xf numFmtId="0" fontId="17" fillId="0" borderId="108" xfId="0" applyFont="1" applyBorder="1" applyAlignment="1">
      <alignment horizontal="left"/>
    </xf>
    <xf numFmtId="0" fontId="10" fillId="0" borderId="109" xfId="0" applyFont="1" applyBorder="1" applyAlignment="1">
      <alignment horizontal="left"/>
    </xf>
    <xf numFmtId="0" fontId="10" fillId="0" borderId="112" xfId="0" applyFont="1" applyBorder="1" applyAlignment="1">
      <alignment horizontal="left"/>
    </xf>
    <xf numFmtId="0" fontId="147" fillId="0" borderId="108" xfId="0" applyFont="1" applyBorder="1" applyAlignment="1">
      <alignment horizontal="center"/>
    </xf>
    <xf numFmtId="0" fontId="147" fillId="0" borderId="109" xfId="0" applyFont="1" applyBorder="1" applyAlignment="1">
      <alignment horizontal="center"/>
    </xf>
    <xf numFmtId="0" fontId="147" fillId="0" borderId="112" xfId="0" applyFont="1" applyBorder="1" applyAlignment="1">
      <alignment horizontal="center"/>
    </xf>
    <xf numFmtId="0" fontId="0" fillId="0" borderId="108" xfId="0" applyBorder="1" applyAlignment="1">
      <alignment horizontal="left" wrapText="1"/>
    </xf>
    <xf numFmtId="0" fontId="10" fillId="0" borderId="108" xfId="0" applyFont="1" applyBorder="1" applyAlignment="1">
      <alignment horizontal="left"/>
    </xf>
    <xf numFmtId="0" fontId="17" fillId="0" borderId="109" xfId="0" applyFont="1" applyBorder="1" applyAlignment="1">
      <alignment horizontal="left"/>
    </xf>
    <xf numFmtId="0" fontId="17" fillId="0" borderId="112" xfId="0" applyFont="1" applyBorder="1" applyAlignment="1">
      <alignment horizontal="left"/>
    </xf>
    <xf numFmtId="0" fontId="0" fillId="0" borderId="0" xfId="0" applyFont="1" applyAlignment="1">
      <alignment horizontal="left" wrapText="1"/>
    </xf>
    <xf numFmtId="0" fontId="17" fillId="0" borderId="108" xfId="38" applyFont="1" applyBorder="1" applyAlignment="1">
      <alignment horizontal="left" vertical="center" wrapText="1"/>
    </xf>
    <xf numFmtId="0" fontId="17" fillId="0" borderId="109" xfId="38" applyFont="1" applyBorder="1" applyAlignment="1">
      <alignment horizontal="left" vertical="center" wrapText="1"/>
    </xf>
    <xf numFmtId="0" fontId="17" fillId="0" borderId="112" xfId="38" applyFont="1" applyBorder="1" applyAlignment="1">
      <alignment horizontal="left" vertical="center" wrapText="1"/>
    </xf>
    <xf numFmtId="10" fontId="17" fillId="0" borderId="108" xfId="38" applyNumberFormat="1" applyBorder="1" applyAlignment="1">
      <alignment horizontal="left"/>
    </xf>
    <xf numFmtId="10" fontId="17" fillId="0" borderId="109" xfId="38" applyNumberFormat="1" applyBorder="1" applyAlignment="1">
      <alignment horizontal="left"/>
    </xf>
    <xf numFmtId="10" fontId="17" fillId="0" borderId="112" xfId="38" applyNumberFormat="1" applyBorder="1" applyAlignment="1">
      <alignment horizontal="left"/>
    </xf>
    <xf numFmtId="10" fontId="17" fillId="0" borderId="108" xfId="38" applyNumberFormat="1" applyFont="1" applyBorder="1" applyAlignment="1">
      <alignment horizontal="left" vertical="center" wrapText="1"/>
    </xf>
    <xf numFmtId="10" fontId="17" fillId="0" borderId="109" xfId="38" applyNumberFormat="1" applyFont="1" applyBorder="1" applyAlignment="1">
      <alignment horizontal="left" vertical="center" wrapText="1"/>
    </xf>
    <xf numFmtId="10" fontId="17" fillId="0" borderId="112" xfId="38" applyNumberFormat="1" applyFont="1" applyBorder="1" applyAlignment="1">
      <alignment horizontal="left" vertical="center" wrapText="1"/>
    </xf>
    <xf numFmtId="10" fontId="17" fillId="0" borderId="108" xfId="38" applyNumberFormat="1" applyFont="1" applyBorder="1" applyAlignment="1">
      <alignment horizontal="center" vertical="center" wrapText="1"/>
    </xf>
    <xf numFmtId="10" fontId="17" fillId="0" borderId="109" xfId="38" applyNumberFormat="1" applyFont="1" applyBorder="1" applyAlignment="1">
      <alignment horizontal="center" vertical="center" wrapText="1"/>
    </xf>
    <xf numFmtId="10" fontId="17" fillId="0" borderId="112" xfId="38" applyNumberFormat="1" applyFont="1" applyBorder="1" applyAlignment="1">
      <alignment horizontal="center" vertical="center" wrapText="1"/>
    </xf>
    <xf numFmtId="0" fontId="37" fillId="0" borderId="0" xfId="38" applyFont="1" applyAlignment="1">
      <alignment horizontal="left" vertical="center"/>
    </xf>
    <xf numFmtId="0" fontId="150" fillId="0" borderId="0" xfId="38" applyFont="1" applyAlignment="1">
      <alignment horizontal="left" wrapText="1"/>
    </xf>
    <xf numFmtId="0" fontId="10" fillId="0" borderId="0" xfId="38" applyFont="1" applyAlignment="1">
      <alignment horizontal="center"/>
    </xf>
    <xf numFmtId="0" fontId="17" fillId="0" borderId="0" xfId="38" applyAlignment="1">
      <alignment horizontal="center"/>
    </xf>
    <xf numFmtId="0" fontId="17" fillId="10" borderId="0" xfId="0" applyFont="1" applyFill="1" applyAlignment="1">
      <alignment horizontal="center"/>
    </xf>
    <xf numFmtId="0" fontId="0" fillId="10" borderId="0" xfId="0" applyFill="1" applyAlignment="1">
      <alignment horizontal="center"/>
    </xf>
    <xf numFmtId="0" fontId="131" fillId="0" borderId="0" xfId="38" applyFont="1" applyAlignment="1">
      <alignment horizontal="left" wrapText="1"/>
    </xf>
    <xf numFmtId="0" fontId="17" fillId="0" borderId="0" xfId="38" applyFont="1" applyFill="1" applyBorder="1" applyAlignment="1">
      <alignment horizontal="left" wrapText="1"/>
    </xf>
    <xf numFmtId="0" fontId="17" fillId="0" borderId="0" xfId="38" applyFont="1" applyFill="1" applyBorder="1" applyAlignment="1" applyProtection="1">
      <alignment horizontal="left" wrapText="1"/>
      <protection locked="0"/>
    </xf>
    <xf numFmtId="0" fontId="10" fillId="0" borderId="0" xfId="38" applyFont="1" applyFill="1" applyBorder="1" applyAlignment="1" applyProtection="1">
      <alignment horizontal="center" wrapText="1"/>
      <protection locked="0"/>
    </xf>
    <xf numFmtId="0" fontId="14" fillId="0" borderId="0" xfId="38" applyFont="1" applyFill="1" applyBorder="1" applyAlignment="1">
      <alignment horizontal="left" vertical="center" wrapText="1"/>
    </xf>
    <xf numFmtId="0" fontId="14" fillId="0" borderId="0" xfId="38" applyFont="1" applyFill="1" applyBorder="1" applyAlignment="1" applyProtection="1">
      <alignment horizontal="left" wrapText="1"/>
      <protection locked="0"/>
    </xf>
    <xf numFmtId="0" fontId="10" fillId="0" borderId="103" xfId="38" applyFont="1" applyBorder="1" applyAlignment="1">
      <alignment horizontal="left" wrapText="1"/>
    </xf>
    <xf numFmtId="0" fontId="17" fillId="0" borderId="114" xfId="38" applyFont="1" applyBorder="1" applyAlignment="1">
      <alignment horizontal="left"/>
    </xf>
    <xf numFmtId="0" fontId="11" fillId="0" borderId="0" xfId="38" applyFont="1" applyFill="1" applyBorder="1" applyAlignment="1">
      <alignment horizontal="center"/>
    </xf>
    <xf numFmtId="0" fontId="18" fillId="0" borderId="0" xfId="38" applyFont="1" applyFill="1" applyBorder="1" applyAlignment="1">
      <alignment horizontal="center"/>
    </xf>
    <xf numFmtId="0" fontId="89" fillId="0" borderId="0" xfId="38" applyFont="1" applyAlignment="1">
      <alignment horizontal="center" wrapText="1"/>
    </xf>
    <xf numFmtId="0" fontId="14" fillId="0" borderId="0" xfId="38" applyFont="1" applyAlignment="1">
      <alignment horizontal="center" wrapText="1"/>
    </xf>
    <xf numFmtId="0" fontId="18" fillId="0" borderId="0" xfId="38" applyFont="1" applyAlignment="1">
      <alignment horizontal="center"/>
    </xf>
    <xf numFmtId="0" fontId="13" fillId="0" borderId="0" xfId="0" applyFont="1" applyAlignment="1" applyProtection="1">
      <alignment horizontal="center" vertical="top" wrapText="1"/>
      <protection locked="0"/>
    </xf>
    <xf numFmtId="0" fontId="13" fillId="0" borderId="1" xfId="0" applyFont="1" applyBorder="1" applyAlignment="1" applyProtection="1">
      <alignment horizontal="center" vertical="top" wrapText="1"/>
      <protection locked="0"/>
    </xf>
    <xf numFmtId="49" fontId="13" fillId="0" borderId="0" xfId="0" applyNumberFormat="1" applyFont="1" applyAlignment="1" applyProtection="1">
      <alignment horizontal="center" vertical="top" wrapText="1"/>
      <protection locked="0"/>
    </xf>
    <xf numFmtId="49" fontId="13" fillId="0" borderId="1" xfId="0" applyNumberFormat="1" applyFont="1" applyBorder="1" applyAlignment="1" applyProtection="1">
      <alignment horizontal="center" vertical="top" wrapText="1"/>
      <protection locked="0"/>
    </xf>
    <xf numFmtId="0" fontId="0" fillId="0" borderId="0" xfId="0" applyAlignment="1" applyProtection="1">
      <alignment horizontal="center"/>
    </xf>
    <xf numFmtId="49" fontId="13" fillId="0" borderId="0" xfId="0" applyNumberFormat="1" applyFont="1" applyAlignment="1" applyProtection="1">
      <alignment horizontal="center"/>
    </xf>
    <xf numFmtId="0" fontId="13" fillId="0" borderId="0" xfId="0" applyNumberFormat="1" applyFont="1" applyAlignment="1" applyProtection="1">
      <alignment horizontal="center"/>
    </xf>
    <xf numFmtId="0" fontId="13" fillId="0" borderId="0" xfId="0" applyFont="1" applyAlignment="1" applyProtection="1">
      <alignment horizontal="center"/>
    </xf>
    <xf numFmtId="0" fontId="10" fillId="0" borderId="10" xfId="0" applyFont="1" applyBorder="1" applyAlignment="1">
      <alignment horizontal="right"/>
    </xf>
    <xf numFmtId="0" fontId="10" fillId="0" borderId="2" xfId="0" applyFont="1" applyBorder="1" applyAlignment="1">
      <alignment horizontal="right"/>
    </xf>
    <xf numFmtId="0" fontId="10" fillId="0" borderId="3" xfId="0" applyFont="1" applyBorder="1" applyAlignment="1">
      <alignment horizontal="right"/>
    </xf>
    <xf numFmtId="0" fontId="10" fillId="0" borderId="0" xfId="0" applyFont="1" applyBorder="1" applyAlignment="1">
      <alignment horizontal="center"/>
    </xf>
    <xf numFmtId="0" fontId="10" fillId="0" borderId="1" xfId="0" applyFont="1" applyBorder="1" applyAlignment="1" applyProtection="1">
      <alignment horizontal="center"/>
      <protection locked="0"/>
    </xf>
    <xf numFmtId="0" fontId="0" fillId="0" borderId="1" xfId="0" applyBorder="1" applyAlignment="1" applyProtection="1">
      <protection locked="0"/>
    </xf>
    <xf numFmtId="39" fontId="27" fillId="2" borderId="87" xfId="6" applyFill="1" applyBorder="1" applyAlignment="1" applyProtection="1">
      <alignment horizontal="center" vertical="center" wrapText="1"/>
      <protection locked="0"/>
    </xf>
    <xf numFmtId="39" fontId="27" fillId="0" borderId="76" xfId="6" applyBorder="1" applyAlignment="1" applyProtection="1">
      <alignment horizontal="center" vertical="center" wrapText="1"/>
      <protection locked="0"/>
    </xf>
    <xf numFmtId="39" fontId="27" fillId="2" borderId="88" xfId="6" applyFill="1" applyBorder="1" applyAlignment="1" applyProtection="1">
      <alignment vertical="center"/>
      <protection locked="0"/>
    </xf>
    <xf numFmtId="39" fontId="27" fillId="0" borderId="52" xfId="6" applyBorder="1" applyAlignment="1" applyProtection="1">
      <alignment vertical="center"/>
      <protection locked="0"/>
    </xf>
    <xf numFmtId="0" fontId="17" fillId="0" borderId="41" xfId="0" applyFont="1" applyBorder="1" applyAlignment="1">
      <alignment horizontal="center" textRotation="90"/>
    </xf>
    <xf numFmtId="0" fontId="0" fillId="0" borderId="41" xfId="0" applyBorder="1" applyAlignment="1">
      <alignment horizontal="center" textRotation="90"/>
    </xf>
    <xf numFmtId="0" fontId="94" fillId="13" borderId="94" xfId="38" applyFont="1" applyFill="1" applyBorder="1" applyAlignment="1" applyProtection="1">
      <alignment horizontal="center"/>
    </xf>
    <xf numFmtId="0" fontId="94" fillId="13" borderId="97" xfId="38" applyFont="1" applyFill="1" applyBorder="1" applyAlignment="1" applyProtection="1">
      <alignment horizontal="center"/>
    </xf>
    <xf numFmtId="49" fontId="95" fillId="0" borderId="90" xfId="38" applyNumberFormat="1" applyFont="1" applyFill="1" applyBorder="1" applyAlignment="1" applyProtection="1">
      <alignment horizontal="right"/>
    </xf>
    <xf numFmtId="49" fontId="95" fillId="0" borderId="91" xfId="38" applyNumberFormat="1" applyFont="1" applyFill="1" applyBorder="1" applyAlignment="1" applyProtection="1">
      <alignment horizontal="right"/>
    </xf>
    <xf numFmtId="49" fontId="95" fillId="0" borderId="11" xfId="38" applyNumberFormat="1" applyFont="1" applyFill="1" applyBorder="1" applyAlignment="1" applyProtection="1">
      <alignment horizontal="right"/>
    </xf>
    <xf numFmtId="49" fontId="95" fillId="0" borderId="0" xfId="38" applyNumberFormat="1" applyFont="1" applyFill="1" applyBorder="1" applyAlignment="1" applyProtection="1">
      <alignment horizontal="right"/>
    </xf>
    <xf numFmtId="0" fontId="94" fillId="9" borderId="104" xfId="38" applyFont="1" applyFill="1" applyBorder="1" applyAlignment="1" applyProtection="1">
      <alignment horizontal="left"/>
    </xf>
    <xf numFmtId="0" fontId="94" fillId="9" borderId="105" xfId="38" applyFont="1" applyFill="1" applyBorder="1" applyAlignment="1" applyProtection="1">
      <alignment horizontal="left"/>
    </xf>
    <xf numFmtId="49" fontId="97" fillId="0" borderId="104" xfId="38" applyNumberFormat="1" applyFont="1" applyFill="1" applyBorder="1" applyAlignment="1" applyProtection="1">
      <alignment horizontal="center" wrapText="1"/>
    </xf>
    <xf numFmtId="49" fontId="97" fillId="0" borderId="103" xfId="38" applyNumberFormat="1" applyFont="1" applyFill="1" applyBorder="1" applyAlignment="1" applyProtection="1">
      <alignment horizontal="center" wrapText="1"/>
    </xf>
    <xf numFmtId="0" fontId="94" fillId="9" borderId="94" xfId="38" applyFont="1" applyFill="1" applyBorder="1" applyAlignment="1" applyProtection="1">
      <alignment horizontal="left"/>
    </xf>
    <xf numFmtId="0" fontId="94" fillId="9" borderId="97" xfId="38" applyFont="1" applyFill="1" applyBorder="1" applyAlignment="1" applyProtection="1">
      <alignment horizontal="left"/>
    </xf>
    <xf numFmtId="0" fontId="94" fillId="0" borderId="0" xfId="38" applyFont="1" applyAlignment="1" applyProtection="1">
      <alignment horizontal="right"/>
    </xf>
    <xf numFmtId="49" fontId="102" fillId="16" borderId="94" xfId="38" applyNumberFormat="1" applyFont="1" applyFill="1" applyBorder="1" applyAlignment="1" applyProtection="1">
      <alignment horizontal="center"/>
    </xf>
    <xf numFmtId="49" fontId="102" fillId="16" borderId="95" xfId="38" applyNumberFormat="1" applyFont="1" applyFill="1" applyBorder="1" applyAlignment="1" applyProtection="1">
      <alignment horizontal="center"/>
    </xf>
    <xf numFmtId="49" fontId="102" fillId="16" borderId="97" xfId="38" applyNumberFormat="1" applyFont="1" applyFill="1" applyBorder="1" applyAlignment="1" applyProtection="1">
      <alignment horizontal="center"/>
    </xf>
    <xf numFmtId="49" fontId="94" fillId="0" borderId="94" xfId="38" applyNumberFormat="1" applyFont="1" applyFill="1" applyBorder="1" applyAlignment="1" applyProtection="1">
      <alignment horizontal="center"/>
    </xf>
    <xf numFmtId="49" fontId="94" fillId="0" borderId="95" xfId="38" applyNumberFormat="1" applyFont="1" applyFill="1" applyBorder="1" applyAlignment="1" applyProtection="1">
      <alignment horizontal="center"/>
    </xf>
    <xf numFmtId="49" fontId="94" fillId="0" borderId="97" xfId="38" applyNumberFormat="1" applyFont="1" applyFill="1" applyBorder="1" applyAlignment="1" applyProtection="1">
      <alignment horizontal="center"/>
    </xf>
    <xf numFmtId="49" fontId="94" fillId="17" borderId="94" xfId="38" applyNumberFormat="1" applyFont="1" applyFill="1" applyBorder="1" applyAlignment="1" applyProtection="1">
      <alignment horizontal="center"/>
    </xf>
    <xf numFmtId="49" fontId="94" fillId="17" borderId="95" xfId="38" applyNumberFormat="1" applyFont="1" applyFill="1" applyBorder="1" applyAlignment="1" applyProtection="1">
      <alignment horizontal="center"/>
    </xf>
    <xf numFmtId="49" fontId="94" fillId="17" borderId="97" xfId="38" applyNumberFormat="1" applyFont="1" applyFill="1" applyBorder="1" applyAlignment="1" applyProtection="1">
      <alignment horizontal="center"/>
    </xf>
    <xf numFmtId="49" fontId="82" fillId="0" borderId="94" xfId="38" applyNumberFormat="1" applyFont="1" applyFill="1" applyBorder="1" applyAlignment="1" applyProtection="1">
      <alignment horizontal="center"/>
    </xf>
    <xf numFmtId="49" fontId="82" fillId="0" borderId="95" xfId="38" applyNumberFormat="1" applyFont="1" applyFill="1" applyBorder="1" applyAlignment="1" applyProtection="1">
      <alignment horizontal="center"/>
    </xf>
    <xf numFmtId="49" fontId="82" fillId="0" borderId="97" xfId="38" applyNumberFormat="1" applyFont="1" applyFill="1" applyBorder="1" applyAlignment="1" applyProtection="1">
      <alignment horizontal="center"/>
    </xf>
    <xf numFmtId="49" fontId="98" fillId="16" borderId="94" xfId="38" applyNumberFormat="1" applyFont="1" applyFill="1" applyBorder="1" applyAlignment="1" applyProtection="1">
      <alignment horizontal="center"/>
    </xf>
    <xf numFmtId="49" fontId="98" fillId="16" borderId="95" xfId="38" applyNumberFormat="1" applyFont="1" applyFill="1" applyBorder="1" applyAlignment="1" applyProtection="1">
      <alignment horizontal="center"/>
    </xf>
    <xf numFmtId="49" fontId="98" fillId="16" borderId="97" xfId="38" applyNumberFormat="1" applyFont="1" applyFill="1" applyBorder="1" applyAlignment="1" applyProtection="1">
      <alignment horizontal="center"/>
    </xf>
    <xf numFmtId="49" fontId="101" fillId="17" borderId="94" xfId="38" applyNumberFormat="1" applyFont="1" applyFill="1" applyBorder="1" applyAlignment="1" applyProtection="1">
      <alignment horizontal="center"/>
    </xf>
    <xf numFmtId="49" fontId="101" fillId="17" borderId="95" xfId="38" applyNumberFormat="1" applyFont="1" applyFill="1" applyBorder="1" applyAlignment="1" applyProtection="1">
      <alignment horizontal="center"/>
    </xf>
    <xf numFmtId="49" fontId="101" fillId="17" borderId="97" xfId="38" applyNumberFormat="1" applyFont="1" applyFill="1" applyBorder="1" applyAlignment="1" applyProtection="1">
      <alignment horizontal="center"/>
    </xf>
  </cellXfs>
  <cellStyles count="232">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16</xdr:row>
      <xdr:rowOff>192433</xdr:rowOff>
    </xdr:from>
    <xdr:to>
      <xdr:col>1</xdr:col>
      <xdr:colOff>511298</xdr:colOff>
      <xdr:row>17</xdr:row>
      <xdr:rowOff>188406</xdr:rowOff>
    </xdr:to>
    <xdr:sp macro="" textlink="">
      <xdr:nvSpPr>
        <xdr:cNvPr id="2" name="Left Arrow 1">
          <a:extLst>
            <a:ext uri="{FF2B5EF4-FFF2-40B4-BE49-F238E27FC236}">
              <a16:creationId xmlns:a16="http://schemas.microsoft.com/office/drawing/2014/main" id="{00000000-0008-0000-0000-000002000000}"/>
            </a:ext>
          </a:extLst>
        </xdr:cNvPr>
        <xdr:cNvSpPr/>
      </xdr:nvSpPr>
      <xdr:spPr bwMode="auto">
        <a:xfrm rot="509661">
          <a:off x="774725" y="1306858"/>
          <a:ext cx="346173" cy="195998"/>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552450</xdr:colOff>
          <xdr:row>16</xdr:row>
          <xdr:rowOff>66675</xdr:rowOff>
        </xdr:from>
        <xdr:to>
          <xdr:col>5</xdr:col>
          <xdr:colOff>428625</xdr:colOff>
          <xdr:row>27</xdr:row>
          <xdr:rowOff>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2370/AppData/Local/Microsoft/Windows/Temporary%20Internet%20Files/Content.Outlook/Y1YUKXR8/AFR_Blank_FY2014_V1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m0140/Desktop/AFR-CCT-FY2016-V16-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m0140/Desktop/Database-Ledger-Load-Updated-Feb2015-V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A)"/>
      <sheetName val="NOTES TO FIN ST (32B)"/>
      <sheetName val="NOTES TO FIN ST (32C)"/>
      <sheetName val="NOTES TO FIN ST (33)"/>
      <sheetName val="NOTES TO FIN ST (33A) "/>
      <sheetName val="NOTES TO FIN ST (33B)"/>
      <sheetName val="NOTES TO FIN ST (33C)"/>
      <sheetName val="NOTES TO FIN ST (34)"/>
      <sheetName val="RSI COVER"/>
      <sheetName val="GENERAL FUND-OPERATING(35-40)"/>
      <sheetName val="OPER-MAJOR SP. REVENUE(41-43)"/>
      <sheetName val="OPER.-MAJOR SP. REV. (B)(44-46)"/>
      <sheetName val="RSI 0PEB (46A)"/>
      <sheetName val="OTHER SUPP. INFO. COVER"/>
      <sheetName val="BS-NONMAJOR SP. REVENUE(47-48) "/>
      <sheetName val="OPER.-NONMAJOR SP. REVENUE(49)"/>
      <sheetName val="OPER.-NONMAJOR SP. REVE (B)(50)"/>
      <sheetName val="BS-NONMAJOR DEBT SERVICE(51-52)"/>
      <sheetName val="OPER.-NONMAJOR DEBT SER.(53-54)"/>
      <sheetName val="BS-NONMAJOR CAP. PROJ.(55-56)"/>
      <sheetName val="OPER.-NONMAJOR CAP. PROJ(57-58)"/>
      <sheetName val="BS-PERMANENT FUNDS(59-60)"/>
      <sheetName val="OPER.-PERMANENT FUNDS(61-62)"/>
      <sheetName val="NET POSIT-NONMAJOR ENTERPR(63)"/>
      <sheetName val="CHG. IN NP-NONMAJOR ENTERPR(64)"/>
      <sheetName val="NONMAJOR ENTERPR. CASH FLOW(65)"/>
      <sheetName val="COMB. NET POS-IN. SER.(66)"/>
      <sheetName val="COMB. CHGE IN NP IN. SERV.(67)"/>
      <sheetName val="ST. OF CASH FLOWS-INT.SER.(68)"/>
      <sheetName val="FED.-ST. INTERGOVERNMENTAL(69)"/>
      <sheetName val="CASH RECONCILIATION(73)"/>
      <sheetName val="GEN. INFO.  SECT. COVER"/>
      <sheetName val="GENERAL INFORMATION(74)"/>
      <sheetName val="Worksheets"/>
      <sheetName val="SCHEDULE OF REC. &amp; DISB."/>
      <sheetName val="BS Conversion"/>
      <sheetName val="OP Conversion"/>
      <sheetName val="Revenue Analysis"/>
      <sheetName val="GOV CAP ASSETS (GCAAG)"/>
      <sheetName val="GOV DEBT (GLTDAG)"/>
      <sheetName val="Depr.-General"/>
      <sheetName val="Depr.-Water Enterprise"/>
      <sheetName val="Depr.-Sewer Enterprise"/>
      <sheetName val="Depr.-Solid Waste Enterprise"/>
      <sheetName val="Compensated Absences"/>
      <sheetName val="Checklist"/>
      <sheetName val="Balance Check Page"/>
      <sheetName val="Sheet2"/>
      <sheetName val="LedgerLoad Assist"/>
      <sheetName val="Ledger Load Template LGSvcs TEM"/>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79" refreshError="1"/>
      <sheetData sheetId="8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cell r="B5" t="str">
            <v>010101</v>
          </cell>
          <cell r="C5" t="str">
            <v>010101</v>
          </cell>
          <cell r="D5">
            <v>0</v>
          </cell>
        </row>
        <row r="6">
          <cell r="A6" t="str">
            <v>Big Horn County</v>
          </cell>
          <cell r="B6" t="str">
            <v>010201</v>
          </cell>
          <cell r="C6" t="str">
            <v>010201</v>
          </cell>
          <cell r="D6">
            <v>0</v>
          </cell>
        </row>
        <row r="7">
          <cell r="A7" t="str">
            <v>Blaine County</v>
          </cell>
          <cell r="B7" t="str">
            <v>010301</v>
          </cell>
          <cell r="C7" t="str">
            <v>010301</v>
          </cell>
          <cell r="D7">
            <v>0</v>
          </cell>
        </row>
        <row r="8">
          <cell r="A8" t="str">
            <v>Broadwater County</v>
          </cell>
          <cell r="B8" t="str">
            <v>010401</v>
          </cell>
          <cell r="C8" t="str">
            <v>010401</v>
          </cell>
          <cell r="D8">
            <v>0</v>
          </cell>
        </row>
        <row r="9">
          <cell r="A9" t="str">
            <v>Carbon County</v>
          </cell>
          <cell r="B9" t="str">
            <v>010501</v>
          </cell>
          <cell r="C9" t="str">
            <v>010501</v>
          </cell>
        </row>
        <row r="10">
          <cell r="A10" t="str">
            <v>Carter County</v>
          </cell>
          <cell r="B10" t="str">
            <v>010601</v>
          </cell>
          <cell r="C10" t="str">
            <v>010601</v>
          </cell>
        </row>
        <row r="11">
          <cell r="A11" t="str">
            <v>Cascade County</v>
          </cell>
          <cell r="B11" t="str">
            <v>010701</v>
          </cell>
          <cell r="C11" t="str">
            <v>010701</v>
          </cell>
        </row>
        <row r="12">
          <cell r="A12" t="str">
            <v>Chouteau County</v>
          </cell>
          <cell r="B12" t="str">
            <v>010801</v>
          </cell>
          <cell r="C12" t="str">
            <v>010801</v>
          </cell>
        </row>
        <row r="13">
          <cell r="A13" t="str">
            <v>Custer County</v>
          </cell>
          <cell r="B13" t="str">
            <v>010901</v>
          </cell>
          <cell r="C13" t="str">
            <v>010901</v>
          </cell>
        </row>
        <row r="14">
          <cell r="A14" t="str">
            <v>Daniels County</v>
          </cell>
          <cell r="B14" t="str">
            <v>011001</v>
          </cell>
          <cell r="C14" t="str">
            <v>011001</v>
          </cell>
        </row>
        <row r="15">
          <cell r="A15" t="str">
            <v>Dawson County</v>
          </cell>
          <cell r="B15" t="str">
            <v>011101</v>
          </cell>
          <cell r="C15" t="str">
            <v>011101</v>
          </cell>
        </row>
        <row r="16">
          <cell r="A16" t="str">
            <v>Anaconda-Deer Lodge County</v>
          </cell>
          <cell r="B16" t="str">
            <v>011201</v>
          </cell>
          <cell r="C16" t="str">
            <v>011201</v>
          </cell>
        </row>
        <row r="17">
          <cell r="A17" t="str">
            <v>Fallon County</v>
          </cell>
          <cell r="B17" t="str">
            <v>011301</v>
          </cell>
          <cell r="C17" t="str">
            <v>011301</v>
          </cell>
        </row>
        <row r="18">
          <cell r="A18" t="str">
            <v>Fergus County</v>
          </cell>
          <cell r="B18" t="str">
            <v>011401</v>
          </cell>
          <cell r="C18" t="str">
            <v>011401</v>
          </cell>
        </row>
        <row r="19">
          <cell r="A19" t="str">
            <v>Flathead County</v>
          </cell>
          <cell r="B19" t="str">
            <v>011501</v>
          </cell>
          <cell r="C19" t="str">
            <v>011501</v>
          </cell>
        </row>
        <row r="20">
          <cell r="A20" t="str">
            <v>Gallatin County</v>
          </cell>
          <cell r="B20" t="str">
            <v>011601</v>
          </cell>
          <cell r="C20" t="str">
            <v>011601</v>
          </cell>
        </row>
        <row r="21">
          <cell r="A21" t="str">
            <v>Garfield County</v>
          </cell>
          <cell r="B21" t="str">
            <v>011701</v>
          </cell>
          <cell r="C21" t="str">
            <v>011701</v>
          </cell>
        </row>
        <row r="22">
          <cell r="A22" t="str">
            <v>Glacier County</v>
          </cell>
          <cell r="B22" t="str">
            <v>011801</v>
          </cell>
          <cell r="C22" t="str">
            <v>011801</v>
          </cell>
        </row>
        <row r="23">
          <cell r="A23" t="str">
            <v>Golden Valley County</v>
          </cell>
          <cell r="B23" t="str">
            <v>011901</v>
          </cell>
          <cell r="C23" t="str">
            <v>011901</v>
          </cell>
        </row>
        <row r="24">
          <cell r="A24" t="str">
            <v>Granite County</v>
          </cell>
          <cell r="B24" t="str">
            <v>012001</v>
          </cell>
          <cell r="C24" t="str">
            <v>012001</v>
          </cell>
        </row>
        <row r="25">
          <cell r="A25" t="str">
            <v>Hill County</v>
          </cell>
          <cell r="B25" t="str">
            <v>012101</v>
          </cell>
          <cell r="C25" t="str">
            <v>012101</v>
          </cell>
        </row>
        <row r="26">
          <cell r="A26" t="str">
            <v>Jefferson County</v>
          </cell>
          <cell r="B26" t="str">
            <v>012201</v>
          </cell>
          <cell r="C26" t="str">
            <v>012201</v>
          </cell>
        </row>
        <row r="27">
          <cell r="A27" t="str">
            <v>Judith Basin County</v>
          </cell>
          <cell r="B27" t="str">
            <v>012301</v>
          </cell>
          <cell r="C27" t="str">
            <v>012301</v>
          </cell>
        </row>
        <row r="28">
          <cell r="A28" t="str">
            <v>Lake County</v>
          </cell>
          <cell r="B28" t="str">
            <v>012401</v>
          </cell>
          <cell r="C28" t="str">
            <v>012401</v>
          </cell>
        </row>
        <row r="29">
          <cell r="A29" t="str">
            <v>Lewis and Clark County</v>
          </cell>
          <cell r="B29" t="str">
            <v>012501</v>
          </cell>
          <cell r="C29" t="str">
            <v>012501</v>
          </cell>
        </row>
        <row r="30">
          <cell r="A30" t="str">
            <v>Liberty County</v>
          </cell>
          <cell r="B30" t="str">
            <v>012601</v>
          </cell>
          <cell r="C30" t="str">
            <v>012601</v>
          </cell>
        </row>
        <row r="31">
          <cell r="A31" t="str">
            <v>Lincoln County</v>
          </cell>
          <cell r="B31" t="str">
            <v>012701</v>
          </cell>
          <cell r="C31" t="str">
            <v>012701</v>
          </cell>
        </row>
        <row r="32">
          <cell r="A32" t="str">
            <v>Madison County</v>
          </cell>
          <cell r="B32" t="str">
            <v>012801</v>
          </cell>
          <cell r="C32" t="str">
            <v>012801</v>
          </cell>
        </row>
        <row r="33">
          <cell r="A33" t="str">
            <v>McCone County</v>
          </cell>
          <cell r="B33" t="str">
            <v>012901</v>
          </cell>
          <cell r="C33" t="str">
            <v>012901</v>
          </cell>
        </row>
        <row r="34">
          <cell r="A34" t="str">
            <v>Meagher County</v>
          </cell>
          <cell r="B34" t="str">
            <v>013001</v>
          </cell>
          <cell r="C34" t="str">
            <v>013001</v>
          </cell>
        </row>
        <row r="35">
          <cell r="A35" t="str">
            <v>Mineral County</v>
          </cell>
          <cell r="B35" t="str">
            <v>013101</v>
          </cell>
          <cell r="C35" t="str">
            <v>013101</v>
          </cell>
        </row>
        <row r="36">
          <cell r="A36" t="str">
            <v>Missoula County</v>
          </cell>
          <cell r="B36" t="str">
            <v>013201</v>
          </cell>
          <cell r="C36" t="str">
            <v>013201</v>
          </cell>
        </row>
        <row r="37">
          <cell r="A37" t="str">
            <v>Musselshell County</v>
          </cell>
          <cell r="B37" t="str">
            <v>013301</v>
          </cell>
          <cell r="C37" t="str">
            <v>013301</v>
          </cell>
        </row>
        <row r="38">
          <cell r="A38" t="str">
            <v>Park County</v>
          </cell>
          <cell r="B38" t="str">
            <v>013401</v>
          </cell>
          <cell r="C38" t="str">
            <v>013401</v>
          </cell>
        </row>
        <row r="39">
          <cell r="A39" t="str">
            <v>Petroleum County</v>
          </cell>
          <cell r="B39" t="str">
            <v>013501</v>
          </cell>
          <cell r="C39" t="str">
            <v>013501</v>
          </cell>
        </row>
        <row r="40">
          <cell r="A40" t="str">
            <v>Phillips County</v>
          </cell>
          <cell r="B40" t="str">
            <v>013601</v>
          </cell>
          <cell r="C40" t="str">
            <v>013601</v>
          </cell>
        </row>
        <row r="41">
          <cell r="A41" t="str">
            <v>Pondera County</v>
          </cell>
          <cell r="B41" t="str">
            <v>013701</v>
          </cell>
          <cell r="C41" t="str">
            <v>013701</v>
          </cell>
        </row>
        <row r="42">
          <cell r="A42" t="str">
            <v>Powder River County</v>
          </cell>
          <cell r="B42" t="str">
            <v>013801</v>
          </cell>
          <cell r="C42" t="str">
            <v>013801</v>
          </cell>
        </row>
        <row r="43">
          <cell r="A43" t="str">
            <v>Powell County</v>
          </cell>
          <cell r="B43" t="str">
            <v>013901</v>
          </cell>
          <cell r="C43" t="str">
            <v>013901</v>
          </cell>
        </row>
        <row r="44">
          <cell r="A44" t="str">
            <v>Prairie County</v>
          </cell>
          <cell r="B44" t="str">
            <v>014001</v>
          </cell>
          <cell r="C44" t="str">
            <v>014001</v>
          </cell>
        </row>
        <row r="45">
          <cell r="A45" t="str">
            <v>Ravalli County</v>
          </cell>
          <cell r="B45" t="str">
            <v>014101</v>
          </cell>
          <cell r="C45" t="str">
            <v>014101</v>
          </cell>
        </row>
        <row r="46">
          <cell r="A46" t="str">
            <v>Richland County</v>
          </cell>
          <cell r="B46" t="str">
            <v>014201</v>
          </cell>
          <cell r="C46" t="str">
            <v>014201</v>
          </cell>
        </row>
        <row r="47">
          <cell r="A47" t="str">
            <v>Roosevelt County</v>
          </cell>
          <cell r="B47" t="str">
            <v>014301</v>
          </cell>
          <cell r="C47" t="str">
            <v>014301</v>
          </cell>
        </row>
        <row r="48">
          <cell r="A48" t="str">
            <v>Rosebud County</v>
          </cell>
          <cell r="B48" t="str">
            <v>014401</v>
          </cell>
          <cell r="C48" t="str">
            <v>014401</v>
          </cell>
        </row>
        <row r="49">
          <cell r="A49" t="str">
            <v>Sanders County</v>
          </cell>
          <cell r="B49" t="str">
            <v>014501</v>
          </cell>
          <cell r="C49" t="str">
            <v>014501</v>
          </cell>
        </row>
        <row r="50">
          <cell r="A50" t="str">
            <v>Sheridan County</v>
          </cell>
          <cell r="B50" t="str">
            <v>014601</v>
          </cell>
          <cell r="C50" t="str">
            <v>014601</v>
          </cell>
        </row>
        <row r="51">
          <cell r="A51" t="str">
            <v>City &amp; County/Butte-Silver Bow</v>
          </cell>
          <cell r="B51" t="str">
            <v>014701</v>
          </cell>
          <cell r="C51" t="str">
            <v>014701</v>
          </cell>
        </row>
        <row r="52">
          <cell r="A52" t="str">
            <v>Stillwater County</v>
          </cell>
          <cell r="B52" t="str">
            <v>014801</v>
          </cell>
          <cell r="C52" t="str">
            <v>014801</v>
          </cell>
        </row>
        <row r="53">
          <cell r="A53" t="str">
            <v>Sweet Grass County</v>
          </cell>
          <cell r="B53" t="str">
            <v>014901</v>
          </cell>
          <cell r="C53" t="str">
            <v>014901</v>
          </cell>
        </row>
        <row r="54">
          <cell r="A54" t="str">
            <v>Teton County</v>
          </cell>
          <cell r="B54" t="str">
            <v>015001</v>
          </cell>
          <cell r="C54" t="str">
            <v>015001</v>
          </cell>
        </row>
        <row r="55">
          <cell r="A55" t="str">
            <v>Toole County</v>
          </cell>
          <cell r="B55" t="str">
            <v>015101</v>
          </cell>
          <cell r="C55" t="str">
            <v>015101</v>
          </cell>
        </row>
        <row r="56">
          <cell r="A56" t="str">
            <v>Treasure County</v>
          </cell>
          <cell r="B56" t="str">
            <v>015201</v>
          </cell>
          <cell r="C56" t="str">
            <v>015201</v>
          </cell>
        </row>
        <row r="57">
          <cell r="A57" t="str">
            <v>Valley County</v>
          </cell>
          <cell r="B57" t="str">
            <v>015301</v>
          </cell>
          <cell r="C57" t="str">
            <v>015301</v>
          </cell>
        </row>
        <row r="58">
          <cell r="A58" t="str">
            <v>Wheatland County</v>
          </cell>
          <cell r="B58" t="str">
            <v>015401</v>
          </cell>
          <cell r="C58" t="str">
            <v>015401</v>
          </cell>
        </row>
        <row r="59">
          <cell r="A59" t="str">
            <v>Wibaux County</v>
          </cell>
          <cell r="B59" t="str">
            <v>015501</v>
          </cell>
          <cell r="C59" t="str">
            <v>015501</v>
          </cell>
        </row>
        <row r="60">
          <cell r="A60" t="str">
            <v>Yellowstone County</v>
          </cell>
          <cell r="B60" t="str">
            <v>015601</v>
          </cell>
          <cell r="C60" t="str">
            <v>015601</v>
          </cell>
        </row>
        <row r="61">
          <cell r="A61">
            <v>0</v>
          </cell>
          <cell r="B61">
            <v>0</v>
          </cell>
          <cell r="C61">
            <v>0</v>
          </cell>
        </row>
        <row r="62">
          <cell r="A62" t="str">
            <v>City and Towns:</v>
          </cell>
          <cell r="B62">
            <v>0</v>
          </cell>
          <cell r="C62">
            <v>0</v>
          </cell>
          <cell r="D62">
            <v>0</v>
          </cell>
        </row>
        <row r="63">
          <cell r="A63" t="str">
            <v>City of Dillon</v>
          </cell>
          <cell r="B63" t="str">
            <v>010101</v>
          </cell>
          <cell r="C63" t="str">
            <v>020101</v>
          </cell>
          <cell r="D63">
            <v>0</v>
          </cell>
        </row>
        <row r="64">
          <cell r="A64" t="str">
            <v>Town of Lima</v>
          </cell>
          <cell r="B64" t="str">
            <v>010101</v>
          </cell>
          <cell r="C64" t="str">
            <v>020102</v>
          </cell>
          <cell r="D64">
            <v>0</v>
          </cell>
        </row>
        <row r="65">
          <cell r="A65" t="str">
            <v>City of Hardin</v>
          </cell>
          <cell r="B65" t="str">
            <v>010201</v>
          </cell>
          <cell r="C65" t="str">
            <v>020201</v>
          </cell>
          <cell r="D65">
            <v>0</v>
          </cell>
        </row>
        <row r="66">
          <cell r="A66" t="str">
            <v>Town of Lodge Grass</v>
          </cell>
          <cell r="B66" t="str">
            <v>010201</v>
          </cell>
          <cell r="C66" t="str">
            <v>020202</v>
          </cell>
          <cell r="D66">
            <v>0</v>
          </cell>
        </row>
        <row r="67">
          <cell r="A67" t="str">
            <v>City of Chinook</v>
          </cell>
          <cell r="B67" t="str">
            <v>010301</v>
          </cell>
          <cell r="C67" t="str">
            <v>020301</v>
          </cell>
          <cell r="D67">
            <v>0</v>
          </cell>
        </row>
        <row r="68">
          <cell r="A68" t="str">
            <v>City of Harlem</v>
          </cell>
          <cell r="B68" t="str">
            <v>010301</v>
          </cell>
          <cell r="C68" t="str">
            <v>020302</v>
          </cell>
          <cell r="D68">
            <v>0</v>
          </cell>
        </row>
        <row r="69">
          <cell r="A69" t="str">
            <v>City of Townsend</v>
          </cell>
          <cell r="B69" t="str">
            <v>010401</v>
          </cell>
          <cell r="C69" t="str">
            <v>020401</v>
          </cell>
          <cell r="D69">
            <v>0</v>
          </cell>
        </row>
        <row r="70">
          <cell r="A70" t="str">
            <v>Town of Bearcreek</v>
          </cell>
          <cell r="B70" t="str">
            <v>010501</v>
          </cell>
          <cell r="C70" t="str">
            <v>020501</v>
          </cell>
          <cell r="D70">
            <v>0</v>
          </cell>
        </row>
        <row r="71">
          <cell r="A71" t="str">
            <v>Town of Bridger</v>
          </cell>
          <cell r="B71" t="str">
            <v>010501</v>
          </cell>
          <cell r="C71" t="str">
            <v>020502</v>
          </cell>
          <cell r="D71">
            <v>0</v>
          </cell>
        </row>
        <row r="72">
          <cell r="A72" t="str">
            <v>Town of Fromberg</v>
          </cell>
          <cell r="B72" t="str">
            <v>010501</v>
          </cell>
          <cell r="C72" t="str">
            <v>020503</v>
          </cell>
          <cell r="D72">
            <v>0</v>
          </cell>
        </row>
        <row r="73">
          <cell r="A73" t="str">
            <v>Town of Joliet</v>
          </cell>
          <cell r="B73" t="str">
            <v>010501</v>
          </cell>
          <cell r="C73" t="str">
            <v>020504</v>
          </cell>
          <cell r="D73">
            <v>0</v>
          </cell>
        </row>
        <row r="74">
          <cell r="A74" t="str">
            <v>City of Red Lodge</v>
          </cell>
          <cell r="B74" t="str">
            <v>010501</v>
          </cell>
          <cell r="C74" t="str">
            <v>020505</v>
          </cell>
          <cell r="D74">
            <v>0</v>
          </cell>
        </row>
        <row r="75">
          <cell r="A75" t="str">
            <v>Town of Ekalaka</v>
          </cell>
          <cell r="B75" t="str">
            <v>010601</v>
          </cell>
          <cell r="C75" t="str">
            <v>020601</v>
          </cell>
          <cell r="D75">
            <v>0</v>
          </cell>
        </row>
        <row r="76">
          <cell r="A76" t="str">
            <v>Town of Belt</v>
          </cell>
          <cell r="B76" t="str">
            <v>010701</v>
          </cell>
          <cell r="C76" t="str">
            <v>020701</v>
          </cell>
          <cell r="D76">
            <v>0</v>
          </cell>
        </row>
        <row r="77">
          <cell r="A77" t="str">
            <v>Town of Cascade</v>
          </cell>
          <cell r="B77" t="str">
            <v>010701</v>
          </cell>
          <cell r="C77" t="str">
            <v>020702</v>
          </cell>
          <cell r="D77">
            <v>0</v>
          </cell>
        </row>
        <row r="78">
          <cell r="A78" t="str">
            <v>City of Great Falls</v>
          </cell>
          <cell r="B78" t="str">
            <v>010701</v>
          </cell>
          <cell r="C78" t="str">
            <v>020703</v>
          </cell>
          <cell r="D78">
            <v>0</v>
          </cell>
        </row>
        <row r="79">
          <cell r="A79" t="str">
            <v>Town of Neihart</v>
          </cell>
          <cell r="B79" t="str">
            <v>010701</v>
          </cell>
          <cell r="C79" t="str">
            <v>020704</v>
          </cell>
          <cell r="D79">
            <v>0</v>
          </cell>
        </row>
        <row r="80">
          <cell r="A80" t="str">
            <v>Town of Big Sandy</v>
          </cell>
          <cell r="B80" t="str">
            <v>010801</v>
          </cell>
          <cell r="C80" t="str">
            <v>020801</v>
          </cell>
          <cell r="D80">
            <v>0</v>
          </cell>
        </row>
        <row r="81">
          <cell r="A81" t="str">
            <v>City of Fort Benton</v>
          </cell>
          <cell r="B81" t="str">
            <v>010801</v>
          </cell>
          <cell r="C81" t="str">
            <v>020802</v>
          </cell>
          <cell r="D81">
            <v>0</v>
          </cell>
        </row>
        <row r="82">
          <cell r="A82" t="str">
            <v>Town of Geraldine</v>
          </cell>
          <cell r="B82" t="str">
            <v>010801</v>
          </cell>
          <cell r="C82" t="str">
            <v>020803</v>
          </cell>
          <cell r="D82">
            <v>0</v>
          </cell>
        </row>
        <row r="83">
          <cell r="A83" t="str">
            <v>Town of Ismay</v>
          </cell>
          <cell r="B83" t="str">
            <v>010901</v>
          </cell>
          <cell r="C83" t="str">
            <v>020901</v>
          </cell>
          <cell r="D83">
            <v>0</v>
          </cell>
        </row>
        <row r="84">
          <cell r="A84" t="str">
            <v>City of Miles City</v>
          </cell>
          <cell r="B84" t="str">
            <v>010901</v>
          </cell>
          <cell r="C84" t="str">
            <v>020902</v>
          </cell>
          <cell r="D84">
            <v>0</v>
          </cell>
        </row>
        <row r="85">
          <cell r="A85" t="str">
            <v>Town of Flaxville</v>
          </cell>
          <cell r="B85" t="str">
            <v>011001</v>
          </cell>
          <cell r="C85" t="str">
            <v>021001</v>
          </cell>
          <cell r="D85">
            <v>0</v>
          </cell>
        </row>
        <row r="86">
          <cell r="A86" t="str">
            <v>City of Scobey</v>
          </cell>
          <cell r="B86" t="str">
            <v>011001</v>
          </cell>
          <cell r="C86" t="str">
            <v>021002</v>
          </cell>
          <cell r="D86">
            <v>0</v>
          </cell>
        </row>
        <row r="87">
          <cell r="A87" t="str">
            <v>City of Glendive</v>
          </cell>
          <cell r="B87" t="str">
            <v>011101</v>
          </cell>
          <cell r="C87" t="str">
            <v>021101</v>
          </cell>
          <cell r="D87">
            <v>0</v>
          </cell>
        </row>
        <row r="88">
          <cell r="A88" t="str">
            <v>Town of Richey</v>
          </cell>
          <cell r="B88" t="str">
            <v>011101</v>
          </cell>
          <cell r="C88" t="str">
            <v>021102</v>
          </cell>
          <cell r="D88">
            <v>0</v>
          </cell>
        </row>
        <row r="89">
          <cell r="A89" t="str">
            <v>City of Baker</v>
          </cell>
          <cell r="B89" t="str">
            <v>011301</v>
          </cell>
          <cell r="C89" t="str">
            <v>021301</v>
          </cell>
          <cell r="D89">
            <v>0</v>
          </cell>
        </row>
        <row r="90">
          <cell r="A90" t="str">
            <v>Town of Plevna</v>
          </cell>
          <cell r="B90" t="str">
            <v>011301</v>
          </cell>
          <cell r="C90" t="str">
            <v>021302</v>
          </cell>
          <cell r="D90">
            <v>0</v>
          </cell>
        </row>
        <row r="91">
          <cell r="A91" t="str">
            <v>Town of Denton</v>
          </cell>
          <cell r="B91" t="str">
            <v>011401</v>
          </cell>
          <cell r="C91" t="str">
            <v>021401</v>
          </cell>
          <cell r="D91">
            <v>0</v>
          </cell>
        </row>
        <row r="92">
          <cell r="A92" t="str">
            <v>Town of Grass Range</v>
          </cell>
          <cell r="B92" t="str">
            <v>011401</v>
          </cell>
          <cell r="C92" t="str">
            <v>021402</v>
          </cell>
          <cell r="D92">
            <v>0</v>
          </cell>
        </row>
        <row r="93">
          <cell r="A93" t="str">
            <v>City of Lewistown</v>
          </cell>
          <cell r="B93" t="str">
            <v>011401</v>
          </cell>
          <cell r="C93" t="str">
            <v>021403</v>
          </cell>
          <cell r="D93">
            <v>0</v>
          </cell>
        </row>
        <row r="94">
          <cell r="A94" t="str">
            <v>Town of Moore</v>
          </cell>
          <cell r="B94" t="str">
            <v>011401</v>
          </cell>
          <cell r="C94" t="str">
            <v>021404</v>
          </cell>
          <cell r="D94">
            <v>0</v>
          </cell>
        </row>
        <row r="95">
          <cell r="A95" t="str">
            <v>Town of Winifred</v>
          </cell>
          <cell r="B95" t="str">
            <v>011401</v>
          </cell>
          <cell r="C95" t="str">
            <v>021405</v>
          </cell>
          <cell r="D95">
            <v>0</v>
          </cell>
        </row>
        <row r="96">
          <cell r="A96" t="str">
            <v>City of Columbia Falls</v>
          </cell>
          <cell r="B96" t="str">
            <v>011501</v>
          </cell>
          <cell r="C96" t="str">
            <v>021501</v>
          </cell>
          <cell r="D96">
            <v>0</v>
          </cell>
        </row>
        <row r="97">
          <cell r="A97" t="str">
            <v>City of Kalispell</v>
          </cell>
          <cell r="B97" t="str">
            <v>011501</v>
          </cell>
          <cell r="C97" t="str">
            <v>021502</v>
          </cell>
          <cell r="D97">
            <v>0</v>
          </cell>
        </row>
        <row r="98">
          <cell r="A98" t="str">
            <v>City of Whitefish</v>
          </cell>
          <cell r="B98" t="str">
            <v>011501</v>
          </cell>
          <cell r="C98" t="str">
            <v>021503</v>
          </cell>
          <cell r="D98">
            <v>0</v>
          </cell>
        </row>
        <row r="99">
          <cell r="A99" t="str">
            <v>City of Belgrade</v>
          </cell>
          <cell r="B99" t="str">
            <v>011601</v>
          </cell>
          <cell r="C99" t="str">
            <v>021601</v>
          </cell>
          <cell r="D99">
            <v>0</v>
          </cell>
        </row>
        <row r="100">
          <cell r="A100" t="str">
            <v>City of Bozeman</v>
          </cell>
          <cell r="B100" t="str">
            <v>011601</v>
          </cell>
          <cell r="C100" t="str">
            <v>021602</v>
          </cell>
          <cell r="D100">
            <v>0</v>
          </cell>
        </row>
        <row r="101">
          <cell r="A101" t="str">
            <v>Town of Manhattan</v>
          </cell>
          <cell r="B101" t="str">
            <v>011601</v>
          </cell>
          <cell r="C101" t="str">
            <v>021603</v>
          </cell>
          <cell r="D101">
            <v>0</v>
          </cell>
        </row>
        <row r="102">
          <cell r="A102" t="str">
            <v>City of Three Forks</v>
          </cell>
          <cell r="B102" t="str">
            <v>011601</v>
          </cell>
          <cell r="C102" t="str">
            <v>021604</v>
          </cell>
          <cell r="D102">
            <v>0</v>
          </cell>
        </row>
        <row r="103">
          <cell r="A103" t="str">
            <v>Town of West Yellowstone</v>
          </cell>
          <cell r="B103" t="str">
            <v>011601</v>
          </cell>
          <cell r="C103" t="str">
            <v>021605</v>
          </cell>
          <cell r="D103">
            <v>0</v>
          </cell>
        </row>
        <row r="104">
          <cell r="A104" t="str">
            <v>Town of Jordan</v>
          </cell>
          <cell r="B104" t="str">
            <v>011701</v>
          </cell>
          <cell r="C104" t="str">
            <v>021701</v>
          </cell>
          <cell r="D104">
            <v>0</v>
          </cell>
        </row>
        <row r="105">
          <cell r="A105" t="str">
            <v>Town of Browning</v>
          </cell>
          <cell r="B105" t="str">
            <v>011801</v>
          </cell>
          <cell r="C105" t="str">
            <v>021801</v>
          </cell>
          <cell r="D105">
            <v>0</v>
          </cell>
        </row>
        <row r="106">
          <cell r="A106" t="str">
            <v>City of Cut Bank</v>
          </cell>
          <cell r="B106" t="str">
            <v>011801</v>
          </cell>
          <cell r="C106" t="str">
            <v>021802</v>
          </cell>
          <cell r="D106">
            <v>0</v>
          </cell>
        </row>
        <row r="107">
          <cell r="A107" t="str">
            <v>Town of Lavina</v>
          </cell>
          <cell r="B107" t="str">
            <v>011901</v>
          </cell>
          <cell r="C107" t="str">
            <v>021901</v>
          </cell>
          <cell r="D107">
            <v>0</v>
          </cell>
        </row>
        <row r="108">
          <cell r="A108" t="str">
            <v>Town of Ryegate</v>
          </cell>
          <cell r="B108" t="str">
            <v>011901</v>
          </cell>
          <cell r="C108" t="str">
            <v>021902</v>
          </cell>
          <cell r="D108">
            <v>0</v>
          </cell>
        </row>
        <row r="109">
          <cell r="A109" t="str">
            <v>Town of Drummond</v>
          </cell>
          <cell r="B109" t="str">
            <v>012001</v>
          </cell>
          <cell r="C109" t="str">
            <v>022001</v>
          </cell>
          <cell r="D109">
            <v>0</v>
          </cell>
        </row>
        <row r="110">
          <cell r="A110" t="str">
            <v>Town of Philipsburg</v>
          </cell>
          <cell r="B110" t="str">
            <v>012001</v>
          </cell>
          <cell r="C110" t="str">
            <v>022002</v>
          </cell>
          <cell r="D110">
            <v>0</v>
          </cell>
        </row>
        <row r="111">
          <cell r="A111" t="str">
            <v>City of Havre</v>
          </cell>
          <cell r="B111" t="str">
            <v>012101</v>
          </cell>
          <cell r="C111" t="str">
            <v>022101</v>
          </cell>
          <cell r="D111">
            <v>0</v>
          </cell>
        </row>
        <row r="112">
          <cell r="A112" t="str">
            <v>Town of Hingham</v>
          </cell>
          <cell r="B112" t="str">
            <v>012101</v>
          </cell>
          <cell r="C112" t="str">
            <v>022102</v>
          </cell>
          <cell r="D112">
            <v>0</v>
          </cell>
        </row>
        <row r="113">
          <cell r="A113" t="str">
            <v>City of Boulder</v>
          </cell>
          <cell r="B113" t="str">
            <v>012201</v>
          </cell>
          <cell r="C113" t="str">
            <v>022201</v>
          </cell>
          <cell r="D113">
            <v>0</v>
          </cell>
        </row>
        <row r="114">
          <cell r="A114" t="str">
            <v>Town of Whitehall</v>
          </cell>
          <cell r="B114" t="str">
            <v>012201</v>
          </cell>
          <cell r="C114" t="str">
            <v>022202</v>
          </cell>
          <cell r="D114">
            <v>0</v>
          </cell>
        </row>
        <row r="115">
          <cell r="A115" t="str">
            <v>Town of Hobson</v>
          </cell>
          <cell r="B115" t="str">
            <v>012301</v>
          </cell>
          <cell r="C115" t="str">
            <v>022301</v>
          </cell>
          <cell r="D115">
            <v>0</v>
          </cell>
        </row>
        <row r="116">
          <cell r="A116" t="str">
            <v>Town of Stanford</v>
          </cell>
          <cell r="B116" t="str">
            <v>012301</v>
          </cell>
          <cell r="C116" t="str">
            <v>022302</v>
          </cell>
          <cell r="D116">
            <v>0</v>
          </cell>
        </row>
        <row r="117">
          <cell r="A117" t="str">
            <v>City of Polson</v>
          </cell>
          <cell r="B117" t="str">
            <v>012401</v>
          </cell>
          <cell r="C117" t="str">
            <v>022401</v>
          </cell>
          <cell r="D117">
            <v>0</v>
          </cell>
        </row>
        <row r="118">
          <cell r="A118" t="str">
            <v>City of Ronan</v>
          </cell>
          <cell r="B118" t="str">
            <v>012401</v>
          </cell>
          <cell r="C118" t="str">
            <v>022402</v>
          </cell>
          <cell r="D118">
            <v>0</v>
          </cell>
        </row>
        <row r="119">
          <cell r="A119" t="str">
            <v>Town of St. Ignatius</v>
          </cell>
          <cell r="B119" t="str">
            <v>012401</v>
          </cell>
          <cell r="C119" t="str">
            <v>022403</v>
          </cell>
          <cell r="D119">
            <v>0</v>
          </cell>
        </row>
        <row r="120">
          <cell r="A120" t="str">
            <v>City of East Helena</v>
          </cell>
          <cell r="B120" t="str">
            <v>012501</v>
          </cell>
          <cell r="C120" t="str">
            <v>022501</v>
          </cell>
          <cell r="D120">
            <v>0</v>
          </cell>
        </row>
        <row r="121">
          <cell r="A121" t="str">
            <v>City of Helena</v>
          </cell>
          <cell r="B121" t="str">
            <v>012501</v>
          </cell>
          <cell r="C121" t="str">
            <v>022502</v>
          </cell>
          <cell r="D121">
            <v>0</v>
          </cell>
        </row>
        <row r="122">
          <cell r="A122" t="str">
            <v>Town of Chester</v>
          </cell>
          <cell r="B122" t="str">
            <v>012601</v>
          </cell>
          <cell r="C122" t="str">
            <v>022601</v>
          </cell>
          <cell r="D122">
            <v>0</v>
          </cell>
        </row>
        <row r="123">
          <cell r="A123" t="str">
            <v>Town of Eureka</v>
          </cell>
          <cell r="B123" t="str">
            <v>012701</v>
          </cell>
          <cell r="C123" t="str">
            <v>022701</v>
          </cell>
          <cell r="D123">
            <v>0</v>
          </cell>
        </row>
        <row r="124">
          <cell r="A124" t="str">
            <v>City of Libby</v>
          </cell>
          <cell r="B124" t="str">
            <v>012701</v>
          </cell>
          <cell r="C124" t="str">
            <v>022702</v>
          </cell>
          <cell r="D124">
            <v>0</v>
          </cell>
        </row>
        <row r="125">
          <cell r="A125" t="str">
            <v>Town Of Rexford</v>
          </cell>
          <cell r="B125" t="str">
            <v>012701</v>
          </cell>
          <cell r="C125" t="str">
            <v>022703</v>
          </cell>
          <cell r="D125">
            <v>0</v>
          </cell>
        </row>
        <row r="126">
          <cell r="A126" t="str">
            <v>City of Troy</v>
          </cell>
          <cell r="B126" t="str">
            <v>012701</v>
          </cell>
          <cell r="C126" t="str">
            <v>022704</v>
          </cell>
          <cell r="D126">
            <v>0</v>
          </cell>
        </row>
        <row r="127">
          <cell r="A127" t="str">
            <v>Town of Ennis</v>
          </cell>
          <cell r="B127" t="str">
            <v>012801</v>
          </cell>
          <cell r="C127" t="str">
            <v>022801</v>
          </cell>
          <cell r="D127">
            <v>0</v>
          </cell>
        </row>
        <row r="128">
          <cell r="A128" t="str">
            <v>Town of Sheridan</v>
          </cell>
          <cell r="B128" t="str">
            <v>012801</v>
          </cell>
          <cell r="C128" t="str">
            <v>022802</v>
          </cell>
          <cell r="D128">
            <v>0</v>
          </cell>
        </row>
        <row r="129">
          <cell r="A129" t="str">
            <v>Town of Twin Bridges</v>
          </cell>
          <cell r="B129" t="str">
            <v>012801</v>
          </cell>
          <cell r="C129" t="str">
            <v>022803</v>
          </cell>
          <cell r="D129">
            <v>0</v>
          </cell>
        </row>
        <row r="130">
          <cell r="A130" t="str">
            <v>Town of Virginia City</v>
          </cell>
          <cell r="B130" t="str">
            <v>012801</v>
          </cell>
          <cell r="C130" t="str">
            <v>022804</v>
          </cell>
          <cell r="D130">
            <v>0</v>
          </cell>
        </row>
        <row r="131">
          <cell r="A131" t="str">
            <v>Town of Circle</v>
          </cell>
          <cell r="B131" t="str">
            <v>012901</v>
          </cell>
          <cell r="C131" t="str">
            <v>022901</v>
          </cell>
          <cell r="D131">
            <v>0</v>
          </cell>
        </row>
        <row r="132">
          <cell r="A132" t="str">
            <v>City of White Sulphur Springs</v>
          </cell>
          <cell r="B132" t="str">
            <v>013001</v>
          </cell>
          <cell r="C132" t="str">
            <v>023001</v>
          </cell>
          <cell r="D132">
            <v>0</v>
          </cell>
        </row>
        <row r="133">
          <cell r="A133" t="str">
            <v>Town of Alberton</v>
          </cell>
          <cell r="B133" t="str">
            <v>013101</v>
          </cell>
          <cell r="C133" t="str">
            <v>023101</v>
          </cell>
          <cell r="D133">
            <v>0</v>
          </cell>
        </row>
        <row r="134">
          <cell r="A134" t="str">
            <v>Town Of Superior</v>
          </cell>
          <cell r="B134" t="str">
            <v>013101</v>
          </cell>
          <cell r="C134" t="str">
            <v>023102</v>
          </cell>
          <cell r="D134">
            <v>0</v>
          </cell>
        </row>
        <row r="135">
          <cell r="A135" t="str">
            <v>City of Missoula</v>
          </cell>
          <cell r="B135" t="str">
            <v>013201</v>
          </cell>
          <cell r="C135" t="str">
            <v>023201</v>
          </cell>
          <cell r="D135">
            <v>0</v>
          </cell>
        </row>
        <row r="136">
          <cell r="A136" t="str">
            <v>Town of Melstone</v>
          </cell>
          <cell r="B136" t="str">
            <v>013301</v>
          </cell>
          <cell r="C136" t="str">
            <v>023301</v>
          </cell>
          <cell r="D136">
            <v>0</v>
          </cell>
        </row>
        <row r="137">
          <cell r="A137" t="str">
            <v>City of Roundup</v>
          </cell>
          <cell r="B137" t="str">
            <v>013301</v>
          </cell>
          <cell r="C137" t="str">
            <v>023302</v>
          </cell>
          <cell r="D137">
            <v>0</v>
          </cell>
        </row>
        <row r="138">
          <cell r="A138" t="str">
            <v>Town of Clyde Park</v>
          </cell>
          <cell r="B138" t="str">
            <v>013401</v>
          </cell>
          <cell r="C138" t="str">
            <v>023401</v>
          </cell>
          <cell r="D138">
            <v>0</v>
          </cell>
        </row>
        <row r="139">
          <cell r="A139" t="str">
            <v>City of Livingston</v>
          </cell>
          <cell r="B139" t="str">
            <v>013401</v>
          </cell>
          <cell r="C139" t="str">
            <v>023402</v>
          </cell>
          <cell r="D139">
            <v>0</v>
          </cell>
        </row>
        <row r="140">
          <cell r="A140" t="str">
            <v>Town of Winnett</v>
          </cell>
          <cell r="B140" t="str">
            <v>013501</v>
          </cell>
          <cell r="C140" t="str">
            <v>023501</v>
          </cell>
          <cell r="D140">
            <v>0</v>
          </cell>
        </row>
        <row r="141">
          <cell r="A141" t="str">
            <v>Town of Dodson</v>
          </cell>
          <cell r="B141" t="str">
            <v>013601</v>
          </cell>
          <cell r="C141" t="str">
            <v>023601</v>
          </cell>
          <cell r="D141">
            <v>0</v>
          </cell>
        </row>
        <row r="142">
          <cell r="A142" t="str">
            <v>City of Malta</v>
          </cell>
          <cell r="B142" t="str">
            <v>013601</v>
          </cell>
          <cell r="C142" t="str">
            <v>023602</v>
          </cell>
          <cell r="D142">
            <v>0</v>
          </cell>
        </row>
        <row r="143">
          <cell r="A143" t="str">
            <v>Town of Saco</v>
          </cell>
          <cell r="B143" t="str">
            <v>013601</v>
          </cell>
          <cell r="C143" t="str">
            <v>023603</v>
          </cell>
          <cell r="D143">
            <v>0</v>
          </cell>
        </row>
        <row r="144">
          <cell r="A144" t="str">
            <v>City of Conrad</v>
          </cell>
          <cell r="B144" t="str">
            <v>013701</v>
          </cell>
          <cell r="C144" t="str">
            <v>023701</v>
          </cell>
          <cell r="D144">
            <v>0</v>
          </cell>
        </row>
        <row r="145">
          <cell r="A145" t="str">
            <v>Town of Valier</v>
          </cell>
          <cell r="B145" t="str">
            <v>013701</v>
          </cell>
          <cell r="C145" t="str">
            <v>023702</v>
          </cell>
          <cell r="D145">
            <v>0</v>
          </cell>
        </row>
        <row r="146">
          <cell r="A146" t="str">
            <v>Town of Broadus</v>
          </cell>
          <cell r="B146" t="str">
            <v>013801</v>
          </cell>
          <cell r="C146" t="str">
            <v>023801</v>
          </cell>
          <cell r="D146">
            <v>0</v>
          </cell>
        </row>
        <row r="147">
          <cell r="A147" t="str">
            <v>City of Deer Lodge</v>
          </cell>
          <cell r="B147" t="str">
            <v>013901</v>
          </cell>
          <cell r="C147" t="str">
            <v>023901</v>
          </cell>
          <cell r="D147">
            <v>0</v>
          </cell>
        </row>
        <row r="148">
          <cell r="A148" t="str">
            <v>Town of Terry</v>
          </cell>
          <cell r="B148" t="str">
            <v>014001</v>
          </cell>
          <cell r="C148" t="str">
            <v>024001</v>
          </cell>
          <cell r="D148">
            <v>0</v>
          </cell>
        </row>
        <row r="149">
          <cell r="A149" t="str">
            <v>Town of Darby</v>
          </cell>
          <cell r="B149" t="str">
            <v>014101</v>
          </cell>
          <cell r="C149" t="str">
            <v>024101</v>
          </cell>
          <cell r="D149">
            <v>0</v>
          </cell>
        </row>
        <row r="150">
          <cell r="A150" t="str">
            <v>City of Hamilton</v>
          </cell>
          <cell r="B150" t="str">
            <v>014101</v>
          </cell>
          <cell r="C150" t="str">
            <v>024102</v>
          </cell>
          <cell r="D150">
            <v>0</v>
          </cell>
        </row>
        <row r="151">
          <cell r="A151" t="str">
            <v>Town of Pinesdale</v>
          </cell>
          <cell r="B151" t="str">
            <v>014101</v>
          </cell>
          <cell r="C151" t="str">
            <v>024103</v>
          </cell>
          <cell r="D151">
            <v>0</v>
          </cell>
        </row>
        <row r="152">
          <cell r="A152" t="str">
            <v>Town of Stevensville</v>
          </cell>
          <cell r="B152" t="str">
            <v>014101</v>
          </cell>
          <cell r="C152" t="str">
            <v>024104</v>
          </cell>
          <cell r="D152">
            <v>0</v>
          </cell>
        </row>
        <row r="153">
          <cell r="A153" t="str">
            <v>Town of Fairview</v>
          </cell>
          <cell r="B153" t="str">
            <v>014201</v>
          </cell>
          <cell r="C153" t="str">
            <v>024201</v>
          </cell>
          <cell r="D153">
            <v>0</v>
          </cell>
        </row>
        <row r="154">
          <cell r="A154" t="str">
            <v>City of Sidney</v>
          </cell>
          <cell r="B154" t="str">
            <v>014201</v>
          </cell>
          <cell r="C154" t="str">
            <v>024202</v>
          </cell>
          <cell r="D154">
            <v>0</v>
          </cell>
        </row>
        <row r="155">
          <cell r="A155" t="str">
            <v>Town of Bainville</v>
          </cell>
          <cell r="B155" t="str">
            <v>014301</v>
          </cell>
          <cell r="C155" t="str">
            <v>024301</v>
          </cell>
          <cell r="D155">
            <v>0</v>
          </cell>
        </row>
        <row r="156">
          <cell r="A156" t="str">
            <v>Town of Brockton</v>
          </cell>
          <cell r="B156" t="str">
            <v>014301</v>
          </cell>
          <cell r="C156" t="str">
            <v>024302</v>
          </cell>
          <cell r="D156">
            <v>0</v>
          </cell>
        </row>
        <row r="157">
          <cell r="A157" t="str">
            <v>Town of Culbertson</v>
          </cell>
          <cell r="B157" t="str">
            <v>014301</v>
          </cell>
          <cell r="C157" t="str">
            <v>024303</v>
          </cell>
          <cell r="D157">
            <v>0</v>
          </cell>
        </row>
        <row r="158">
          <cell r="A158" t="str">
            <v>Town of Froid</v>
          </cell>
          <cell r="B158" t="str">
            <v>014301</v>
          </cell>
          <cell r="C158" t="str">
            <v>024304</v>
          </cell>
          <cell r="D158">
            <v>0</v>
          </cell>
        </row>
        <row r="159">
          <cell r="A159" t="str">
            <v>City of Poplar</v>
          </cell>
          <cell r="B159" t="str">
            <v>014301</v>
          </cell>
          <cell r="C159" t="str">
            <v>024305</v>
          </cell>
          <cell r="D159">
            <v>0</v>
          </cell>
        </row>
        <row r="160">
          <cell r="A160" t="str">
            <v>City of Wolf Point</v>
          </cell>
          <cell r="B160" t="str">
            <v>014301</v>
          </cell>
          <cell r="C160" t="str">
            <v>024306</v>
          </cell>
          <cell r="D160">
            <v>0</v>
          </cell>
        </row>
        <row r="161">
          <cell r="A161" t="str">
            <v>City of Forsyth</v>
          </cell>
          <cell r="B161" t="str">
            <v>014401</v>
          </cell>
          <cell r="C161" t="str">
            <v>024401</v>
          </cell>
          <cell r="D161">
            <v>0</v>
          </cell>
        </row>
        <row r="162">
          <cell r="A162" t="str">
            <v>City of Colstrip</v>
          </cell>
          <cell r="B162" t="str">
            <v>014401</v>
          </cell>
          <cell r="C162" t="str">
            <v>024402</v>
          </cell>
          <cell r="D162">
            <v>0</v>
          </cell>
        </row>
        <row r="163">
          <cell r="A163" t="str">
            <v>Town of Hot Springs</v>
          </cell>
          <cell r="B163" t="str">
            <v>014501</v>
          </cell>
          <cell r="C163" t="str">
            <v>024501</v>
          </cell>
          <cell r="D163">
            <v>0</v>
          </cell>
        </row>
        <row r="164">
          <cell r="A164" t="str">
            <v>Town of Plains</v>
          </cell>
          <cell r="B164" t="str">
            <v>014501</v>
          </cell>
          <cell r="C164" t="str">
            <v>024502</v>
          </cell>
          <cell r="D164">
            <v>0</v>
          </cell>
        </row>
        <row r="165">
          <cell r="A165" t="str">
            <v>City of Thompson Falls</v>
          </cell>
          <cell r="B165" t="str">
            <v>014501</v>
          </cell>
          <cell r="C165" t="str">
            <v>024503</v>
          </cell>
          <cell r="D165">
            <v>0</v>
          </cell>
        </row>
        <row r="166">
          <cell r="A166" t="str">
            <v>Town of Medicine Lake</v>
          </cell>
          <cell r="B166" t="str">
            <v>014601</v>
          </cell>
          <cell r="C166" t="str">
            <v>024601</v>
          </cell>
          <cell r="D166">
            <v>0</v>
          </cell>
        </row>
        <row r="167">
          <cell r="A167" t="str">
            <v>Town of Outlook</v>
          </cell>
          <cell r="B167" t="str">
            <v>014601</v>
          </cell>
          <cell r="C167" t="str">
            <v>024602</v>
          </cell>
          <cell r="D167">
            <v>0</v>
          </cell>
        </row>
        <row r="168">
          <cell r="A168" t="str">
            <v>City of Plentywood</v>
          </cell>
          <cell r="B168" t="str">
            <v>014601</v>
          </cell>
          <cell r="C168" t="str">
            <v>024603</v>
          </cell>
          <cell r="D168">
            <v>0</v>
          </cell>
        </row>
        <row r="169">
          <cell r="A169" t="str">
            <v>Town of Westby</v>
          </cell>
          <cell r="B169" t="str">
            <v>014601</v>
          </cell>
          <cell r="C169" t="str">
            <v>024604</v>
          </cell>
          <cell r="D169">
            <v>0</v>
          </cell>
        </row>
        <row r="170">
          <cell r="A170" t="str">
            <v>Town of Walkerville</v>
          </cell>
          <cell r="B170" t="str">
            <v>014701</v>
          </cell>
          <cell r="C170" t="str">
            <v>024702</v>
          </cell>
          <cell r="D170">
            <v>0</v>
          </cell>
        </row>
        <row r="171">
          <cell r="A171" t="str">
            <v>Town of Columbus</v>
          </cell>
          <cell r="B171" t="str">
            <v>014801</v>
          </cell>
          <cell r="C171" t="str">
            <v>024801</v>
          </cell>
          <cell r="D171">
            <v>0</v>
          </cell>
        </row>
        <row r="172">
          <cell r="A172" t="str">
            <v>City of Big Timber</v>
          </cell>
          <cell r="B172" t="str">
            <v>014901</v>
          </cell>
          <cell r="C172" t="str">
            <v>024901</v>
          </cell>
          <cell r="D172">
            <v>0</v>
          </cell>
        </row>
        <row r="173">
          <cell r="A173" t="str">
            <v>City of Choteau</v>
          </cell>
          <cell r="B173" t="str">
            <v>015001</v>
          </cell>
          <cell r="C173" t="str">
            <v>025001</v>
          </cell>
          <cell r="D173">
            <v>0</v>
          </cell>
        </row>
        <row r="174">
          <cell r="A174" t="str">
            <v>Town of Dutton</v>
          </cell>
          <cell r="B174" t="str">
            <v>015001</v>
          </cell>
          <cell r="C174" t="str">
            <v>025002</v>
          </cell>
          <cell r="D174">
            <v>0</v>
          </cell>
        </row>
        <row r="175">
          <cell r="A175" t="str">
            <v>Town of Fairfield</v>
          </cell>
          <cell r="B175" t="str">
            <v>015001</v>
          </cell>
          <cell r="C175" t="str">
            <v>025003</v>
          </cell>
          <cell r="D175">
            <v>0</v>
          </cell>
        </row>
        <row r="176">
          <cell r="A176" t="str">
            <v>Town of Kevin</v>
          </cell>
          <cell r="B176" t="str">
            <v>015101</v>
          </cell>
          <cell r="C176" t="str">
            <v>025101</v>
          </cell>
          <cell r="D176">
            <v>0</v>
          </cell>
        </row>
        <row r="177">
          <cell r="A177" t="str">
            <v>City of Shelby</v>
          </cell>
          <cell r="B177" t="str">
            <v>015101</v>
          </cell>
          <cell r="C177" t="str">
            <v>025102</v>
          </cell>
          <cell r="D177">
            <v>0</v>
          </cell>
        </row>
        <row r="178">
          <cell r="A178" t="str">
            <v>Town of Sunburst</v>
          </cell>
          <cell r="B178" t="str">
            <v>015101</v>
          </cell>
          <cell r="C178" t="str">
            <v>025103</v>
          </cell>
          <cell r="D178">
            <v>0</v>
          </cell>
        </row>
        <row r="179">
          <cell r="A179" t="str">
            <v>Town of Hysham</v>
          </cell>
          <cell r="B179" t="str">
            <v>015201</v>
          </cell>
          <cell r="C179" t="str">
            <v>025201</v>
          </cell>
          <cell r="D179">
            <v>0</v>
          </cell>
        </row>
        <row r="180">
          <cell r="A180" t="str">
            <v>Town of Fort Peck</v>
          </cell>
          <cell r="B180" t="str">
            <v>015301</v>
          </cell>
          <cell r="C180" t="str">
            <v>025301</v>
          </cell>
          <cell r="D180">
            <v>0</v>
          </cell>
        </row>
        <row r="181">
          <cell r="A181" t="str">
            <v>City of Glasgow</v>
          </cell>
          <cell r="B181" t="str">
            <v>015301</v>
          </cell>
          <cell r="C181" t="str">
            <v>025302</v>
          </cell>
          <cell r="D181">
            <v>0</v>
          </cell>
        </row>
        <row r="182">
          <cell r="A182" t="str">
            <v>Town of Nashua</v>
          </cell>
          <cell r="B182" t="str">
            <v>015301</v>
          </cell>
          <cell r="C182" t="str">
            <v>025303</v>
          </cell>
          <cell r="D182">
            <v>0</v>
          </cell>
        </row>
        <row r="183">
          <cell r="A183" t="str">
            <v>Town of Opheim</v>
          </cell>
          <cell r="B183" t="str">
            <v>015301</v>
          </cell>
          <cell r="C183" t="str">
            <v>025304</v>
          </cell>
          <cell r="D183">
            <v>0</v>
          </cell>
        </row>
        <row r="184">
          <cell r="A184" t="str">
            <v>City of Harlowton</v>
          </cell>
          <cell r="B184" t="str">
            <v>015401</v>
          </cell>
          <cell r="C184" t="str">
            <v>025401</v>
          </cell>
          <cell r="D184">
            <v>0</v>
          </cell>
        </row>
        <row r="185">
          <cell r="A185" t="str">
            <v>Town of Judith Gap</v>
          </cell>
          <cell r="B185" t="str">
            <v>015401</v>
          </cell>
          <cell r="C185" t="str">
            <v>025402</v>
          </cell>
          <cell r="D185">
            <v>0</v>
          </cell>
        </row>
        <row r="186">
          <cell r="A186" t="str">
            <v>Town of Wibaux</v>
          </cell>
          <cell r="B186" t="str">
            <v>015501</v>
          </cell>
          <cell r="C186" t="str">
            <v>025501</v>
          </cell>
          <cell r="D186">
            <v>0</v>
          </cell>
        </row>
        <row r="187">
          <cell r="A187" t="str">
            <v>City of Billings</v>
          </cell>
          <cell r="B187" t="str">
            <v>015601</v>
          </cell>
          <cell r="C187" t="str">
            <v>025601</v>
          </cell>
          <cell r="D187">
            <v>0</v>
          </cell>
        </row>
        <row r="188">
          <cell r="A188" t="str">
            <v>Town of Broadview</v>
          </cell>
          <cell r="B188" t="str">
            <v>015601</v>
          </cell>
          <cell r="C188" t="str">
            <v>025602</v>
          </cell>
          <cell r="D188">
            <v>0</v>
          </cell>
        </row>
        <row r="189">
          <cell r="A189" t="str">
            <v>City of Laurel</v>
          </cell>
          <cell r="B189" t="str">
            <v>015601</v>
          </cell>
          <cell r="C189" t="str">
            <v>025603</v>
          </cell>
          <cell r="D189">
            <v>0</v>
          </cell>
        </row>
      </sheetData>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fsd.mt.gov/LGSB" TargetMode="External"/><Relationship Id="rId7" Type="http://schemas.openxmlformats.org/officeDocument/2006/relationships/printerSettings" Target="../printerSettings/printerSettings2.bin"/><Relationship Id="rId2" Type="http://schemas.openxmlformats.org/officeDocument/2006/relationships/hyperlink" Target="http://sfsd.mt.gov/lgsb/default.mcpx" TargetMode="External"/><Relationship Id="rId1" Type="http://schemas.openxmlformats.org/officeDocument/2006/relationships/printerSettings" Target="../printerSettings/printerSettings1.bin"/><Relationship Id="rId6" Type="http://schemas.openxmlformats.org/officeDocument/2006/relationships/hyperlink" Target="http://sfsd.mt.gov/LGSB" TargetMode="External"/><Relationship Id="rId5" Type="http://schemas.openxmlformats.org/officeDocument/2006/relationships/hyperlink" Target="http://sfsd.mt.gov/LGSB" TargetMode="External"/><Relationship Id="rId10" Type="http://schemas.openxmlformats.org/officeDocument/2006/relationships/comments" Target="../comments1.xml"/><Relationship Id="rId4" Type="http://schemas.openxmlformats.org/officeDocument/2006/relationships/hyperlink" Target="http://sfsd.mt.gov/LGSB"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comments" Target="../comments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1.png"/><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mpera.mt.gov/gasbinfoforemployers.shtml"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mpera.mt.gov/gasbinfoforemployers.s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fsd.mt.gov/LGSB" TargetMode="External"/><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s://trs.mt.gov/trs-info/NewsAnnualReports"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8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21.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0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comments" Target="../comments23.xm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4" Type="http://schemas.openxmlformats.org/officeDocument/2006/relationships/comments" Target="../comments24.xm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4" Type="http://schemas.openxmlformats.org/officeDocument/2006/relationships/comments" Target="../comments25.xm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4" Type="http://schemas.openxmlformats.org/officeDocument/2006/relationships/comments" Target="../comments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4" Type="http://schemas.openxmlformats.org/officeDocument/2006/relationships/comments" Target="../comments27.xm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4" Type="http://schemas.openxmlformats.org/officeDocument/2006/relationships/comments" Target="../comments28.xm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4" Type="http://schemas.openxmlformats.org/officeDocument/2006/relationships/comments" Target="../comments29.xm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17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304"/>
  <sheetViews>
    <sheetView zoomScaleNormal="100" workbookViewId="0">
      <selection activeCell="B215" sqref="B215"/>
    </sheetView>
  </sheetViews>
  <sheetFormatPr defaultRowHeight="12.75"/>
  <cols>
    <col min="1" max="1" width="5.5703125" customWidth="1"/>
  </cols>
  <sheetData>
    <row r="1" spans="1:14" ht="20.25">
      <c r="A1" s="808" t="s">
        <v>1239</v>
      </c>
      <c r="B1" s="786"/>
      <c r="C1" s="786"/>
      <c r="D1" s="786"/>
      <c r="E1" s="786"/>
      <c r="F1" s="786"/>
      <c r="G1" s="711"/>
      <c r="H1" s="786"/>
      <c r="I1" s="786"/>
      <c r="J1" s="786"/>
      <c r="K1" s="786"/>
      <c r="L1" s="786"/>
      <c r="M1" s="786"/>
    </row>
    <row r="2" spans="1:14" s="784" customFormat="1" ht="20.25">
      <c r="A2" s="815"/>
      <c r="B2" s="1146" t="s">
        <v>3293</v>
      </c>
      <c r="C2" s="29"/>
      <c r="D2" s="29"/>
      <c r="E2" s="29"/>
      <c r="F2" s="29"/>
      <c r="G2" s="83"/>
      <c r="H2" s="29"/>
      <c r="I2" s="29"/>
      <c r="J2" s="29"/>
      <c r="K2" s="29"/>
      <c r="L2" s="29"/>
      <c r="M2" s="29"/>
    </row>
    <row r="3" spans="1:14" s="787" customFormat="1" ht="15">
      <c r="A3" s="83"/>
      <c r="B3" s="1147" t="s">
        <v>3294</v>
      </c>
      <c r="C3" s="244"/>
      <c r="D3" s="244"/>
      <c r="E3" s="244"/>
      <c r="F3" s="244"/>
      <c r="G3" s="83"/>
      <c r="H3" s="1030" t="s">
        <v>3022</v>
      </c>
      <c r="I3" s="244"/>
      <c r="J3" s="244"/>
      <c r="K3" s="244"/>
      <c r="L3" s="244"/>
      <c r="M3" s="244"/>
    </row>
    <row r="4" spans="1:14" s="784" customFormat="1" ht="20.25">
      <c r="A4" s="815"/>
      <c r="B4" s="19" t="s">
        <v>3295</v>
      </c>
      <c r="C4" s="29"/>
      <c r="D4" s="29"/>
      <c r="E4" s="29"/>
      <c r="F4" s="29"/>
      <c r="G4" s="83"/>
      <c r="H4" s="29"/>
      <c r="I4" s="29"/>
      <c r="J4" s="29"/>
      <c r="K4" s="29"/>
      <c r="L4" s="29"/>
      <c r="M4" s="29"/>
    </row>
    <row r="5" spans="1:14" s="784" customFormat="1" ht="31.5" customHeight="1">
      <c r="A5" s="815"/>
      <c r="B5" s="1322" t="s">
        <v>3298</v>
      </c>
      <c r="C5" s="1322"/>
      <c r="D5" s="1322"/>
      <c r="E5" s="1322"/>
      <c r="F5" s="1322"/>
      <c r="G5" s="1322"/>
      <c r="H5" s="1322"/>
      <c r="I5" s="1322"/>
      <c r="J5" s="1322"/>
      <c r="K5" s="1322"/>
      <c r="L5" s="1322"/>
      <c r="M5" s="1322"/>
      <c r="N5" s="1322"/>
    </row>
    <row r="6" spans="1:14" s="784" customFormat="1" ht="22.5" customHeight="1">
      <c r="A6" s="815"/>
      <c r="B6" s="19" t="s">
        <v>3221</v>
      </c>
      <c r="C6" s="29"/>
      <c r="D6" s="29"/>
      <c r="E6" s="29"/>
      <c r="F6" s="29"/>
      <c r="G6" s="83"/>
      <c r="H6" s="29"/>
      <c r="I6" s="29"/>
      <c r="J6" s="1030"/>
      <c r="K6" s="1030"/>
      <c r="L6" s="1030" t="s">
        <v>3022</v>
      </c>
      <c r="M6" s="29"/>
    </row>
    <row r="7" spans="1:14" s="1138" customFormat="1" ht="12" customHeight="1">
      <c r="A7" s="815"/>
      <c r="B7" s="19"/>
      <c r="C7" s="29"/>
      <c r="D7" s="29"/>
      <c r="E7" s="29"/>
      <c r="F7" s="29"/>
      <c r="G7" s="83"/>
      <c r="H7" s="29"/>
      <c r="I7" s="29"/>
      <c r="J7" s="1030"/>
      <c r="K7" s="1030"/>
      <c r="L7" s="1030"/>
      <c r="M7" s="29"/>
    </row>
    <row r="8" spans="1:14" s="784" customFormat="1" ht="16.5" customHeight="1">
      <c r="A8" s="815"/>
      <c r="B8" s="19" t="s">
        <v>3291</v>
      </c>
      <c r="C8" s="29"/>
      <c r="D8" s="29"/>
      <c r="E8" s="29"/>
      <c r="F8" s="29"/>
      <c r="G8" s="83"/>
      <c r="H8" s="29"/>
      <c r="I8" s="805"/>
      <c r="J8" s="29"/>
      <c r="K8" s="805" t="s">
        <v>2724</v>
      </c>
      <c r="L8" s="29"/>
      <c r="M8" s="29"/>
    </row>
    <row r="9" spans="1:14" ht="17.25" customHeight="1">
      <c r="A9" s="237"/>
      <c r="B9" s="19" t="s">
        <v>3057</v>
      </c>
      <c r="I9" s="805"/>
      <c r="M9" s="805"/>
    </row>
    <row r="10" spans="1:14" s="1138" customFormat="1" ht="17.25" customHeight="1">
      <c r="A10" s="237"/>
      <c r="B10" s="19"/>
      <c r="C10" s="805" t="s">
        <v>3222</v>
      </c>
      <c r="I10" s="805"/>
      <c r="M10" s="805"/>
    </row>
    <row r="11" spans="1:14" s="784" customFormat="1" ht="17.25" customHeight="1">
      <c r="A11" s="237"/>
      <c r="B11" s="19"/>
      <c r="I11" s="805"/>
    </row>
    <row r="12" spans="1:14" ht="15.75">
      <c r="A12" s="117" t="s">
        <v>1240</v>
      </c>
    </row>
    <row r="13" spans="1:14" s="784" customFormat="1" ht="15.75">
      <c r="A13" s="117"/>
      <c r="B13" s="806" t="s">
        <v>2634</v>
      </c>
    </row>
    <row r="14" spans="1:14" ht="23.25">
      <c r="A14" s="117"/>
      <c r="B14" s="996" t="s">
        <v>3064</v>
      </c>
      <c r="C14" s="997"/>
      <c r="D14" s="997"/>
      <c r="E14" s="997"/>
      <c r="F14" s="997"/>
      <c r="G14" s="997"/>
    </row>
    <row r="15" spans="1:14" ht="15.75">
      <c r="A15" s="117"/>
      <c r="B15" s="807" t="s">
        <v>3296</v>
      </c>
      <c r="C15" s="796"/>
      <c r="D15" s="796"/>
      <c r="E15" s="796"/>
      <c r="F15" s="796"/>
      <c r="G15" s="796"/>
      <c r="H15" s="796"/>
      <c r="I15" s="796"/>
      <c r="J15" s="796"/>
      <c r="K15" s="796"/>
      <c r="L15" s="796"/>
      <c r="M15" s="29"/>
    </row>
    <row r="16" spans="1:14" s="784" customFormat="1" ht="15.75">
      <c r="A16" s="117"/>
      <c r="B16" s="807" t="s">
        <v>3297</v>
      </c>
      <c r="C16" s="796"/>
      <c r="D16" s="796"/>
      <c r="E16" s="796"/>
      <c r="F16" s="796"/>
      <c r="G16" s="796"/>
      <c r="H16" s="796"/>
      <c r="I16" s="796"/>
      <c r="J16" s="796"/>
      <c r="K16" s="796"/>
      <c r="L16" s="796"/>
      <c r="M16" s="29"/>
    </row>
    <row r="17" spans="1:13" s="784" customFormat="1" ht="15.75">
      <c r="A17" s="117"/>
      <c r="B17" s="721"/>
      <c r="C17" s="722"/>
      <c r="D17" s="722"/>
      <c r="E17" s="722"/>
      <c r="F17" s="722"/>
      <c r="G17" s="722"/>
      <c r="H17" s="722"/>
      <c r="I17" s="722"/>
      <c r="J17" s="722"/>
      <c r="K17" s="722"/>
      <c r="L17" s="722"/>
      <c r="M17" s="786"/>
    </row>
    <row r="18" spans="1:13" ht="15.75">
      <c r="A18" s="117"/>
      <c r="B18" s="800"/>
      <c r="C18" s="801" t="s">
        <v>2633</v>
      </c>
      <c r="D18" s="802"/>
      <c r="E18" s="802"/>
      <c r="F18" s="802"/>
      <c r="G18" s="802"/>
      <c r="H18" s="802"/>
      <c r="I18" s="802"/>
      <c r="J18" s="802"/>
      <c r="K18" s="802"/>
      <c r="L18" s="802"/>
      <c r="M18" s="802"/>
    </row>
    <row r="19" spans="1:13" s="784" customFormat="1" ht="15.75">
      <c r="A19" s="117"/>
      <c r="B19" s="803" t="s">
        <v>2626</v>
      </c>
      <c r="C19" s="803"/>
      <c r="D19" s="804"/>
      <c r="E19" s="804"/>
      <c r="F19" s="804"/>
      <c r="G19" s="804"/>
      <c r="H19" s="804"/>
      <c r="I19" s="804"/>
      <c r="J19" s="804"/>
      <c r="K19" s="804"/>
      <c r="L19" s="804"/>
      <c r="M19" s="804"/>
    </row>
    <row r="20" spans="1:13" s="784" customFormat="1" ht="15.75">
      <c r="A20" s="117"/>
      <c r="B20" s="592"/>
      <c r="C20" s="787"/>
    </row>
    <row r="21" spans="1:13" ht="15.75">
      <c r="A21" s="117"/>
      <c r="B21" s="51" t="s">
        <v>1241</v>
      </c>
    </row>
    <row r="22" spans="1:13" ht="15.75">
      <c r="A22" s="117"/>
      <c r="B22" t="s">
        <v>1242</v>
      </c>
    </row>
    <row r="23" spans="1:13" ht="15.75">
      <c r="A23" s="117"/>
    </row>
    <row r="24" spans="1:13" ht="15.75">
      <c r="A24" s="117"/>
      <c r="B24" s="19" t="s">
        <v>1976</v>
      </c>
    </row>
    <row r="25" spans="1:13" ht="15.75">
      <c r="A25" s="117"/>
      <c r="B25" t="s">
        <v>1243</v>
      </c>
    </row>
    <row r="26" spans="1:13" ht="15.75">
      <c r="A26" s="117"/>
      <c r="B26" s="51" t="s">
        <v>1966</v>
      </c>
    </row>
    <row r="27" spans="1:13" ht="15.75">
      <c r="A27" s="117"/>
      <c r="B27" s="787" t="s">
        <v>2644</v>
      </c>
    </row>
    <row r="28" spans="1:13" ht="15.75">
      <c r="A28" s="117"/>
    </row>
    <row r="29" spans="1:13" ht="15.75">
      <c r="A29" s="117"/>
      <c r="B29" s="18" t="s">
        <v>2630</v>
      </c>
    </row>
    <row r="30" spans="1:13">
      <c r="B30" s="787" t="s">
        <v>2646</v>
      </c>
    </row>
    <row r="31" spans="1:13">
      <c r="B31" s="787" t="s">
        <v>2629</v>
      </c>
    </row>
    <row r="32" spans="1:13">
      <c r="B32" s="711"/>
      <c r="C32" s="32"/>
      <c r="D32" s="32"/>
      <c r="E32" s="32"/>
      <c r="F32" s="32"/>
      <c r="G32" s="32"/>
      <c r="H32" s="32"/>
      <c r="I32" s="32"/>
      <c r="J32" s="32"/>
      <c r="K32" s="32"/>
    </row>
    <row r="33" spans="1:11">
      <c r="B33" s="717" t="s">
        <v>2628</v>
      </c>
      <c r="C33" s="718"/>
      <c r="D33" s="718"/>
      <c r="E33" s="718"/>
      <c r="F33" s="718"/>
      <c r="G33" s="718"/>
      <c r="H33" s="718"/>
      <c r="I33" s="718"/>
      <c r="J33" s="718"/>
      <c r="K33" s="718"/>
    </row>
    <row r="34" spans="1:11">
      <c r="A34" s="19"/>
      <c r="B34" s="51" t="s">
        <v>1244</v>
      </c>
    </row>
    <row r="35" spans="1:11">
      <c r="B35" s="51" t="s">
        <v>2625</v>
      </c>
    </row>
    <row r="36" spans="1:11">
      <c r="B36" s="51"/>
    </row>
    <row r="37" spans="1:11">
      <c r="B37" s="51" t="s">
        <v>1245</v>
      </c>
    </row>
    <row r="38" spans="1:11">
      <c r="B38" s="51" t="s">
        <v>2627</v>
      </c>
    </row>
    <row r="39" spans="1:11">
      <c r="B39" s="19"/>
    </row>
    <row r="40" spans="1:11" ht="15.75">
      <c r="A40" s="117" t="s">
        <v>1246</v>
      </c>
    </row>
    <row r="41" spans="1:11" ht="15.75">
      <c r="A41" s="117"/>
    </row>
    <row r="42" spans="1:11">
      <c r="B42" s="19" t="s">
        <v>1247</v>
      </c>
    </row>
    <row r="43" spans="1:11">
      <c r="B43" s="787" t="s">
        <v>2651</v>
      </c>
    </row>
    <row r="44" spans="1:11" ht="15.75">
      <c r="B44" s="6" t="s">
        <v>2639</v>
      </c>
      <c r="C44" s="6"/>
    </row>
    <row r="45" spans="1:11" s="784" customFormat="1" ht="15">
      <c r="B45" s="118" t="s">
        <v>3053</v>
      </c>
    </row>
    <row r="47" spans="1:11">
      <c r="B47" s="19" t="s">
        <v>281</v>
      </c>
    </row>
    <row r="48" spans="1:11">
      <c r="B48" s="51" t="s">
        <v>2640</v>
      </c>
    </row>
    <row r="50" spans="2:5">
      <c r="B50" s="19" t="s">
        <v>1248</v>
      </c>
    </row>
    <row r="51" spans="2:5">
      <c r="B51" s="19" t="s">
        <v>1733</v>
      </c>
    </row>
    <row r="52" spans="2:5">
      <c r="B52" s="18" t="s">
        <v>2610</v>
      </c>
      <c r="C52" s="18"/>
      <c r="D52" s="18"/>
      <c r="E52" s="18"/>
    </row>
    <row r="54" spans="2:5">
      <c r="B54" s="19" t="s">
        <v>1249</v>
      </c>
    </row>
    <row r="55" spans="2:5">
      <c r="B55" s="51" t="s">
        <v>1250</v>
      </c>
    </row>
    <row r="56" spans="2:5">
      <c r="B56" s="51" t="s">
        <v>3158</v>
      </c>
    </row>
    <row r="57" spans="2:5">
      <c r="B57" s="19" t="s">
        <v>3159</v>
      </c>
    </row>
    <row r="58" spans="2:5" ht="14.25" customHeight="1">
      <c r="B58" s="19" t="s">
        <v>3160</v>
      </c>
    </row>
    <row r="59" spans="2:5">
      <c r="B59" s="19"/>
    </row>
    <row r="60" spans="2:5">
      <c r="B60" s="19"/>
    </row>
    <row r="61" spans="2:5">
      <c r="B61" s="19" t="s">
        <v>3157</v>
      </c>
    </row>
    <row r="62" spans="2:5">
      <c r="B62" s="51" t="s">
        <v>1251</v>
      </c>
    </row>
    <row r="63" spans="2:5">
      <c r="B63" s="51" t="s">
        <v>1735</v>
      </c>
    </row>
    <row r="64" spans="2:5">
      <c r="B64" s="51" t="s">
        <v>1734</v>
      </c>
    </row>
    <row r="65" spans="1:2">
      <c r="B65" t="s">
        <v>1252</v>
      </c>
    </row>
    <row r="66" spans="1:2">
      <c r="B66" t="s">
        <v>1253</v>
      </c>
    </row>
    <row r="68" spans="1:2" ht="15.75">
      <c r="A68" s="117" t="s">
        <v>1254</v>
      </c>
    </row>
    <row r="70" spans="1:2">
      <c r="B70" s="19" t="s">
        <v>1255</v>
      </c>
    </row>
    <row r="72" spans="1:2" ht="12.75" customHeight="1">
      <c r="B72" s="19" t="s">
        <v>1256</v>
      </c>
    </row>
    <row r="73" spans="1:2" ht="12.75" customHeight="1">
      <c r="B73" t="s">
        <v>1257</v>
      </c>
    </row>
    <row r="74" spans="1:2">
      <c r="B74" t="s">
        <v>1258</v>
      </c>
    </row>
    <row r="75" spans="1:2">
      <c r="B75" s="51" t="s">
        <v>1965</v>
      </c>
    </row>
    <row r="76" spans="1:2">
      <c r="B76" s="51" t="s">
        <v>1964</v>
      </c>
    </row>
    <row r="77" spans="1:2">
      <c r="B77" t="s">
        <v>1259</v>
      </c>
    </row>
    <row r="78" spans="1:2">
      <c r="B78" t="s">
        <v>1260</v>
      </c>
    </row>
    <row r="80" spans="1:2">
      <c r="B80" s="19" t="s">
        <v>1261</v>
      </c>
    </row>
    <row r="81" spans="2:7">
      <c r="B81" t="s">
        <v>1262</v>
      </c>
    </row>
    <row r="82" spans="2:7">
      <c r="B82" t="s">
        <v>1263</v>
      </c>
    </row>
    <row r="83" spans="2:7">
      <c r="B83" s="51" t="s">
        <v>1736</v>
      </c>
    </row>
    <row r="84" spans="2:7">
      <c r="B84" s="787" t="s">
        <v>2647</v>
      </c>
    </row>
    <row r="86" spans="2:7">
      <c r="B86" s="19" t="s">
        <v>1264</v>
      </c>
    </row>
    <row r="87" spans="2:7">
      <c r="B87" t="s">
        <v>1265</v>
      </c>
    </row>
    <row r="88" spans="2:7">
      <c r="C88" t="s">
        <v>1266</v>
      </c>
      <c r="G88" t="s">
        <v>1267</v>
      </c>
    </row>
    <row r="89" spans="2:7">
      <c r="C89" t="s">
        <v>1268</v>
      </c>
      <c r="G89" t="s">
        <v>1269</v>
      </c>
    </row>
    <row r="90" spans="2:7">
      <c r="C90" t="s">
        <v>1270</v>
      </c>
      <c r="G90" t="s">
        <v>1271</v>
      </c>
    </row>
    <row r="91" spans="2:7">
      <c r="C91" t="s">
        <v>1272</v>
      </c>
      <c r="G91" t="s">
        <v>3163</v>
      </c>
    </row>
    <row r="92" spans="2:7">
      <c r="C92" t="s">
        <v>1273</v>
      </c>
      <c r="G92" t="s">
        <v>3161</v>
      </c>
    </row>
    <row r="93" spans="2:7">
      <c r="C93" t="s">
        <v>1274</v>
      </c>
      <c r="G93" t="s">
        <v>3162</v>
      </c>
    </row>
    <row r="95" spans="2:7">
      <c r="B95" s="19" t="s">
        <v>1275</v>
      </c>
    </row>
    <row r="96" spans="2:7">
      <c r="B96" s="19" t="s">
        <v>1276</v>
      </c>
    </row>
    <row r="97" spans="2:15" s="784" customFormat="1" ht="15.75">
      <c r="B97" s="8" t="s">
        <v>2631</v>
      </c>
    </row>
    <row r="98" spans="2:15">
      <c r="B98" s="51" t="s">
        <v>2613</v>
      </c>
    </row>
    <row r="99" spans="2:15">
      <c r="B99" t="s">
        <v>1748</v>
      </c>
    </row>
    <row r="100" spans="2:15">
      <c r="B100" s="51" t="s">
        <v>2641</v>
      </c>
    </row>
    <row r="101" spans="2:15">
      <c r="B101" t="s">
        <v>1277</v>
      </c>
    </row>
    <row r="102" spans="2:15">
      <c r="B102" t="s">
        <v>1278</v>
      </c>
    </row>
    <row r="103" spans="2:15">
      <c r="B103" s="19" t="s">
        <v>3164</v>
      </c>
    </row>
    <row r="104" spans="2:15">
      <c r="B104" s="19" t="s">
        <v>3165</v>
      </c>
    </row>
    <row r="105" spans="2:15">
      <c r="B105" s="51"/>
    </row>
    <row r="106" spans="2:15">
      <c r="B106" s="19" t="s">
        <v>1279</v>
      </c>
    </row>
    <row r="107" spans="2:15">
      <c r="B107" t="s">
        <v>1280</v>
      </c>
    </row>
    <row r="108" spans="2:15">
      <c r="B108" s="51" t="s">
        <v>2632</v>
      </c>
    </row>
    <row r="109" spans="2:15">
      <c r="B109" s="51" t="s">
        <v>1644</v>
      </c>
      <c r="O109" t="s">
        <v>1749</v>
      </c>
    </row>
    <row r="110" spans="2:15" ht="15">
      <c r="B110" s="805" t="s">
        <v>3025</v>
      </c>
    </row>
    <row r="112" spans="2:15">
      <c r="B112" s="19" t="s">
        <v>1281</v>
      </c>
    </row>
    <row r="113" spans="2:2">
      <c r="B113" t="s">
        <v>3166</v>
      </c>
    </row>
    <row r="114" spans="2:2">
      <c r="B114" t="s">
        <v>3167</v>
      </c>
    </row>
    <row r="115" spans="2:2">
      <c r="B115" t="s">
        <v>1282</v>
      </c>
    </row>
    <row r="116" spans="2:2">
      <c r="B116" s="787" t="s">
        <v>2642</v>
      </c>
    </row>
    <row r="117" spans="2:2">
      <c r="B117" t="s">
        <v>1283</v>
      </c>
    </row>
    <row r="118" spans="2:2">
      <c r="B118" t="s">
        <v>1284</v>
      </c>
    </row>
    <row r="120" spans="2:2">
      <c r="B120" s="19" t="s">
        <v>1285</v>
      </c>
    </row>
    <row r="121" spans="2:2">
      <c r="B121" t="s">
        <v>3168</v>
      </c>
    </row>
    <row r="122" spans="2:2">
      <c r="B122" t="s">
        <v>3169</v>
      </c>
    </row>
    <row r="124" spans="2:2">
      <c r="B124" s="19" t="s">
        <v>3170</v>
      </c>
    </row>
    <row r="125" spans="2:2">
      <c r="B125" t="s">
        <v>1286</v>
      </c>
    </row>
    <row r="127" spans="2:2">
      <c r="B127" s="19" t="s">
        <v>1287</v>
      </c>
    </row>
    <row r="128" spans="2:2">
      <c r="B128" s="51" t="s">
        <v>3171</v>
      </c>
    </row>
    <row r="129" spans="2:2">
      <c r="B129" s="51" t="s">
        <v>1288</v>
      </c>
    </row>
    <row r="130" spans="2:2">
      <c r="B130" s="51" t="s">
        <v>3172</v>
      </c>
    </row>
    <row r="131" spans="2:2">
      <c r="B131" s="51" t="s">
        <v>1289</v>
      </c>
    </row>
    <row r="132" spans="2:2">
      <c r="B132" s="51" t="s">
        <v>3173</v>
      </c>
    </row>
    <row r="133" spans="2:2">
      <c r="B133" s="51" t="s">
        <v>1290</v>
      </c>
    </row>
    <row r="135" spans="2:2">
      <c r="B135" s="19" t="s">
        <v>1291</v>
      </c>
    </row>
    <row r="136" spans="2:2">
      <c r="B136" t="s">
        <v>3174</v>
      </c>
    </row>
    <row r="137" spans="2:2">
      <c r="B137" t="s">
        <v>3175</v>
      </c>
    </row>
    <row r="138" spans="2:2">
      <c r="B138" s="51" t="s">
        <v>3176</v>
      </c>
    </row>
    <row r="140" spans="2:2">
      <c r="B140" s="19" t="s">
        <v>1292</v>
      </c>
    </row>
    <row r="141" spans="2:2">
      <c r="B141" t="s">
        <v>3177</v>
      </c>
    </row>
    <row r="142" spans="2:2">
      <c r="B142" t="s">
        <v>3178</v>
      </c>
    </row>
    <row r="143" spans="2:2">
      <c r="B143" s="51" t="s">
        <v>3179</v>
      </c>
    </row>
    <row r="145" spans="2:2">
      <c r="B145" s="19" t="s">
        <v>1293</v>
      </c>
    </row>
    <row r="146" spans="2:2">
      <c r="B146" t="s">
        <v>1294</v>
      </c>
    </row>
    <row r="147" spans="2:2">
      <c r="B147" t="s">
        <v>1295</v>
      </c>
    </row>
    <row r="149" spans="2:2">
      <c r="B149" s="19" t="s">
        <v>1296</v>
      </c>
    </row>
    <row r="150" spans="2:2">
      <c r="B150" t="s">
        <v>1297</v>
      </c>
    </row>
    <row r="152" spans="2:2">
      <c r="B152" s="19" t="s">
        <v>1298</v>
      </c>
    </row>
    <row r="153" spans="2:2">
      <c r="B153" t="s">
        <v>3180</v>
      </c>
    </row>
    <row r="154" spans="2:2" hidden="1">
      <c r="B154" t="s">
        <v>1299</v>
      </c>
    </row>
    <row r="155" spans="2:2">
      <c r="B155" s="51" t="s">
        <v>3181</v>
      </c>
    </row>
    <row r="156" spans="2:2">
      <c r="B156" t="s">
        <v>3182</v>
      </c>
    </row>
    <row r="158" spans="2:2">
      <c r="B158" s="236" t="s">
        <v>1300</v>
      </c>
    </row>
    <row r="159" spans="2:2">
      <c r="B159" s="236"/>
    </row>
    <row r="160" spans="2:2">
      <c r="B160" s="19" t="s">
        <v>1301</v>
      </c>
    </row>
    <row r="161" spans="2:2">
      <c r="B161" t="s">
        <v>1832</v>
      </c>
    </row>
    <row r="162" spans="2:2">
      <c r="B162" t="s">
        <v>1833</v>
      </c>
    </row>
    <row r="163" spans="2:2">
      <c r="B163" t="s">
        <v>3183</v>
      </c>
    </row>
    <row r="164" spans="2:2">
      <c r="B164" t="s">
        <v>1834</v>
      </c>
    </row>
    <row r="165" spans="2:2">
      <c r="B165" t="s">
        <v>1302</v>
      </c>
    </row>
    <row r="166" spans="2:2">
      <c r="B166" t="s">
        <v>1303</v>
      </c>
    </row>
    <row r="167" spans="2:2">
      <c r="B167" t="s">
        <v>1304</v>
      </c>
    </row>
    <row r="169" spans="2:2">
      <c r="B169" s="19" t="s">
        <v>1305</v>
      </c>
    </row>
    <row r="170" spans="2:2">
      <c r="B170" t="s">
        <v>3184</v>
      </c>
    </row>
    <row r="171" spans="2:2">
      <c r="B171" t="s">
        <v>1834</v>
      </c>
    </row>
    <row r="173" spans="2:2">
      <c r="B173" s="19" t="s">
        <v>1306</v>
      </c>
    </row>
    <row r="174" spans="2:2">
      <c r="B174" t="s">
        <v>1307</v>
      </c>
    </row>
    <row r="175" spans="2:2">
      <c r="B175" t="s">
        <v>1835</v>
      </c>
    </row>
    <row r="176" spans="2:2">
      <c r="B176" t="s">
        <v>1836</v>
      </c>
    </row>
    <row r="178" spans="1:2">
      <c r="B178" s="19" t="s">
        <v>1308</v>
      </c>
    </row>
    <row r="179" spans="1:2">
      <c r="B179" s="51" t="s">
        <v>2614</v>
      </c>
    </row>
    <row r="180" spans="1:2">
      <c r="B180" s="51" t="s">
        <v>3218</v>
      </c>
    </row>
    <row r="182" spans="1:2">
      <c r="B182" s="19" t="s">
        <v>3219</v>
      </c>
    </row>
    <row r="183" spans="1:2">
      <c r="B183" s="19"/>
    </row>
    <row r="184" spans="1:2">
      <c r="B184" s="19" t="s">
        <v>1309</v>
      </c>
    </row>
    <row r="185" spans="1:2">
      <c r="B185" s="51" t="s">
        <v>1310</v>
      </c>
    </row>
    <row r="186" spans="1:2">
      <c r="B186" s="51"/>
    </row>
    <row r="187" spans="1:2">
      <c r="B187" s="19"/>
    </row>
    <row r="188" spans="1:2">
      <c r="B188" s="51"/>
    </row>
    <row r="189" spans="1:2">
      <c r="B189" s="51"/>
    </row>
    <row r="190" spans="1:2">
      <c r="B190" s="51"/>
    </row>
    <row r="192" spans="1:2" ht="15.75">
      <c r="A192" s="117" t="s">
        <v>1311</v>
      </c>
    </row>
    <row r="193" spans="2:2">
      <c r="B193" s="19" t="s">
        <v>1886</v>
      </c>
    </row>
    <row r="194" spans="2:2">
      <c r="B194" s="51" t="s">
        <v>1887</v>
      </c>
    </row>
    <row r="195" spans="2:2">
      <c r="B195" t="s">
        <v>501</v>
      </c>
    </row>
    <row r="196" spans="2:2">
      <c r="B196" s="51" t="s">
        <v>1553</v>
      </c>
    </row>
    <row r="198" spans="2:2">
      <c r="B198" s="19" t="s">
        <v>502</v>
      </c>
    </row>
    <row r="199" spans="2:2">
      <c r="B199" t="s">
        <v>503</v>
      </c>
    </row>
    <row r="200" spans="2:2">
      <c r="B200" s="51" t="s">
        <v>3231</v>
      </c>
    </row>
    <row r="202" spans="2:2">
      <c r="B202" s="19" t="s">
        <v>504</v>
      </c>
    </row>
    <row r="203" spans="2:2">
      <c r="B203" t="s">
        <v>505</v>
      </c>
    </row>
    <row r="204" spans="2:2">
      <c r="B204" t="s">
        <v>506</v>
      </c>
    </row>
    <row r="205" spans="2:2">
      <c r="B205" t="s">
        <v>507</v>
      </c>
    </row>
    <row r="206" spans="2:2">
      <c r="B206" s="51" t="s">
        <v>1888</v>
      </c>
    </row>
    <row r="207" spans="2:2">
      <c r="B207" s="51" t="s">
        <v>1889</v>
      </c>
    </row>
    <row r="208" spans="2:2">
      <c r="B208" s="51" t="s">
        <v>2643</v>
      </c>
    </row>
    <row r="210" spans="1:2">
      <c r="B210" s="19" t="s">
        <v>508</v>
      </c>
    </row>
    <row r="211" spans="1:2">
      <c r="B211" s="787" t="s">
        <v>3640</v>
      </c>
    </row>
    <row r="212" spans="1:2">
      <c r="B212" t="s">
        <v>509</v>
      </c>
    </row>
    <row r="213" spans="1:2">
      <c r="B213" t="s">
        <v>510</v>
      </c>
    </row>
    <row r="215" spans="1:2">
      <c r="B215" s="51" t="s">
        <v>3185</v>
      </c>
    </row>
    <row r="217" spans="1:2" ht="15.75">
      <c r="A217" s="117" t="s">
        <v>1971</v>
      </c>
    </row>
    <row r="218" spans="1:2">
      <c r="B218" s="19" t="s">
        <v>1961</v>
      </c>
    </row>
    <row r="219" spans="1:2">
      <c r="B219" s="51" t="s">
        <v>1962</v>
      </c>
    </row>
    <row r="220" spans="1:2">
      <c r="B220" s="19" t="s">
        <v>1769</v>
      </c>
    </row>
    <row r="221" spans="1:2">
      <c r="B221" s="19" t="s">
        <v>1963</v>
      </c>
    </row>
    <row r="222" spans="1:2">
      <c r="B222" s="51" t="s">
        <v>2635</v>
      </c>
    </row>
    <row r="223" spans="1:2">
      <c r="B223" s="51"/>
    </row>
    <row r="224" spans="1:2">
      <c r="B224" s="19" t="s">
        <v>2648</v>
      </c>
    </row>
    <row r="225" spans="2:12" ht="15">
      <c r="B225" s="805" t="s">
        <v>3022</v>
      </c>
    </row>
    <row r="226" spans="2:12" ht="12.6" customHeight="1"/>
    <row r="227" spans="2:12">
      <c r="B227" s="553" t="s">
        <v>1777</v>
      </c>
      <c r="C227" s="713"/>
      <c r="D227" s="713"/>
      <c r="E227" s="713"/>
      <c r="F227" s="713"/>
      <c r="G227" s="713"/>
      <c r="H227" s="712"/>
      <c r="I227" s="712"/>
      <c r="J227" s="712"/>
      <c r="K227" s="712"/>
    </row>
    <row r="228" spans="2:12">
      <c r="B228" s="553" t="s">
        <v>1770</v>
      </c>
      <c r="C228" s="713"/>
      <c r="D228" s="713"/>
      <c r="E228" s="713"/>
      <c r="F228" s="713"/>
      <c r="G228" s="713"/>
      <c r="H228" s="712"/>
      <c r="I228" s="712"/>
      <c r="J228" s="712"/>
      <c r="K228" s="712"/>
    </row>
    <row r="229" spans="2:12">
      <c r="B229" s="553" t="s">
        <v>1552</v>
      </c>
      <c r="C229" s="713"/>
      <c r="D229" s="713"/>
      <c r="E229" s="713"/>
      <c r="F229" s="713"/>
      <c r="G229" s="713"/>
      <c r="H229" s="712"/>
      <c r="I229" s="712"/>
      <c r="J229" s="712"/>
      <c r="K229" s="712"/>
    </row>
    <row r="230" spans="2:12">
      <c r="B230" s="553" t="s">
        <v>1771</v>
      </c>
      <c r="C230" s="713"/>
      <c r="D230" s="713"/>
      <c r="E230" s="713"/>
      <c r="F230" s="713"/>
      <c r="G230" s="713"/>
      <c r="H230" s="712"/>
      <c r="I230" s="712"/>
      <c r="J230" s="712"/>
      <c r="K230" s="712"/>
    </row>
    <row r="231" spans="2:12">
      <c r="B231" s="554" t="s">
        <v>1778</v>
      </c>
      <c r="C231" s="713"/>
      <c r="D231" s="713"/>
      <c r="E231" s="713"/>
      <c r="F231" s="713"/>
      <c r="G231" s="713"/>
      <c r="H231" s="712"/>
      <c r="I231" s="712"/>
      <c r="J231" s="712"/>
      <c r="K231" s="712"/>
    </row>
    <row r="232" spans="2:12">
      <c r="B232" s="553"/>
      <c r="C232" s="713"/>
      <c r="D232" s="713"/>
      <c r="E232" s="713"/>
      <c r="F232" s="713"/>
      <c r="G232" s="713"/>
      <c r="H232" s="712"/>
      <c r="I232" s="712"/>
      <c r="J232" s="712"/>
      <c r="K232" s="712"/>
      <c r="L232" s="51"/>
    </row>
    <row r="233" spans="2:12">
      <c r="B233" s="714" t="s">
        <v>1969</v>
      </c>
    </row>
    <row r="234" spans="2:12">
      <c r="B234" s="51" t="s">
        <v>1967</v>
      </c>
    </row>
    <row r="235" spans="2:12">
      <c r="B235" s="51" t="s">
        <v>1968</v>
      </c>
    </row>
    <row r="237" spans="2:12">
      <c r="B237" s="51" t="s">
        <v>1970</v>
      </c>
    </row>
    <row r="238" spans="2:12">
      <c r="B238" s="51" t="s">
        <v>2645</v>
      </c>
    </row>
    <row r="241" spans="1:14" ht="15.75">
      <c r="A241" s="715" t="s">
        <v>3058</v>
      </c>
      <c r="B241" s="716"/>
      <c r="C241" s="716"/>
      <c r="D241" s="716"/>
    </row>
    <row r="242" spans="1:14">
      <c r="B242" s="714" t="s">
        <v>2649</v>
      </c>
      <c r="C242" s="714"/>
      <c r="D242" s="258"/>
      <c r="E242" s="258"/>
      <c r="F242" s="258"/>
      <c r="G242" s="258"/>
      <c r="H242" s="258"/>
      <c r="I242" s="258"/>
      <c r="J242" s="258"/>
    </row>
    <row r="243" spans="1:14">
      <c r="B243" s="714" t="s">
        <v>1973</v>
      </c>
      <c r="C243" s="714"/>
      <c r="D243" s="258"/>
      <c r="E243" s="258"/>
      <c r="F243" s="258"/>
      <c r="G243" s="258"/>
      <c r="H243" s="258"/>
      <c r="I243" s="258"/>
      <c r="J243" s="258"/>
    </row>
    <row r="244" spans="1:14">
      <c r="B244" s="714" t="s">
        <v>1972</v>
      </c>
      <c r="C244" s="714"/>
      <c r="D244" s="258"/>
      <c r="E244" s="258"/>
      <c r="F244" s="258"/>
      <c r="G244" s="258"/>
      <c r="H244" s="258"/>
      <c r="I244" s="258"/>
      <c r="J244" s="258"/>
    </row>
    <row r="245" spans="1:14">
      <c r="B245" s="714" t="s">
        <v>1974</v>
      </c>
      <c r="C245" s="714"/>
      <c r="D245" s="258"/>
      <c r="E245" s="258"/>
      <c r="F245" s="258"/>
      <c r="G245" s="258"/>
      <c r="H245" s="258"/>
      <c r="I245" s="258"/>
      <c r="J245" s="258"/>
    </row>
    <row r="246" spans="1:14">
      <c r="B246" s="553" t="s">
        <v>1975</v>
      </c>
      <c r="C246" s="258"/>
      <c r="D246" s="258"/>
      <c r="E246" s="258"/>
      <c r="F246" s="258"/>
      <c r="G246" s="258"/>
      <c r="H246" s="258"/>
      <c r="I246" s="258"/>
      <c r="J246" s="258"/>
    </row>
    <row r="247" spans="1:14">
      <c r="B247" s="553" t="s">
        <v>3186</v>
      </c>
      <c r="C247" s="714"/>
      <c r="D247" s="258"/>
      <c r="E247" s="258"/>
      <c r="F247" s="258"/>
      <c r="G247" s="258"/>
      <c r="H247" s="258"/>
      <c r="I247" s="258"/>
      <c r="J247" s="258"/>
    </row>
    <row r="248" spans="1:14">
      <c r="B248" s="714" t="s">
        <v>3220</v>
      </c>
      <c r="C248" s="258"/>
      <c r="D248" s="258"/>
      <c r="E248" s="258"/>
      <c r="F248" s="258"/>
      <c r="G248" s="258"/>
      <c r="H248" s="258"/>
      <c r="I248" s="258"/>
      <c r="J248" s="258"/>
    </row>
    <row r="249" spans="1:14">
      <c r="A249" s="786"/>
      <c r="B249" s="786"/>
      <c r="C249" s="786"/>
      <c r="D249" s="786"/>
      <c r="E249" s="786"/>
      <c r="F249" s="786"/>
      <c r="G249" s="786"/>
      <c r="H249" s="786"/>
      <c r="I249" s="786"/>
      <c r="J249" s="786"/>
      <c r="K249" s="786"/>
      <c r="L249" s="786"/>
      <c r="M249" s="786"/>
      <c r="N249" s="786"/>
    </row>
    <row r="250" spans="1:14" ht="18.75" thickBot="1">
      <c r="A250" s="809" t="s">
        <v>3292</v>
      </c>
      <c r="B250" s="810"/>
      <c r="C250" s="811"/>
      <c r="D250" s="811"/>
      <c r="E250" s="811"/>
      <c r="F250" s="811"/>
      <c r="G250" s="811"/>
      <c r="H250" s="811"/>
      <c r="I250" s="811"/>
      <c r="J250" s="811"/>
      <c r="K250" s="811"/>
      <c r="L250" s="811"/>
      <c r="M250" s="811"/>
      <c r="N250" s="811"/>
    </row>
    <row r="251" spans="1:14" ht="15" hidden="1">
      <c r="A251" s="662"/>
      <c r="B251" s="797"/>
      <c r="C251" s="784"/>
    </row>
    <row r="252" spans="1:14" ht="15.75" hidden="1">
      <c r="A252" s="663"/>
      <c r="B252" s="797"/>
      <c r="C252" s="784"/>
    </row>
    <row r="253" spans="1:14" s="784" customFormat="1" ht="15.75">
      <c r="A253" s="663" t="s">
        <v>3067</v>
      </c>
      <c r="B253" s="1020"/>
    </row>
    <row r="254" spans="1:14" ht="15">
      <c r="A254" s="662" t="s">
        <v>1918</v>
      </c>
      <c r="B254" s="797"/>
      <c r="C254" s="784"/>
    </row>
    <row r="255" spans="1:14" ht="15">
      <c r="A255" s="662"/>
      <c r="B255" s="797"/>
      <c r="C255" s="784"/>
    </row>
    <row r="256" spans="1:14" ht="15.75">
      <c r="A256" s="664" t="s">
        <v>1919</v>
      </c>
      <c r="B256" s="797"/>
      <c r="C256" s="784"/>
    </row>
    <row r="257" spans="1:3" ht="15.75">
      <c r="A257" s="8" t="s">
        <v>1920</v>
      </c>
      <c r="B257" s="797"/>
      <c r="C257" s="784"/>
    </row>
    <row r="258" spans="1:3" ht="15">
      <c r="A258" s="6" t="s">
        <v>1921</v>
      </c>
      <c r="B258" s="797"/>
      <c r="C258" s="784"/>
    </row>
    <row r="259" spans="1:3" ht="15">
      <c r="A259" s="6"/>
      <c r="B259" s="797"/>
      <c r="C259" s="784"/>
    </row>
    <row r="260" spans="1:3" ht="15.75">
      <c r="A260" s="8" t="s">
        <v>1692</v>
      </c>
      <c r="B260" s="797"/>
      <c r="C260" s="784"/>
    </row>
    <row r="261" spans="1:3" ht="15">
      <c r="A261" s="6" t="s">
        <v>1922</v>
      </c>
      <c r="B261" s="797"/>
      <c r="C261" s="784"/>
    </row>
    <row r="262" spans="1:3" ht="15">
      <c r="A262" s="6" t="s">
        <v>1923</v>
      </c>
      <c r="B262" s="784"/>
      <c r="C262" s="784"/>
    </row>
    <row r="263" spans="1:3" ht="15">
      <c r="A263" s="6" t="s">
        <v>1924</v>
      </c>
      <c r="B263" s="784"/>
      <c r="C263" s="784"/>
    </row>
    <row r="264" spans="1:3" ht="15">
      <c r="A264" s="6" t="s">
        <v>1925</v>
      </c>
      <c r="B264" s="784"/>
      <c r="C264" s="784"/>
    </row>
    <row r="265" spans="1:3" ht="15">
      <c r="A265" s="6" t="s">
        <v>1926</v>
      </c>
      <c r="B265" s="784"/>
      <c r="C265" s="784"/>
    </row>
    <row r="266" spans="1:3" ht="15">
      <c r="A266" s="6" t="s">
        <v>1927</v>
      </c>
      <c r="B266" s="784"/>
      <c r="C266" s="784"/>
    </row>
    <row r="267" spans="1:3" ht="15">
      <c r="A267" s="6" t="s">
        <v>1928</v>
      </c>
      <c r="B267" s="784"/>
      <c r="C267" s="784"/>
    </row>
    <row r="268" spans="1:3" ht="15">
      <c r="A268" s="6" t="s">
        <v>1929</v>
      </c>
      <c r="B268" s="784"/>
      <c r="C268" s="784"/>
    </row>
    <row r="269" spans="1:3" ht="15">
      <c r="A269" s="6" t="s">
        <v>1930</v>
      </c>
      <c r="B269" s="784"/>
      <c r="C269" s="784"/>
    </row>
    <row r="270" spans="1:3" ht="15.75">
      <c r="A270" s="8" t="s">
        <v>2650</v>
      </c>
      <c r="B270" s="784"/>
      <c r="C270" s="784"/>
    </row>
    <row r="271" spans="1:3" ht="15">
      <c r="A271" s="6" t="s">
        <v>1931</v>
      </c>
      <c r="B271" s="784"/>
      <c r="C271" s="784"/>
    </row>
    <row r="272" spans="1:3" ht="15">
      <c r="A272" s="6" t="s">
        <v>1932</v>
      </c>
      <c r="B272" s="784"/>
      <c r="C272" s="784"/>
    </row>
    <row r="273" spans="1:3" ht="15">
      <c r="A273" s="6" t="s">
        <v>1933</v>
      </c>
      <c r="B273" s="784"/>
      <c r="C273" s="784"/>
    </row>
    <row r="274" spans="1:3" ht="15">
      <c r="A274" s="6" t="s">
        <v>1934</v>
      </c>
      <c r="B274" s="784"/>
      <c r="C274" s="784"/>
    </row>
    <row r="275" spans="1:3" ht="15">
      <c r="A275" s="6"/>
      <c r="B275" s="784"/>
      <c r="C275" s="784"/>
    </row>
    <row r="276" spans="1:3" ht="15.75">
      <c r="A276" s="8" t="s">
        <v>1935</v>
      </c>
      <c r="B276" s="784"/>
      <c r="C276" s="784"/>
    </row>
    <row r="277" spans="1:3" ht="15">
      <c r="A277" s="6" t="s">
        <v>1952</v>
      </c>
      <c r="B277" s="784"/>
      <c r="C277" s="784"/>
    </row>
    <row r="278" spans="1:3" ht="14.25">
      <c r="A278" s="118"/>
      <c r="B278" s="784"/>
      <c r="C278" s="784"/>
    </row>
    <row r="279" spans="1:3" ht="15.75">
      <c r="A279" s="8" t="s">
        <v>1936</v>
      </c>
      <c r="B279" s="784"/>
      <c r="C279" s="784"/>
    </row>
    <row r="280" spans="1:3" ht="15">
      <c r="A280" s="6" t="s">
        <v>1937</v>
      </c>
      <c r="B280" s="784"/>
      <c r="C280" s="784"/>
    </row>
    <row r="281" spans="1:3" ht="15">
      <c r="A281" s="6" t="s">
        <v>1938</v>
      </c>
      <c r="B281" s="784"/>
      <c r="C281" s="784"/>
    </row>
    <row r="282" spans="1:3" ht="15">
      <c r="A282" s="6" t="s">
        <v>1939</v>
      </c>
      <c r="B282" s="784"/>
      <c r="C282" s="784"/>
    </row>
    <row r="283" spans="1:3" ht="15">
      <c r="A283" s="6" t="s">
        <v>1940</v>
      </c>
      <c r="B283" s="784"/>
      <c r="C283" s="784"/>
    </row>
    <row r="284" spans="1:3" ht="15">
      <c r="A284" s="6"/>
      <c r="B284" s="784"/>
      <c r="C284" s="784"/>
    </row>
    <row r="285" spans="1:3" ht="15">
      <c r="A285" s="6"/>
      <c r="B285" s="784"/>
      <c r="C285" s="784"/>
    </row>
    <row r="286" spans="1:3" ht="15.75">
      <c r="A286" s="664" t="s">
        <v>1941</v>
      </c>
      <c r="B286" s="784"/>
      <c r="C286" s="784"/>
    </row>
    <row r="287" spans="1:3" ht="15.75">
      <c r="A287" s="6" t="s">
        <v>1942</v>
      </c>
      <c r="B287" s="784"/>
      <c r="C287" s="784"/>
    </row>
    <row r="288" spans="1:3" ht="15">
      <c r="A288" s="6" t="s">
        <v>1943</v>
      </c>
      <c r="B288" s="784"/>
      <c r="C288" s="784"/>
    </row>
    <row r="289" spans="1:3" ht="15">
      <c r="A289" s="6" t="s">
        <v>1944</v>
      </c>
      <c r="B289" s="784"/>
      <c r="C289" s="784"/>
    </row>
    <row r="290" spans="1:3" ht="15">
      <c r="A290" s="6" t="s">
        <v>1945</v>
      </c>
      <c r="B290" s="784"/>
      <c r="C290" s="784"/>
    </row>
    <row r="291" spans="1:3" ht="15">
      <c r="A291" s="6" t="s">
        <v>1946</v>
      </c>
      <c r="B291" s="784"/>
      <c r="C291" s="784"/>
    </row>
    <row r="292" spans="1:3" ht="15.75">
      <c r="A292" s="6" t="s">
        <v>1947</v>
      </c>
      <c r="B292" s="784"/>
      <c r="C292" s="784"/>
    </row>
    <row r="293" spans="1:3" ht="15">
      <c r="A293" s="6" t="s">
        <v>1948</v>
      </c>
      <c r="B293" s="784"/>
      <c r="C293" s="784"/>
    </row>
    <row r="294" spans="1:3" ht="15">
      <c r="A294" s="6" t="s">
        <v>1949</v>
      </c>
      <c r="B294" s="784"/>
      <c r="C294" s="784"/>
    </row>
    <row r="295" spans="1:3" s="784" customFormat="1" ht="15.75">
      <c r="A295" s="6" t="s">
        <v>2636</v>
      </c>
    </row>
    <row r="296" spans="1:3" s="784" customFormat="1" ht="15">
      <c r="A296" s="6" t="s">
        <v>2637</v>
      </c>
    </row>
    <row r="297" spans="1:3" ht="15.75">
      <c r="A297" s="6" t="s">
        <v>1950</v>
      </c>
      <c r="B297" s="784"/>
      <c r="C297" s="784"/>
    </row>
    <row r="298" spans="1:3" ht="15">
      <c r="A298" s="6" t="s">
        <v>1951</v>
      </c>
      <c r="B298" s="784"/>
      <c r="C298" s="784"/>
    </row>
    <row r="300" spans="1:3" ht="15.75">
      <c r="A300" s="6" t="s">
        <v>3059</v>
      </c>
    </row>
    <row r="301" spans="1:3" ht="15">
      <c r="A301" s="6" t="s">
        <v>3060</v>
      </c>
    </row>
    <row r="302" spans="1:3" ht="15">
      <c r="A302" s="6" t="s">
        <v>3062</v>
      </c>
    </row>
    <row r="303" spans="1:3" ht="15">
      <c r="A303" s="6" t="s">
        <v>3063</v>
      </c>
    </row>
    <row r="304" spans="1:3" ht="15">
      <c r="A304" s="6" t="s">
        <v>3061</v>
      </c>
    </row>
  </sheetData>
  <customSheetViews>
    <customSheetView guid="{FC3B3501-CA52-40D7-B049-0E027A15B235}" hiddenRows="1">
      <selection activeCell="B2" sqref="B2"/>
      <rowBreaks count="4" manualBreakCount="4">
        <brk id="59" max="16383" man="1"/>
        <brk id="119" max="16383" man="1"/>
        <brk id="183" max="16383" man="1"/>
        <brk id="242" max="13" man="1"/>
      </rowBreaks>
      <pageMargins left="0.25" right="0.25" top="0.75" bottom="1" header="0.5" footer="0.5"/>
      <pageSetup scale="81" orientation="portrait" r:id="rId1"/>
      <headerFooter alignWithMargins="0">
        <oddHeader xml:space="preserve">&amp;C
</oddHeader>
        <oddFooter>&amp;CPage &amp;P of &amp;N</oddFooter>
      </headerFooter>
    </customSheetView>
  </customSheetViews>
  <mergeCells count="1">
    <mergeCell ref="B5:N5"/>
  </mergeCells>
  <phoneticPr fontId="0" type="noConversion"/>
  <hyperlinks>
    <hyperlink ref="B110" r:id="rId2" xr:uid="{00000000-0004-0000-0000-000000000000}"/>
    <hyperlink ref="B225" r:id="rId3" xr:uid="{00000000-0004-0000-0000-000001000000}"/>
    <hyperlink ref="K8" r:id="rId4" xr:uid="{00000000-0004-0000-0000-000002000000}"/>
    <hyperlink ref="L6" r:id="rId5" xr:uid="{00000000-0004-0000-0000-000003000000}"/>
    <hyperlink ref="H3" r:id="rId6" xr:uid="{00000000-0004-0000-0000-000004000000}"/>
  </hyperlinks>
  <pageMargins left="0.25" right="0.25" top="0.75" bottom="0.75" header="0.3" footer="0.3"/>
  <pageSetup scale="80" orientation="portrait" r:id="rId7"/>
  <headerFooter alignWithMargins="0">
    <oddHeader xml:space="preserve">&amp;C
</oddHeader>
    <oddFooter>&amp;CPage &amp;P of &amp;N</oddFooter>
  </headerFooter>
  <drawing r:id="rId8"/>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2.75"/>
  <sheetData>
    <row r="1" spans="1:10" ht="60">
      <c r="A1" s="1432" t="s">
        <v>986</v>
      </c>
      <c r="B1" s="1433"/>
      <c r="C1" s="1433"/>
      <c r="D1" s="1433"/>
      <c r="E1" s="1433"/>
      <c r="F1" s="1433"/>
      <c r="G1" s="1433"/>
      <c r="H1" s="1433"/>
      <c r="I1" s="1433"/>
      <c r="J1" s="1433"/>
    </row>
    <row r="6" spans="1:10" ht="60">
      <c r="A6" s="1432" t="s">
        <v>987</v>
      </c>
      <c r="B6" s="1434"/>
      <c r="C6" s="1434"/>
      <c r="D6" s="1434"/>
      <c r="E6" s="1434"/>
      <c r="F6" s="1434"/>
      <c r="G6" s="1434"/>
      <c r="H6" s="1434"/>
      <c r="I6" s="1434"/>
      <c r="J6" s="1434"/>
    </row>
    <row r="11" spans="1:10" ht="60">
      <c r="A11" s="1432" t="s">
        <v>988</v>
      </c>
      <c r="B11" s="1434"/>
      <c r="C11" s="1434"/>
      <c r="D11" s="1434"/>
      <c r="E11" s="1434"/>
      <c r="F11" s="1434"/>
      <c r="G11" s="1434"/>
      <c r="H11" s="1434"/>
      <c r="I11" s="1434"/>
      <c r="J11" s="1434"/>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71"/>
  <sheetViews>
    <sheetView zoomScaleNormal="100" workbookViewId="0">
      <pane xSplit="1" ySplit="8" topLeftCell="B50" activePane="bottomRight" state="frozen"/>
      <selection activeCell="A53" sqref="A53:K53"/>
      <selection pane="topRight" activeCell="A53" sqref="A53:K53"/>
      <selection pane="bottomLeft" activeCell="A53" sqref="A53:K53"/>
      <selection pane="bottomRight" activeCell="A60" sqref="A60"/>
    </sheetView>
  </sheetViews>
  <sheetFormatPr defaultColWidth="8.85546875" defaultRowHeight="12.75"/>
  <cols>
    <col min="1" max="1" width="47.5703125" style="261" customWidth="1"/>
    <col min="2" max="4" width="18.7109375" style="261" customWidth="1"/>
    <col min="5" max="5" width="1.7109375" style="261" customWidth="1"/>
    <col min="6" max="7" width="18.7109375" style="261" customWidth="1"/>
    <col min="8" max="16384" width="8.85546875" style="261"/>
  </cols>
  <sheetData>
    <row r="1" spans="1:7" ht="18">
      <c r="A1" s="866" t="str">
        <f>+'TABLE OF CONTENTS'!A1</f>
        <v>TOWN OF BROADUS</v>
      </c>
      <c r="B1" s="868"/>
      <c r="C1" s="868"/>
      <c r="D1" s="868"/>
      <c r="E1" s="868"/>
      <c r="F1" s="868"/>
      <c r="G1" s="868"/>
    </row>
    <row r="2" spans="1:7" ht="18">
      <c r="A2" s="866" t="s">
        <v>1794</v>
      </c>
      <c r="B2" s="868"/>
      <c r="C2" s="868"/>
      <c r="D2" s="868"/>
      <c r="E2" s="868"/>
      <c r="F2" s="868"/>
      <c r="G2" s="868"/>
    </row>
    <row r="3" spans="1:7" ht="18">
      <c r="A3" s="867" t="str">
        <f>+'TABLE OF CONTENTS'!A4</f>
        <v>FISCAL YEAR ENDING JUNE 30, 2017</v>
      </c>
      <c r="B3" s="868"/>
      <c r="C3" s="868"/>
      <c r="D3" s="868"/>
      <c r="E3" s="868"/>
      <c r="F3" s="868"/>
      <c r="G3" s="868"/>
    </row>
    <row r="5" spans="1:7" ht="16.5" thickBot="1">
      <c r="A5" s="263"/>
      <c r="B5" s="264" t="s">
        <v>1054</v>
      </c>
      <c r="C5" s="265"/>
      <c r="D5" s="265"/>
      <c r="E5" s="263"/>
      <c r="F5" s="264" t="s">
        <v>1055</v>
      </c>
      <c r="G5" s="265"/>
    </row>
    <row r="6" spans="1:7" ht="15.75">
      <c r="A6" s="263"/>
      <c r="B6" s="430" t="s">
        <v>1056</v>
      </c>
      <c r="C6" s="430" t="s">
        <v>1057</v>
      </c>
      <c r="D6" s="430"/>
      <c r="E6" s="266"/>
      <c r="F6" s="266"/>
      <c r="G6" s="266"/>
    </row>
    <row r="7" spans="1:7" ht="16.5" thickBot="1">
      <c r="A7" s="263"/>
      <c r="B7" s="676" t="s">
        <v>1059</v>
      </c>
      <c r="C7" s="676" t="s">
        <v>1059</v>
      </c>
      <c r="D7" s="676" t="s">
        <v>1058</v>
      </c>
      <c r="E7" s="266"/>
      <c r="F7" s="267"/>
      <c r="G7" s="267"/>
    </row>
    <row r="8" spans="1:7" ht="15.75">
      <c r="A8" s="268" t="s">
        <v>1060</v>
      </c>
      <c r="B8" s="277"/>
      <c r="C8" s="277"/>
      <c r="D8" s="277"/>
      <c r="E8" s="269"/>
      <c r="F8" s="269"/>
      <c r="G8" s="269"/>
    </row>
    <row r="9" spans="1:7" ht="15">
      <c r="A9" s="263" t="s">
        <v>1061</v>
      </c>
      <c r="B9" s="277">
        <f>+'BS Conversion'!M9</f>
        <v>223287.40999999997</v>
      </c>
      <c r="C9" s="277">
        <f>+'NET POSITION-PROPRIETARY(18)'!H13</f>
        <v>260310.7</v>
      </c>
      <c r="D9" s="277">
        <f>+B9+C9</f>
        <v>483598.11</v>
      </c>
      <c r="E9" s="269"/>
      <c r="F9" s="269"/>
      <c r="G9" s="269"/>
    </row>
    <row r="10" spans="1:7" ht="15" customHeight="1">
      <c r="A10" s="263" t="s">
        <v>1062</v>
      </c>
      <c r="B10" s="277">
        <f>+'BS Conversion'!M11</f>
        <v>0</v>
      </c>
      <c r="C10" s="277">
        <f>+'NET POSITION-PROPRIETARY(18)'!H15</f>
        <v>74000</v>
      </c>
      <c r="D10" s="277">
        <f>+B10+C10</f>
        <v>74000</v>
      </c>
      <c r="E10" s="269"/>
      <c r="F10" s="269"/>
      <c r="G10" s="269"/>
    </row>
    <row r="11" spans="1:7" ht="15">
      <c r="A11" s="263" t="s">
        <v>1063</v>
      </c>
      <c r="B11" s="277">
        <f>+'BS Conversion'!M10</f>
        <v>100</v>
      </c>
      <c r="C11" s="277">
        <f>+'NET POSITION-PROPRIETARY(18)'!H14</f>
        <v>0</v>
      </c>
      <c r="D11" s="277">
        <f>+B11+C11</f>
        <v>100</v>
      </c>
      <c r="E11" s="269"/>
      <c r="F11" s="269"/>
      <c r="G11" s="269"/>
    </row>
    <row r="12" spans="1:7" ht="15">
      <c r="A12" s="263" t="s">
        <v>1066</v>
      </c>
      <c r="B12" s="277"/>
      <c r="C12" s="277"/>
      <c r="D12" s="277"/>
      <c r="E12" s="269"/>
      <c r="F12" s="269"/>
      <c r="G12" s="269"/>
    </row>
    <row r="13" spans="1:7" ht="15">
      <c r="A13" s="263" t="s">
        <v>1067</v>
      </c>
      <c r="B13" s="277">
        <f>+'BS Conversion'!M13</f>
        <v>0</v>
      </c>
      <c r="C13" s="277">
        <f>+'NET POSITION-PROPRIETARY(18)'!H25</f>
        <v>0</v>
      </c>
      <c r="D13" s="277">
        <f t="shared" ref="D13:D25" si="0">+B13+C13</f>
        <v>0</v>
      </c>
      <c r="E13" s="269"/>
      <c r="F13" s="269"/>
      <c r="G13" s="269"/>
    </row>
    <row r="14" spans="1:7" ht="15">
      <c r="A14" s="263" t="s">
        <v>1230</v>
      </c>
      <c r="B14" s="277">
        <f>+'BS Conversion'!M14+'BS Conversion'!M15</f>
        <v>0</v>
      </c>
      <c r="C14" s="277">
        <f>+'NET POSITION-PROPRIETARY(18)'!H26</f>
        <v>0</v>
      </c>
      <c r="D14" s="277">
        <f t="shared" si="0"/>
        <v>0</v>
      </c>
      <c r="E14" s="269"/>
      <c r="F14" s="269"/>
      <c r="G14" s="269"/>
    </row>
    <row r="15" spans="1:7" ht="30">
      <c r="A15" s="270" t="s">
        <v>1068</v>
      </c>
      <c r="B15" s="277">
        <f>+'BS Conversion'!M16</f>
        <v>11819.19</v>
      </c>
      <c r="C15" s="277">
        <f>+'NET POSITION-PROPRIETARY(18)'!H16</f>
        <v>0</v>
      </c>
      <c r="D15" s="277">
        <f t="shared" si="0"/>
        <v>11819.19</v>
      </c>
      <c r="E15" s="269"/>
      <c r="F15" s="269"/>
      <c r="G15" s="269"/>
    </row>
    <row r="16" spans="1:7" ht="30">
      <c r="A16" s="270" t="s">
        <v>665</v>
      </c>
      <c r="B16" s="277">
        <f>+'BS Conversion'!M17</f>
        <v>0</v>
      </c>
      <c r="C16" s="277">
        <f>+'NET POSITION-PROPRIETARY(18)'!H17</f>
        <v>36156.79</v>
      </c>
      <c r="D16" s="277">
        <f t="shared" si="0"/>
        <v>36156.79</v>
      </c>
      <c r="E16" s="269"/>
      <c r="F16" s="269"/>
      <c r="G16" s="269"/>
    </row>
    <row r="17" spans="1:7" ht="15">
      <c r="A17" s="263" t="s">
        <v>1554</v>
      </c>
      <c r="B17" s="277">
        <f>+'BS Conversion'!M18-'BS Conversion'!M37+'BS Conversion'!M20-'BS Conversion'!M42</f>
        <v>0</v>
      </c>
      <c r="C17" s="277">
        <f>+'NET POSITION-PROPRIETARY(18)'!H18+'NET POSITION-PROPRIETARY(18)'!H27-'NET POSITION-PROPRIETARY(18)'!H54-'NET POSITION-PROPRIETARY(18)'!H61</f>
        <v>0</v>
      </c>
      <c r="D17" s="277">
        <f t="shared" si="0"/>
        <v>0</v>
      </c>
      <c r="E17" s="269"/>
      <c r="F17" s="269"/>
      <c r="G17" s="269"/>
    </row>
    <row r="18" spans="1:7" ht="15">
      <c r="A18" s="263" t="s">
        <v>250</v>
      </c>
      <c r="B18" s="277">
        <f>+'GOVERNMENTAL FUNDS - BS(15)'!M21</f>
        <v>0</v>
      </c>
      <c r="C18" s="277">
        <f>+'NET POSITION-PROPRIETARY(18)'!H19</f>
        <v>0</v>
      </c>
      <c r="D18" s="277">
        <f t="shared" si="0"/>
        <v>0</v>
      </c>
      <c r="E18" s="269"/>
      <c r="F18" s="269"/>
      <c r="G18" s="269"/>
    </row>
    <row r="19" spans="1:7" ht="15">
      <c r="A19" s="263" t="s">
        <v>202</v>
      </c>
      <c r="B19" s="277">
        <f>+'BS Conversion'!M21</f>
        <v>0</v>
      </c>
      <c r="C19" s="277">
        <f>'NET POSITION-PROPRIETARY(18)'!H20</f>
        <v>0</v>
      </c>
      <c r="D19" s="277">
        <f t="shared" si="0"/>
        <v>0</v>
      </c>
      <c r="E19" s="269"/>
      <c r="F19" s="269"/>
      <c r="G19" s="269"/>
    </row>
    <row r="20" spans="1:7" ht="15">
      <c r="A20" s="263" t="s">
        <v>1065</v>
      </c>
      <c r="B20" s="277">
        <f>+'BS Conversion'!M22</f>
        <v>0</v>
      </c>
      <c r="C20" s="277">
        <f>'NET POSITION-PROPRIETARY(18)'!H21</f>
        <v>0</v>
      </c>
      <c r="D20" s="277">
        <f t="shared" si="0"/>
        <v>0</v>
      </c>
      <c r="E20" s="269"/>
      <c r="F20" s="269"/>
      <c r="G20" s="269"/>
    </row>
    <row r="21" spans="1:7" ht="15">
      <c r="A21" s="263" t="s">
        <v>180</v>
      </c>
      <c r="B21" s="277">
        <f>+'BS Conversion'!M23</f>
        <v>0</v>
      </c>
      <c r="C21" s="277">
        <f>+'NET POSITION-PROPRIETARY(18)'!H28</f>
        <v>0</v>
      </c>
      <c r="D21" s="277">
        <f t="shared" si="0"/>
        <v>0</v>
      </c>
      <c r="E21" s="269"/>
      <c r="F21" s="269"/>
      <c r="G21" s="269"/>
    </row>
    <row r="22" spans="1:7" ht="15">
      <c r="A22" s="263" t="s">
        <v>764</v>
      </c>
      <c r="B22" s="277"/>
      <c r="C22" s="277"/>
      <c r="D22" s="277"/>
      <c r="E22" s="269"/>
      <c r="F22" s="269"/>
      <c r="G22" s="269"/>
    </row>
    <row r="23" spans="1:7" ht="15">
      <c r="A23" s="263" t="s">
        <v>652</v>
      </c>
      <c r="B23" s="277">
        <f>+'GOV CAP ASSETS-9000(GCAAG)'!H11</f>
        <v>2540</v>
      </c>
      <c r="C23" s="277">
        <f>+'NET POSITION-PROPRIETARY(18)'!H30</f>
        <v>37180</v>
      </c>
      <c r="D23" s="277">
        <f t="shared" si="0"/>
        <v>39720</v>
      </c>
      <c r="E23" s="269"/>
      <c r="F23" s="269"/>
      <c r="G23" s="269"/>
    </row>
    <row r="24" spans="1:7" ht="15">
      <c r="A24" s="263" t="s">
        <v>653</v>
      </c>
      <c r="B24" s="277">
        <f>+'GOV CAP ASSETS-9000(GCAAG)'!H12</f>
        <v>0</v>
      </c>
      <c r="C24" s="277">
        <f>+'NET POSITION-PROPRIETARY(18)'!H31</f>
        <v>0</v>
      </c>
      <c r="D24" s="277">
        <f t="shared" si="0"/>
        <v>0</v>
      </c>
      <c r="E24" s="269"/>
      <c r="F24" s="269"/>
      <c r="G24" s="269"/>
    </row>
    <row r="25" spans="1:7" ht="30.75" thickBot="1">
      <c r="A25" s="270" t="s">
        <v>638</v>
      </c>
      <c r="B25" s="277">
        <f>+'BS Conversion'!H24-B23-B24+'BS Conversion'!I24</f>
        <v>166156.71000000008</v>
      </c>
      <c r="C25" s="277">
        <f>+'NET POSITION-PROPRIETARY(18)'!H32+'NET POSITION-PROPRIETARY(18)'!H33+'NET POSITION-PROPRIETARY(18)'!H34+'NET POSITION-PROPRIETARY(18)'!H35+'NET POSITION-PROPRIETARY(18)'!H36</f>
        <v>80607.719999999972</v>
      </c>
      <c r="D25" s="277">
        <f t="shared" si="0"/>
        <v>246764.43000000005</v>
      </c>
      <c r="E25" s="269"/>
      <c r="F25" s="269"/>
      <c r="G25" s="269"/>
    </row>
    <row r="26" spans="1:7" ht="16.5" thickBot="1">
      <c r="A26" s="266" t="s">
        <v>1069</v>
      </c>
      <c r="B26" s="279">
        <f>SUM(B9:B25)</f>
        <v>403903.31000000006</v>
      </c>
      <c r="C26" s="279">
        <f>SUM(C9:C25)</f>
        <v>488255.20999999996</v>
      </c>
      <c r="D26" s="279">
        <f>SUM(D9:D25)</f>
        <v>892158.52</v>
      </c>
      <c r="E26" s="269"/>
      <c r="F26" s="272">
        <f>SUM(F9:F25)</f>
        <v>0</v>
      </c>
      <c r="G26" s="272">
        <f>SUM(G9:G25)</f>
        <v>0</v>
      </c>
    </row>
    <row r="27" spans="1:7" ht="15.75">
      <c r="A27" s="655"/>
      <c r="B27" s="307"/>
      <c r="C27" s="307"/>
      <c r="D27" s="307"/>
      <c r="E27" s="269"/>
      <c r="F27" s="303"/>
      <c r="G27" s="303"/>
    </row>
    <row r="28" spans="1:7" ht="15.75">
      <c r="A28" s="319" t="s">
        <v>1903</v>
      </c>
      <c r="B28" s="307"/>
      <c r="C28" s="307"/>
      <c r="D28" s="307"/>
      <c r="E28" s="269"/>
      <c r="F28" s="303"/>
      <c r="G28" s="303"/>
    </row>
    <row r="29" spans="1:7" ht="15">
      <c r="A29" s="317" t="s">
        <v>1914</v>
      </c>
      <c r="B29" s="307">
        <f>'BS Conversion'!M28</f>
        <v>25401.55</v>
      </c>
      <c r="C29" s="307">
        <f>'NET POSITION-PROPRIETARY(18)'!H42</f>
        <v>0</v>
      </c>
      <c r="D29" s="307">
        <f>B29+C29</f>
        <v>25401.55</v>
      </c>
      <c r="E29" s="269"/>
      <c r="F29" s="303"/>
      <c r="G29" s="303"/>
    </row>
    <row r="30" spans="1:7" ht="15.75" thickBot="1">
      <c r="A30" s="317" t="s">
        <v>1914</v>
      </c>
      <c r="B30" s="278">
        <f>'BS Conversion'!M29</f>
        <v>0</v>
      </c>
      <c r="C30" s="278">
        <f>'NET POSITION-PROPRIETARY(18)'!H43</f>
        <v>19840.18</v>
      </c>
      <c r="D30" s="278">
        <f>B30+C30</f>
        <v>19840.18</v>
      </c>
      <c r="E30" s="269"/>
      <c r="F30" s="271"/>
      <c r="G30" s="271"/>
    </row>
    <row r="31" spans="1:7" ht="16.5" thickBot="1">
      <c r="A31" s="655" t="s">
        <v>1905</v>
      </c>
      <c r="B31" s="278">
        <f>SUM(B29:B30)</f>
        <v>25401.55</v>
      </c>
      <c r="C31" s="278">
        <f>SUM(C29:C30)</f>
        <v>19840.18</v>
      </c>
      <c r="D31" s="278">
        <f>SUM(D29:D30)</f>
        <v>45241.729999999996</v>
      </c>
      <c r="E31" s="269"/>
      <c r="F31" s="272">
        <f>SUM(F29:F30)</f>
        <v>0</v>
      </c>
      <c r="G31" s="272">
        <f>SUM(G29:G30)</f>
        <v>0</v>
      </c>
    </row>
    <row r="32" spans="1:7" ht="15">
      <c r="A32" s="263"/>
      <c r="B32" s="277"/>
      <c r="C32" s="277"/>
      <c r="D32" s="277"/>
      <c r="E32" s="269"/>
      <c r="F32" s="269"/>
      <c r="G32" s="269"/>
    </row>
    <row r="33" spans="1:7" ht="15.75">
      <c r="A33" s="268" t="s">
        <v>1070</v>
      </c>
      <c r="B33" s="277"/>
      <c r="C33" s="277"/>
      <c r="D33" s="277"/>
      <c r="E33" s="269"/>
      <c r="F33" s="269"/>
      <c r="G33" s="269"/>
    </row>
    <row r="34" spans="1:7" ht="15" customHeight="1">
      <c r="A34" s="270" t="s">
        <v>1071</v>
      </c>
      <c r="B34" s="277">
        <f>+'BS Conversion'!M35+'BS Conversion'!M41</f>
        <v>-122.75999999999999</v>
      </c>
      <c r="C34" s="277">
        <f>+'NET POSITION-PROPRIETARY(18)'!H48+'NET POSITION-PROPRIETARY(18)'!H49+'NET POSITION-PROPRIETARY(18)'!H56</f>
        <v>1265</v>
      </c>
      <c r="D34" s="277">
        <f t="shared" ref="D34:D42" si="1">+B34+C34</f>
        <v>1142.24</v>
      </c>
      <c r="E34" s="269"/>
      <c r="F34" s="269"/>
      <c r="G34" s="269"/>
    </row>
    <row r="35" spans="1:7" ht="15">
      <c r="A35" s="270" t="s">
        <v>1225</v>
      </c>
      <c r="B35" s="277">
        <f>+'BS Conversion'!M40</f>
        <v>0</v>
      </c>
      <c r="C35" s="277">
        <f>+'NET POSITION-PROPRIETARY(18)'!H51</f>
        <v>0</v>
      </c>
      <c r="D35" s="277">
        <f t="shared" si="1"/>
        <v>0</v>
      </c>
      <c r="E35" s="269"/>
      <c r="F35" s="269"/>
      <c r="G35" s="269"/>
    </row>
    <row r="36" spans="1:7" ht="15">
      <c r="A36" s="263" t="s">
        <v>1204</v>
      </c>
      <c r="B36" s="277">
        <f>+'BS Conversion'!M38</f>
        <v>0</v>
      </c>
      <c r="C36" s="277">
        <f>+'NET POSITION-PROPRIETARY(18)'!H55</f>
        <v>0</v>
      </c>
      <c r="D36" s="277">
        <f t="shared" si="1"/>
        <v>0</v>
      </c>
      <c r="E36" s="269"/>
      <c r="F36" s="269"/>
      <c r="G36" s="269"/>
    </row>
    <row r="37" spans="1:7" ht="15">
      <c r="A37" s="263" t="s">
        <v>2033</v>
      </c>
      <c r="B37" s="277">
        <f>'BS Conversion'!M39</f>
        <v>0</v>
      </c>
      <c r="C37" s="277">
        <f>'NET POSITION-PROPRIETARY(18)'!H57</f>
        <v>0</v>
      </c>
      <c r="D37" s="277">
        <f t="shared" si="1"/>
        <v>0</v>
      </c>
      <c r="E37" s="269"/>
      <c r="F37" s="269"/>
      <c r="G37" s="269"/>
    </row>
    <row r="38" spans="1:7" ht="15">
      <c r="A38" s="270" t="s">
        <v>570</v>
      </c>
      <c r="B38" s="277">
        <f>+'BS Conversion'!M36</f>
        <v>0</v>
      </c>
      <c r="C38" s="277">
        <f>+'NET POSITION-PROPRIETARY(18)'!H50</f>
        <v>0</v>
      </c>
      <c r="D38" s="277">
        <f t="shared" si="1"/>
        <v>0</v>
      </c>
      <c r="E38" s="269"/>
      <c r="F38" s="269"/>
      <c r="G38" s="269"/>
    </row>
    <row r="39" spans="1:7" ht="15">
      <c r="A39" s="263" t="s">
        <v>1072</v>
      </c>
      <c r="B39" s="277"/>
      <c r="C39" s="277"/>
      <c r="D39" s="277"/>
      <c r="E39" s="269"/>
      <c r="F39" s="269"/>
      <c r="G39" s="269"/>
    </row>
    <row r="40" spans="1:7" ht="15">
      <c r="A40" s="270" t="s">
        <v>651</v>
      </c>
      <c r="B40" s="277">
        <f>+'BS Conversion'!M44</f>
        <v>0</v>
      </c>
      <c r="C40" s="277">
        <f>+'NET POSITION-PROPRIETARY(18)'!H52+'NET POSITION-PROPRIETARY(18)'!H53</f>
        <v>1068.99</v>
      </c>
      <c r="D40" s="277">
        <f t="shared" si="1"/>
        <v>1068.99</v>
      </c>
      <c r="E40" s="269"/>
      <c r="F40" s="269"/>
      <c r="G40" s="269"/>
    </row>
    <row r="41" spans="1:7" ht="15">
      <c r="A41" s="263" t="s">
        <v>1073</v>
      </c>
      <c r="B41" s="277">
        <f>+'BS Conversion'!M45</f>
        <v>16697.869999999995</v>
      </c>
      <c r="C41" s="277">
        <f>+'NET POSITION-PROPRIETARY(18)'!H68-'NET POSITION-PROPRIETARY(18)'!H65</f>
        <v>116238.85</v>
      </c>
      <c r="D41" s="277">
        <f t="shared" si="1"/>
        <v>132936.72</v>
      </c>
      <c r="E41" s="269"/>
      <c r="F41" s="269"/>
      <c r="G41" s="269"/>
    </row>
    <row r="42" spans="1:7" ht="15.75" thickBot="1">
      <c r="A42" s="263" t="s">
        <v>3481</v>
      </c>
      <c r="B42" s="277">
        <f>'BS Conversion'!M46</f>
        <v>137899.75</v>
      </c>
      <c r="C42" s="277">
        <f>'NET POSITION-PROPRIETARY(18)'!H65</f>
        <v>0</v>
      </c>
      <c r="D42" s="277">
        <f t="shared" si="1"/>
        <v>137899.75</v>
      </c>
      <c r="E42" s="269"/>
      <c r="F42" s="269"/>
      <c r="G42" s="269"/>
    </row>
    <row r="43" spans="1:7" ht="16.5" thickBot="1">
      <c r="A43" s="266" t="s">
        <v>1074</v>
      </c>
      <c r="B43" s="279">
        <f>SUM(B34:B42)</f>
        <v>154474.85999999999</v>
      </c>
      <c r="C43" s="279">
        <f>SUM(C34:C42)</f>
        <v>118572.84000000001</v>
      </c>
      <c r="D43" s="279">
        <f>SUM(D34:D42)</f>
        <v>273047.7</v>
      </c>
      <c r="E43" s="269"/>
      <c r="F43" s="272">
        <f>SUM(F34:F42)</f>
        <v>0</v>
      </c>
      <c r="G43" s="272">
        <f>SUM(G34:G42)</f>
        <v>0</v>
      </c>
    </row>
    <row r="44" spans="1:7" ht="15.75">
      <c r="A44" s="655"/>
      <c r="B44" s="307"/>
      <c r="C44" s="307"/>
      <c r="D44" s="307"/>
      <c r="E44" s="269"/>
      <c r="F44" s="303"/>
      <c r="G44" s="303"/>
    </row>
    <row r="45" spans="1:7" ht="15.75">
      <c r="A45" s="319" t="s">
        <v>1906</v>
      </c>
      <c r="B45" s="307"/>
      <c r="C45" s="307"/>
      <c r="D45" s="307"/>
      <c r="E45" s="269"/>
      <c r="F45" s="303"/>
      <c r="G45" s="303"/>
    </row>
    <row r="46" spans="1:7" ht="15">
      <c r="A46" s="317" t="s">
        <v>1908</v>
      </c>
      <c r="B46" s="307">
        <f>'BS Conversion'!M49</f>
        <v>456.47000000000116</v>
      </c>
      <c r="C46" s="307">
        <f>'NET POSITION-PROPRIETARY(18)'!H73</f>
        <v>0</v>
      </c>
      <c r="D46" s="307">
        <f>B46+C46</f>
        <v>456.47000000000116</v>
      </c>
      <c r="E46" s="269"/>
      <c r="F46" s="303"/>
      <c r="G46" s="303"/>
    </row>
    <row r="47" spans="1:7" ht="15.75" thickBot="1">
      <c r="A47" s="317" t="s">
        <v>1960</v>
      </c>
      <c r="B47" s="278">
        <f>'BS Conversion'!M50</f>
        <v>0</v>
      </c>
      <c r="C47" s="278">
        <f>'NET POSITION-PROPRIETARY(18)'!H74</f>
        <v>356.53000000000003</v>
      </c>
      <c r="D47" s="278">
        <f>B47+C47</f>
        <v>356.53000000000003</v>
      </c>
      <c r="E47" s="269"/>
      <c r="F47" s="271"/>
      <c r="G47" s="271"/>
    </row>
    <row r="48" spans="1:7" ht="16.5" thickBot="1">
      <c r="A48" s="655" t="s">
        <v>1909</v>
      </c>
      <c r="B48" s="279">
        <f>SUM(B46:B47)</f>
        <v>456.47000000000116</v>
      </c>
      <c r="C48" s="279">
        <f>SUM(C46:C47)</f>
        <v>356.53000000000003</v>
      </c>
      <c r="D48" s="279">
        <f>SUM(D46:D47)</f>
        <v>813.00000000000114</v>
      </c>
      <c r="E48" s="269"/>
      <c r="F48" s="272">
        <f>SUM(F46:F47)</f>
        <v>0</v>
      </c>
      <c r="G48" s="272">
        <f>SUM(G46:G47)</f>
        <v>0</v>
      </c>
    </row>
    <row r="49" spans="1:7" ht="15">
      <c r="A49" s="263"/>
      <c r="B49" s="277"/>
      <c r="C49" s="277"/>
      <c r="D49" s="277"/>
      <c r="E49" s="269"/>
      <c r="F49" s="269"/>
      <c r="G49" s="269"/>
    </row>
    <row r="50" spans="1:7" ht="16.5" customHeight="1">
      <c r="A50" s="268" t="s">
        <v>1801</v>
      </c>
      <c r="B50" s="277"/>
      <c r="C50" s="277"/>
      <c r="D50" s="277"/>
      <c r="E50" s="269"/>
      <c r="F50" s="269"/>
      <c r="G50" s="269"/>
    </row>
    <row r="51" spans="1:7" ht="15">
      <c r="A51" s="270" t="s">
        <v>1856</v>
      </c>
      <c r="B51" s="277">
        <f>+'BS Conversion'!M54</f>
        <v>154842.37000000011</v>
      </c>
      <c r="C51" s="277">
        <f>+'NET POSITION-PROPRIETARY(18)'!H78</f>
        <v>117787.71999999994</v>
      </c>
      <c r="D51" s="277">
        <f>+B51+C51</f>
        <v>272630.09000000008</v>
      </c>
      <c r="E51" s="269"/>
      <c r="F51" s="269"/>
      <c r="G51" s="269"/>
    </row>
    <row r="52" spans="1:7" ht="15">
      <c r="A52" s="263" t="s">
        <v>1366</v>
      </c>
      <c r="B52" s="277">
        <f>'BS Conversion'!M59-B53-B54-B55-B56-B57-B58-B59-B60-B61</f>
        <v>0</v>
      </c>
      <c r="C52" s="277"/>
      <c r="D52" s="277">
        <f>+B52+C52</f>
        <v>0</v>
      </c>
      <c r="E52" s="269"/>
      <c r="F52" s="269"/>
      <c r="G52" s="269"/>
    </row>
    <row r="53" spans="1:7" ht="15">
      <c r="A53" s="263" t="s">
        <v>1121</v>
      </c>
      <c r="B53" s="269"/>
      <c r="C53" s="269"/>
      <c r="D53" s="277">
        <f t="shared" ref="D53:D65" si="2">+B53+C53</f>
        <v>0</v>
      </c>
      <c r="E53" s="269"/>
      <c r="F53" s="269"/>
      <c r="G53" s="269"/>
    </row>
    <row r="54" spans="1:7" ht="15">
      <c r="A54" s="263" t="s">
        <v>629</v>
      </c>
      <c r="B54" s="269"/>
      <c r="C54" s="269">
        <f>+'NET POSITION-PROPRIETARY(18)'!H80+'NET POSITION-PROPRIETARY(18)'!H81+'NET POSITION-PROPRIETARY(18)'!H82+'NET POSITION-PROPRIETARY(18)'!H83-C55-C56-C57-C58-C59-C60-C61-C62-C53</f>
        <v>0</v>
      </c>
      <c r="D54" s="277">
        <f t="shared" si="2"/>
        <v>0</v>
      </c>
      <c r="E54" s="269"/>
      <c r="F54" s="269"/>
      <c r="G54" s="269"/>
    </row>
    <row r="55" spans="1:7" ht="15">
      <c r="A55" s="263" t="s">
        <v>1630</v>
      </c>
      <c r="B55" s="269"/>
      <c r="C55" s="269"/>
      <c r="D55" s="277">
        <f t="shared" si="2"/>
        <v>0</v>
      </c>
      <c r="E55" s="269"/>
      <c r="F55" s="269"/>
      <c r="G55" s="269"/>
    </row>
    <row r="56" spans="1:7" ht="15">
      <c r="A56" s="263" t="s">
        <v>1123</v>
      </c>
      <c r="B56" s="269"/>
      <c r="C56" s="269"/>
      <c r="D56" s="277">
        <f t="shared" si="2"/>
        <v>0</v>
      </c>
      <c r="E56" s="269"/>
      <c r="F56" s="269"/>
      <c r="G56" s="269"/>
    </row>
    <row r="57" spans="1:7" ht="15">
      <c r="A57" s="263" t="s">
        <v>1122</v>
      </c>
      <c r="B57" s="269"/>
      <c r="C57" s="269"/>
      <c r="D57" s="277">
        <f t="shared" si="2"/>
        <v>0</v>
      </c>
      <c r="E57" s="269"/>
      <c r="F57" s="269"/>
      <c r="G57" s="269"/>
    </row>
    <row r="58" spans="1:7" ht="15">
      <c r="A58" s="263" t="s">
        <v>1124</v>
      </c>
      <c r="B58" s="269"/>
      <c r="C58" s="269"/>
      <c r="D58" s="277">
        <f t="shared" si="2"/>
        <v>0</v>
      </c>
      <c r="E58" s="269"/>
      <c r="F58" s="269"/>
      <c r="G58" s="269"/>
    </row>
    <row r="59" spans="1:7" ht="15">
      <c r="A59" s="263" t="s">
        <v>1125</v>
      </c>
      <c r="B59" s="269"/>
      <c r="C59" s="269"/>
      <c r="D59" s="277">
        <f t="shared" si="2"/>
        <v>0</v>
      </c>
      <c r="E59" s="269"/>
      <c r="F59" s="269"/>
      <c r="G59" s="269"/>
    </row>
    <row r="60" spans="1:7" ht="15">
      <c r="A60" s="263" t="s">
        <v>235</v>
      </c>
      <c r="B60" s="269"/>
      <c r="C60" s="269"/>
      <c r="D60" s="277">
        <f t="shared" si="2"/>
        <v>0</v>
      </c>
      <c r="E60" s="269"/>
      <c r="F60" s="269"/>
      <c r="G60" s="269"/>
    </row>
    <row r="61" spans="1:7" ht="15">
      <c r="A61" s="263" t="s">
        <v>1636</v>
      </c>
      <c r="B61" s="269"/>
      <c r="C61" s="269"/>
      <c r="D61" s="277">
        <f t="shared" si="2"/>
        <v>0</v>
      </c>
      <c r="E61" s="269"/>
      <c r="F61" s="269"/>
      <c r="G61" s="269"/>
    </row>
    <row r="62" spans="1:7" ht="15">
      <c r="A62" s="263" t="s">
        <v>1641</v>
      </c>
      <c r="B62" s="269">
        <f>'BS Conversion'!M58-B63</f>
        <v>0</v>
      </c>
      <c r="C62" s="269"/>
      <c r="D62" s="277">
        <f t="shared" si="2"/>
        <v>0</v>
      </c>
      <c r="E62" s="269"/>
      <c r="F62" s="269"/>
      <c r="G62" s="269"/>
    </row>
    <row r="63" spans="1:7" ht="15">
      <c r="A63" s="263" t="s">
        <v>1642</v>
      </c>
      <c r="B63" s="269"/>
      <c r="C63" s="269"/>
      <c r="D63" s="277">
        <f t="shared" si="2"/>
        <v>0</v>
      </c>
      <c r="E63" s="269"/>
      <c r="F63" s="269"/>
      <c r="G63" s="269"/>
    </row>
    <row r="64" spans="1:7" ht="15">
      <c r="A64" s="263"/>
      <c r="B64" s="277"/>
      <c r="C64" s="277"/>
      <c r="D64" s="277"/>
      <c r="E64" s="269"/>
      <c r="F64" s="269"/>
      <c r="G64" s="269"/>
    </row>
    <row r="65" spans="1:7" ht="15">
      <c r="A65" s="263" t="s">
        <v>1367</v>
      </c>
      <c r="B65" s="277">
        <f>'BS Conversion'!M64</f>
        <v>119531.16</v>
      </c>
      <c r="C65" s="277">
        <f>C26+C31-C43-C48-C51-C53-C54-C55-C56-C57-C58-C59-C60-C61-C62-C63-C64</f>
        <v>271378.29999999993</v>
      </c>
      <c r="D65" s="277">
        <f t="shared" si="2"/>
        <v>390909.45999999996</v>
      </c>
      <c r="E65" s="269"/>
      <c r="F65" s="269"/>
      <c r="G65" s="269"/>
    </row>
    <row r="66" spans="1:7" ht="15" customHeight="1" thickBot="1">
      <c r="A66" s="263"/>
      <c r="B66" s="278"/>
      <c r="C66" s="278"/>
      <c r="D66" s="278"/>
      <c r="E66" s="269"/>
      <c r="F66" s="271"/>
      <c r="G66" s="271"/>
    </row>
    <row r="67" spans="1:7" ht="17.25" customHeight="1" thickBot="1">
      <c r="A67" s="266" t="s">
        <v>1795</v>
      </c>
      <c r="B67" s="280">
        <f>SUM(B51:B66)</f>
        <v>274373.53000000014</v>
      </c>
      <c r="C67" s="280">
        <f>SUM(C51:C66)</f>
        <v>389166.0199999999</v>
      </c>
      <c r="D67" s="280">
        <f>SUM(D51:D66)</f>
        <v>663539.55000000005</v>
      </c>
      <c r="E67" s="269"/>
      <c r="F67" s="273">
        <f>SUM(F51:F66)</f>
        <v>0</v>
      </c>
      <c r="G67" s="273">
        <f>SUM(G51:G66)</f>
        <v>0</v>
      </c>
    </row>
    <row r="68" spans="1:7" ht="13.5" thickTop="1">
      <c r="A68" s="534" t="s">
        <v>3036</v>
      </c>
      <c r="B68" s="841">
        <f>B67-'GW-STATEMENT OF ACTIVITIES(14)'!H61</f>
        <v>0</v>
      </c>
      <c r="C68" s="841">
        <f>C67-'GW-STATEMENT OF ACTIVITIES(14)'!I61</f>
        <v>0</v>
      </c>
      <c r="D68" s="841">
        <f>D67-'GW-STATEMENT OF ACTIVITIES(14)'!J61</f>
        <v>0</v>
      </c>
    </row>
    <row r="69" spans="1:7" ht="15.75">
      <c r="A69" s="274" t="s">
        <v>1406</v>
      </c>
      <c r="B69" s="260"/>
      <c r="C69" s="275"/>
      <c r="D69" s="260"/>
      <c r="E69" s="260"/>
      <c r="F69" s="260"/>
      <c r="G69" s="260"/>
    </row>
    <row r="70" spans="1:7">
      <c r="B70" s="327">
        <f>B26+B31-B43-B48-B67</f>
        <v>0</v>
      </c>
      <c r="C70" s="327">
        <f t="shared" ref="C70:D70" si="3">C26+C31-C43-C48-C67</f>
        <v>0</v>
      </c>
      <c r="D70" s="327">
        <f t="shared" si="3"/>
        <v>0</v>
      </c>
    </row>
    <row r="71" spans="1:7">
      <c r="A71" s="276"/>
      <c r="B71" s="276"/>
      <c r="C71" s="344"/>
      <c r="D71" s="276"/>
      <c r="E71" s="276"/>
      <c r="F71" s="276"/>
      <c r="G71" s="276"/>
    </row>
  </sheetData>
  <sheetProtection password="D950" sheet="1" scenarios="1"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gridLines="1"/>
  <pageMargins left="0.23" right="0.33" top="0.5" bottom="0.5" header="0.5" footer="0.5"/>
  <pageSetup scale="66" orientation="portrait" horizontalDpi="360" verticalDpi="360"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64"/>
  <sheetViews>
    <sheetView workbookViewId="0">
      <pane xSplit="2" ySplit="10" topLeftCell="C11" activePane="bottomRight" state="frozen"/>
      <selection activeCell="A53" sqref="A53:K53"/>
      <selection pane="topRight" activeCell="A53" sqref="A53:K53"/>
      <selection pane="bottomLeft" activeCell="A53" sqref="A53:K53"/>
      <selection pane="bottomRight" activeCell="C15" sqref="C15"/>
    </sheetView>
  </sheetViews>
  <sheetFormatPr defaultColWidth="8.85546875" defaultRowHeight="12.75"/>
  <cols>
    <col min="1" max="1" width="4.7109375" style="261" customWidth="1"/>
    <col min="2" max="2" width="45.7109375" style="261" customWidth="1"/>
    <col min="3" max="6" width="17.7109375" style="261" customWidth="1"/>
    <col min="7" max="7" width="1.7109375" style="261" customWidth="1"/>
    <col min="8" max="10" width="17.7109375" style="261" customWidth="1"/>
    <col min="11" max="11" width="1.7109375" style="261" customWidth="1"/>
    <col min="12" max="13" width="17.7109375" style="261" customWidth="1"/>
    <col min="14" max="16384" width="8.85546875" style="261"/>
  </cols>
  <sheetData>
    <row r="1" spans="1:13" ht="18">
      <c r="B1" s="259" t="str">
        <f>+'GW-STATEMENT NET POSITION(13)'!A1</f>
        <v>TOWN OF BROADUS</v>
      </c>
      <c r="C1" s="276"/>
      <c r="D1" s="276"/>
      <c r="E1" s="276"/>
      <c r="F1" s="276"/>
      <c r="G1" s="276"/>
      <c r="H1" s="276"/>
      <c r="I1" s="276"/>
      <c r="J1" s="276"/>
      <c r="K1" s="276"/>
    </row>
    <row r="2" spans="1:13" ht="18">
      <c r="B2" s="259" t="s">
        <v>1369</v>
      </c>
      <c r="C2" s="276"/>
      <c r="D2" s="276"/>
      <c r="E2" s="276"/>
      <c r="F2" s="276"/>
      <c r="G2" s="276"/>
      <c r="H2" s="276"/>
      <c r="I2" s="276"/>
      <c r="J2" s="276"/>
      <c r="K2" s="276"/>
    </row>
    <row r="3" spans="1:13" ht="18">
      <c r="B3" s="262" t="str">
        <f>'COVER PAGE'!A30</f>
        <v>FISCAL YEAR ENDING JUNE 30, 2017</v>
      </c>
      <c r="C3" s="276"/>
      <c r="D3" s="276"/>
      <c r="E3" s="276"/>
      <c r="F3" s="276"/>
      <c r="G3" s="276"/>
      <c r="H3" s="276"/>
      <c r="I3" s="276"/>
      <c r="J3" s="276"/>
      <c r="K3" s="276"/>
    </row>
    <row r="5" spans="1:13" ht="15.75">
      <c r="J5" s="266"/>
    </row>
    <row r="6" spans="1:13" ht="15.75">
      <c r="B6" s="263"/>
      <c r="C6" s="263"/>
      <c r="D6" s="263"/>
      <c r="E6" s="263"/>
      <c r="F6" s="263"/>
      <c r="G6" s="263"/>
      <c r="H6" s="281" t="s">
        <v>1378</v>
      </c>
      <c r="I6" s="282"/>
      <c r="J6" s="282"/>
      <c r="K6" s="282"/>
      <c r="L6" s="282"/>
      <c r="M6" s="282"/>
    </row>
    <row r="7" spans="1:13" ht="16.5" thickBot="1">
      <c r="A7" s="308"/>
      <c r="B7" s="411"/>
      <c r="C7" s="411"/>
      <c r="D7" s="682" t="s">
        <v>1370</v>
      </c>
      <c r="E7" s="683"/>
      <c r="F7" s="683"/>
      <c r="G7" s="263"/>
      <c r="H7" s="264" t="s">
        <v>1847</v>
      </c>
      <c r="I7" s="265"/>
      <c r="J7" s="265"/>
      <c r="K7" s="265"/>
      <c r="L7" s="265"/>
      <c r="M7" s="265"/>
    </row>
    <row r="8" spans="1:13" ht="16.5" thickBot="1">
      <c r="A8" s="308"/>
      <c r="B8" s="411"/>
      <c r="C8" s="430"/>
      <c r="D8" s="430" t="s">
        <v>1375</v>
      </c>
      <c r="E8" s="430" t="s">
        <v>1371</v>
      </c>
      <c r="F8" s="430" t="s">
        <v>1374</v>
      </c>
      <c r="G8" s="266"/>
      <c r="H8" s="685" t="s">
        <v>1054</v>
      </c>
      <c r="I8" s="283"/>
      <c r="J8" s="284"/>
      <c r="K8" s="263"/>
      <c r="L8" s="285" t="s">
        <v>1055</v>
      </c>
      <c r="M8" s="286"/>
    </row>
    <row r="9" spans="1:13" ht="15.75">
      <c r="A9" s="308"/>
      <c r="B9" s="411"/>
      <c r="C9" s="430"/>
      <c r="D9" s="430" t="s">
        <v>979</v>
      </c>
      <c r="E9" s="430" t="s">
        <v>847</v>
      </c>
      <c r="F9" s="430" t="s">
        <v>1372</v>
      </c>
      <c r="G9" s="266"/>
      <c r="H9" s="430" t="s">
        <v>1056</v>
      </c>
      <c r="I9" s="266" t="s">
        <v>1057</v>
      </c>
      <c r="J9" s="263"/>
      <c r="K9" s="263"/>
      <c r="L9" s="263"/>
      <c r="M9" s="263"/>
    </row>
    <row r="10" spans="1:13" ht="16.5" thickBot="1">
      <c r="A10" s="308"/>
      <c r="B10" s="684" t="s">
        <v>1377</v>
      </c>
      <c r="C10" s="676" t="s">
        <v>1376</v>
      </c>
      <c r="D10" s="676" t="s">
        <v>1053</v>
      </c>
      <c r="E10" s="676" t="s">
        <v>1373</v>
      </c>
      <c r="F10" s="676" t="s">
        <v>1373</v>
      </c>
      <c r="G10" s="266"/>
      <c r="H10" s="676" t="s">
        <v>1059</v>
      </c>
      <c r="I10" s="267" t="s">
        <v>1059</v>
      </c>
      <c r="J10" s="267" t="s">
        <v>1058</v>
      </c>
      <c r="K10" s="263"/>
      <c r="L10" s="287"/>
      <c r="M10" s="287"/>
    </row>
    <row r="11" spans="1:13" ht="15.75">
      <c r="A11" s="308"/>
      <c r="B11" s="431" t="s">
        <v>1379</v>
      </c>
      <c r="C11" s="326"/>
      <c r="D11" s="326"/>
      <c r="E11" s="326"/>
      <c r="F11" s="326"/>
      <c r="G11" s="288"/>
      <c r="H11" s="326"/>
      <c r="I11" s="288"/>
      <c r="J11" s="288"/>
      <c r="K11" s="288"/>
      <c r="L11" s="288"/>
      <c r="M11" s="288"/>
    </row>
    <row r="12" spans="1:13" ht="15">
      <c r="A12" s="308"/>
      <c r="B12" s="411" t="s">
        <v>1380</v>
      </c>
      <c r="C12" s="277"/>
      <c r="D12" s="277"/>
      <c r="E12" s="277"/>
      <c r="F12" s="277"/>
      <c r="G12" s="269"/>
      <c r="H12" s="277"/>
      <c r="I12" s="269"/>
      <c r="J12" s="269"/>
      <c r="K12" s="269"/>
      <c r="L12" s="269"/>
      <c r="M12" s="269"/>
    </row>
    <row r="13" spans="1:13" ht="15">
      <c r="A13" s="308"/>
      <c r="B13" s="411" t="s">
        <v>38</v>
      </c>
      <c r="C13" s="277">
        <f>+'OP Conversion'!Q23</f>
        <v>69868.59</v>
      </c>
      <c r="D13" s="277">
        <f>+'Revenue Analysis'!G11+'Revenue Analysis'!H11+'Revenue Analysis'!I11+'Revenue Analysis'!J11+'Revenue Analysis'!C11</f>
        <v>0</v>
      </c>
      <c r="E13" s="277">
        <f>+'Revenue Analysis'!D11+'Revenue Analysis'!F11</f>
        <v>0</v>
      </c>
      <c r="F13" s="277">
        <f>+'Revenue Analysis'!E11</f>
        <v>0</v>
      </c>
      <c r="G13" s="269"/>
      <c r="H13" s="277">
        <f>-C13+D13+E13+F13</f>
        <v>-69868.59</v>
      </c>
      <c r="I13" s="269"/>
      <c r="J13" s="277">
        <f>+H13+I13</f>
        <v>-69868.59</v>
      </c>
      <c r="K13" s="269"/>
      <c r="L13" s="269"/>
      <c r="M13" s="269"/>
    </row>
    <row r="14" spans="1:13" ht="15">
      <c r="A14" s="308"/>
      <c r="B14" s="411" t="s">
        <v>39</v>
      </c>
      <c r="C14" s="277">
        <f>+'OP Conversion'!Q24</f>
        <v>24507.93</v>
      </c>
      <c r="D14" s="277">
        <f>+'Revenue Analysis'!G12+'Revenue Analysis'!H12+'Revenue Analysis'!I12+'Revenue Analysis'!J12+'Revenue Analysis'!C12</f>
        <v>0</v>
      </c>
      <c r="E14" s="277">
        <f>+'Revenue Analysis'!D12+'Revenue Analysis'!F12</f>
        <v>0</v>
      </c>
      <c r="F14" s="277">
        <f>+'Revenue Analysis'!E12</f>
        <v>0</v>
      </c>
      <c r="G14" s="269"/>
      <c r="H14" s="277">
        <f t="shared" ref="H14:H23" si="0">-C14+D14+E14+F14</f>
        <v>-24507.93</v>
      </c>
      <c r="I14" s="269"/>
      <c r="J14" s="277">
        <f t="shared" ref="J14:J23" si="1">+H14+I14</f>
        <v>-24507.93</v>
      </c>
      <c r="K14" s="269"/>
      <c r="L14" s="269"/>
      <c r="M14" s="269"/>
    </row>
    <row r="15" spans="1:13" ht="15">
      <c r="A15" s="308"/>
      <c r="B15" s="411" t="s">
        <v>40</v>
      </c>
      <c r="C15" s="277">
        <f>+'OP Conversion'!Q25</f>
        <v>165885.60000000003</v>
      </c>
      <c r="D15" s="277">
        <f>+'Revenue Analysis'!G13+'Revenue Analysis'!H13+'Revenue Analysis'!I13+'Revenue Analysis'!J13+'Revenue Analysis'!B13+'Revenue Analysis'!B20+'Revenue Analysis'!C13</f>
        <v>837.89</v>
      </c>
      <c r="E15" s="277">
        <f>+'Revenue Analysis'!D13+'Revenue Analysis'!F13</f>
        <v>0</v>
      </c>
      <c r="F15" s="277">
        <f>+'Revenue Analysis'!E13</f>
        <v>0</v>
      </c>
      <c r="G15" s="269"/>
      <c r="H15" s="277">
        <f t="shared" si="0"/>
        <v>-165047.71000000002</v>
      </c>
      <c r="I15" s="269"/>
      <c r="J15" s="277">
        <f t="shared" si="1"/>
        <v>-165047.71000000002</v>
      </c>
      <c r="K15" s="269"/>
      <c r="L15" s="269"/>
      <c r="M15" s="269"/>
    </row>
    <row r="16" spans="1:13" ht="15">
      <c r="A16" s="308"/>
      <c r="B16" s="411" t="s">
        <v>41</v>
      </c>
      <c r="C16" s="277">
        <f>+'OP Conversion'!Q26</f>
        <v>44.29</v>
      </c>
      <c r="D16" s="277">
        <f>+'Revenue Analysis'!G14+'Revenue Analysis'!H14+'Revenue Analysis'!I14+'Revenue Analysis'!J14+'Revenue Analysis'!C14</f>
        <v>0</v>
      </c>
      <c r="E16" s="277">
        <f>+'Revenue Analysis'!D14+'Revenue Analysis'!F14</f>
        <v>0</v>
      </c>
      <c r="F16" s="277">
        <f>+'Revenue Analysis'!E14</f>
        <v>0</v>
      </c>
      <c r="G16" s="269"/>
      <c r="H16" s="277">
        <f t="shared" si="0"/>
        <v>-44.29</v>
      </c>
      <c r="I16" s="269"/>
      <c r="J16" s="277">
        <f t="shared" si="1"/>
        <v>-44.29</v>
      </c>
      <c r="K16" s="269"/>
      <c r="L16" s="269"/>
      <c r="M16" s="269"/>
    </row>
    <row r="17" spans="1:13" ht="15">
      <c r="A17" s="308"/>
      <c r="B17" s="411" t="s">
        <v>607</v>
      </c>
      <c r="C17" s="277">
        <f>+'OP Conversion'!Q27</f>
        <v>0</v>
      </c>
      <c r="D17" s="277">
        <f>+'Revenue Analysis'!G15+'Revenue Analysis'!H15+'Revenue Analysis'!I15+'Revenue Analysis'!J15+'Revenue Analysis'!C15</f>
        <v>0</v>
      </c>
      <c r="E17" s="277">
        <f>+'Revenue Analysis'!D15+'Revenue Analysis'!F15</f>
        <v>0</v>
      </c>
      <c r="F17" s="277">
        <f>+'Revenue Analysis'!E15</f>
        <v>0</v>
      </c>
      <c r="G17" s="269"/>
      <c r="H17" s="277">
        <f t="shared" si="0"/>
        <v>0</v>
      </c>
      <c r="I17" s="269"/>
      <c r="J17" s="277">
        <f t="shared" si="1"/>
        <v>0</v>
      </c>
      <c r="K17" s="269"/>
      <c r="L17" s="269"/>
      <c r="M17" s="269"/>
    </row>
    <row r="18" spans="1:13" ht="15">
      <c r="A18" s="308"/>
      <c r="B18" s="411" t="s">
        <v>608</v>
      </c>
      <c r="C18" s="277">
        <f>+'OP Conversion'!Q28</f>
        <v>25559.629999999997</v>
      </c>
      <c r="D18" s="277">
        <f>+'Revenue Analysis'!G16+'Revenue Analysis'!H16+'Revenue Analysis'!I16+'Revenue Analysis'!J16+'Revenue Analysis'!C16</f>
        <v>0</v>
      </c>
      <c r="E18" s="277">
        <f>+'Revenue Analysis'!D16+'Revenue Analysis'!F16</f>
        <v>0</v>
      </c>
      <c r="F18" s="277">
        <f>+'Revenue Analysis'!E16</f>
        <v>0</v>
      </c>
      <c r="G18" s="269"/>
      <c r="H18" s="277">
        <f t="shared" si="0"/>
        <v>-25559.629999999997</v>
      </c>
      <c r="I18" s="269"/>
      <c r="J18" s="277">
        <f t="shared" si="1"/>
        <v>-25559.629999999997</v>
      </c>
      <c r="K18" s="269"/>
      <c r="L18" s="269"/>
      <c r="M18" s="269"/>
    </row>
    <row r="19" spans="1:13" ht="15">
      <c r="A19" s="308"/>
      <c r="B19" s="411" t="s">
        <v>1052</v>
      </c>
      <c r="C19" s="277">
        <f>+'OP Conversion'!Q29</f>
        <v>0</v>
      </c>
      <c r="D19" s="277">
        <f>+'Revenue Analysis'!G17+'Revenue Analysis'!H17+'Revenue Analysis'!I17+'Revenue Analysis'!J17+'Revenue Analysis'!C17</f>
        <v>0</v>
      </c>
      <c r="E19" s="277">
        <f>+'Revenue Analysis'!D17+'Revenue Analysis'!F17</f>
        <v>0</v>
      </c>
      <c r="F19" s="277">
        <f>+'Revenue Analysis'!E17</f>
        <v>0</v>
      </c>
      <c r="G19" s="269"/>
      <c r="H19" s="277">
        <f t="shared" si="0"/>
        <v>0</v>
      </c>
      <c r="I19" s="269"/>
      <c r="J19" s="277">
        <f t="shared" si="1"/>
        <v>0</v>
      </c>
      <c r="K19" s="269"/>
      <c r="L19" s="269"/>
      <c r="M19" s="269"/>
    </row>
    <row r="20" spans="1:13" ht="15">
      <c r="A20" s="308"/>
      <c r="B20" s="411" t="s">
        <v>370</v>
      </c>
      <c r="C20" s="277">
        <f>+'OP Conversion'!Q30</f>
        <v>0</v>
      </c>
      <c r="D20" s="277">
        <f>+'Revenue Analysis'!G18+'Revenue Analysis'!H18+'Revenue Analysis'!I18+'Revenue Analysis'!J18+'Revenue Analysis'!C18</f>
        <v>0</v>
      </c>
      <c r="E20" s="277">
        <f>+'Revenue Analysis'!D18+'Revenue Analysis'!F18</f>
        <v>0</v>
      </c>
      <c r="F20" s="277">
        <f>+'Revenue Analysis'!E18</f>
        <v>0</v>
      </c>
      <c r="G20" s="269"/>
      <c r="H20" s="277">
        <f t="shared" si="0"/>
        <v>0</v>
      </c>
      <c r="I20" s="269"/>
      <c r="J20" s="277">
        <f t="shared" si="1"/>
        <v>0</v>
      </c>
      <c r="K20" s="269"/>
      <c r="L20" s="269"/>
      <c r="M20" s="269"/>
    </row>
    <row r="21" spans="1:13" ht="15">
      <c r="A21" s="308"/>
      <c r="B21" s="411" t="s">
        <v>371</v>
      </c>
      <c r="C21" s="277">
        <f>+'OP Conversion'!Q33</f>
        <v>0</v>
      </c>
      <c r="D21" s="277">
        <f>+'Revenue Analysis'!G19+'Revenue Analysis'!H19+'Revenue Analysis'!I19+'Revenue Analysis'!J19</f>
        <v>0</v>
      </c>
      <c r="E21" s="277">
        <f>+'Revenue Analysis'!D19+'Revenue Analysis'!F19</f>
        <v>0</v>
      </c>
      <c r="F21" s="277">
        <f>+'Revenue Analysis'!E19</f>
        <v>0</v>
      </c>
      <c r="G21" s="269"/>
      <c r="H21" s="277">
        <f t="shared" si="0"/>
        <v>0</v>
      </c>
      <c r="I21" s="269"/>
      <c r="J21" s="277">
        <f t="shared" si="1"/>
        <v>0</v>
      </c>
      <c r="K21" s="269"/>
      <c r="L21" s="269"/>
      <c r="M21" s="269"/>
    </row>
    <row r="22" spans="1:13" ht="15">
      <c r="A22" s="308"/>
      <c r="B22" s="411" t="s">
        <v>372</v>
      </c>
      <c r="C22" s="277">
        <f>+'OP Conversion'!Q37</f>
        <v>22052.74</v>
      </c>
      <c r="D22" s="277">
        <f>+'Revenue Analysis'!G20+'Revenue Analysis'!H20+'Revenue Analysis'!I20+'Revenue Analysis'!J20+'Revenue Analysis'!C20</f>
        <v>0</v>
      </c>
      <c r="E22" s="277">
        <f>+'Revenue Analysis'!D20+'Revenue Analysis'!F20</f>
        <v>0</v>
      </c>
      <c r="F22" s="277">
        <f>+'Revenue Analysis'!E20</f>
        <v>0</v>
      </c>
      <c r="G22" s="269"/>
      <c r="H22" s="277">
        <f t="shared" si="0"/>
        <v>-22052.74</v>
      </c>
      <c r="I22" s="269"/>
      <c r="J22" s="277">
        <f t="shared" si="1"/>
        <v>-22052.74</v>
      </c>
      <c r="K22" s="269"/>
      <c r="L22" s="269"/>
      <c r="M22" s="269"/>
    </row>
    <row r="23" spans="1:13" ht="15.75" thickBot="1">
      <c r="A23" s="308"/>
      <c r="B23" s="411" t="s">
        <v>1219</v>
      </c>
      <c r="C23" s="278">
        <f>+'OP Conversion'!Q34</f>
        <v>0</v>
      </c>
      <c r="D23" s="278"/>
      <c r="E23" s="278"/>
      <c r="F23" s="278"/>
      <c r="G23" s="269"/>
      <c r="H23" s="277">
        <f t="shared" si="0"/>
        <v>0</v>
      </c>
      <c r="I23" s="271"/>
      <c r="J23" s="277">
        <f t="shared" si="1"/>
        <v>0</v>
      </c>
      <c r="K23" s="269"/>
      <c r="L23" s="271"/>
      <c r="M23" s="271"/>
    </row>
    <row r="24" spans="1:13" ht="16.5" thickBot="1">
      <c r="A24" s="308"/>
      <c r="B24" s="430" t="s">
        <v>373</v>
      </c>
      <c r="C24" s="279">
        <f>SUM(C12:C23)</f>
        <v>307918.78000000003</v>
      </c>
      <c r="D24" s="279">
        <f>SUM(D12:D23)</f>
        <v>837.89</v>
      </c>
      <c r="E24" s="279">
        <f>SUM(E12:E23)</f>
        <v>0</v>
      </c>
      <c r="F24" s="279">
        <f>SUM(F12:F23)</f>
        <v>0</v>
      </c>
      <c r="G24" s="269"/>
      <c r="H24" s="279">
        <f>SUM(H13:H23)</f>
        <v>-307080.89</v>
      </c>
      <c r="I24" s="272"/>
      <c r="J24" s="279">
        <f>SUM(J13:J23)</f>
        <v>-307080.89</v>
      </c>
      <c r="K24" s="269"/>
      <c r="L24" s="272"/>
      <c r="M24" s="272"/>
    </row>
    <row r="25" spans="1:13" ht="15">
      <c r="B25" s="263"/>
      <c r="C25" s="269"/>
      <c r="D25" s="269"/>
      <c r="E25" s="269"/>
      <c r="F25" s="269"/>
      <c r="G25" s="269"/>
      <c r="H25" s="269"/>
      <c r="I25" s="269"/>
      <c r="J25" s="269"/>
      <c r="K25" s="269"/>
      <c r="L25" s="269"/>
      <c r="M25" s="269"/>
    </row>
    <row r="26" spans="1:13" ht="15">
      <c r="B26" s="263" t="s">
        <v>374</v>
      </c>
      <c r="C26" s="269"/>
      <c r="D26" s="269"/>
      <c r="E26" s="269"/>
      <c r="F26" s="269"/>
      <c r="G26" s="269"/>
      <c r="H26" s="269"/>
      <c r="I26" s="269"/>
      <c r="J26" s="269"/>
      <c r="K26" s="269"/>
      <c r="L26" s="269"/>
      <c r="M26" s="269"/>
    </row>
    <row r="27" spans="1:13" ht="15">
      <c r="B27" s="263" t="s">
        <v>378</v>
      </c>
      <c r="C27" s="269"/>
      <c r="D27" s="269"/>
      <c r="E27" s="269"/>
      <c r="F27" s="269"/>
      <c r="G27" s="269"/>
      <c r="H27" s="269"/>
      <c r="I27" s="277">
        <f>-C27+D27+E27+F27</f>
        <v>0</v>
      </c>
      <c r="J27" s="277">
        <f t="shared" ref="J27:J33" si="2">+H27+I27</f>
        <v>0</v>
      </c>
      <c r="K27" s="269"/>
      <c r="L27" s="269"/>
      <c r="M27" s="269"/>
    </row>
    <row r="28" spans="1:13" ht="15">
      <c r="B28" s="263" t="s">
        <v>375</v>
      </c>
      <c r="C28" s="269">
        <v>129378.56</v>
      </c>
      <c r="D28" s="269">
        <v>168442.11</v>
      </c>
      <c r="E28" s="269"/>
      <c r="F28" s="269"/>
      <c r="G28" s="269"/>
      <c r="H28" s="269"/>
      <c r="I28" s="277">
        <f t="shared" ref="I28:I33" si="3">-C28+D28+E28+F28</f>
        <v>39063.549999999988</v>
      </c>
      <c r="J28" s="277">
        <f t="shared" si="2"/>
        <v>39063.549999999988</v>
      </c>
      <c r="K28" s="269"/>
      <c r="L28" s="269"/>
      <c r="M28" s="269"/>
    </row>
    <row r="29" spans="1:13" ht="27.75">
      <c r="A29" s="289" t="s">
        <v>1007</v>
      </c>
      <c r="B29" s="263" t="s">
        <v>376</v>
      </c>
      <c r="C29" s="269">
        <v>27785.32</v>
      </c>
      <c r="D29" s="269">
        <v>49646.54</v>
      </c>
      <c r="E29" s="269"/>
      <c r="F29" s="269"/>
      <c r="G29" s="269"/>
      <c r="H29" s="269"/>
      <c r="I29" s="277">
        <f t="shared" si="3"/>
        <v>21861.22</v>
      </c>
      <c r="J29" s="277">
        <f t="shared" si="2"/>
        <v>21861.22</v>
      </c>
      <c r="K29" s="269"/>
      <c r="L29" s="269"/>
      <c r="M29" s="269"/>
    </row>
    <row r="30" spans="1:13" ht="15">
      <c r="B30" s="263" t="s">
        <v>381</v>
      </c>
      <c r="C30" s="269">
        <v>59298.31</v>
      </c>
      <c r="D30" s="269">
        <v>45772</v>
      </c>
      <c r="E30" s="269"/>
      <c r="F30" s="269"/>
      <c r="G30" s="269"/>
      <c r="H30" s="269"/>
      <c r="I30" s="277">
        <f t="shared" si="3"/>
        <v>-13526.309999999998</v>
      </c>
      <c r="J30" s="277">
        <f t="shared" si="2"/>
        <v>-13526.309999999998</v>
      </c>
      <c r="K30" s="269"/>
      <c r="L30" s="269"/>
      <c r="M30" s="269"/>
    </row>
    <row r="31" spans="1:13" ht="15">
      <c r="B31" s="263" t="s">
        <v>377</v>
      </c>
      <c r="C31" s="269"/>
      <c r="D31" s="269"/>
      <c r="E31" s="269"/>
      <c r="F31" s="269"/>
      <c r="G31" s="269"/>
      <c r="H31" s="269"/>
      <c r="I31" s="277">
        <f t="shared" si="3"/>
        <v>0</v>
      </c>
      <c r="J31" s="277">
        <f t="shared" si="2"/>
        <v>0</v>
      </c>
      <c r="K31" s="269"/>
      <c r="L31" s="269"/>
      <c r="M31" s="269"/>
    </row>
    <row r="32" spans="1:13" ht="15">
      <c r="B32" s="263" t="s">
        <v>379</v>
      </c>
      <c r="C32" s="269"/>
      <c r="D32" s="269"/>
      <c r="E32" s="269"/>
      <c r="F32" s="269"/>
      <c r="G32" s="269"/>
      <c r="H32" s="269"/>
      <c r="I32" s="277">
        <f t="shared" si="3"/>
        <v>0</v>
      </c>
      <c r="J32" s="277">
        <f t="shared" si="2"/>
        <v>0</v>
      </c>
      <c r="K32" s="269"/>
      <c r="L32" s="269"/>
      <c r="M32" s="269"/>
    </row>
    <row r="33" spans="2:13" ht="15">
      <c r="B33" s="263" t="s">
        <v>380</v>
      </c>
      <c r="C33" s="269"/>
      <c r="D33" s="269"/>
      <c r="E33" s="269"/>
      <c r="F33" s="269"/>
      <c r="G33" s="269"/>
      <c r="H33" s="269"/>
      <c r="I33" s="277">
        <f t="shared" si="3"/>
        <v>0</v>
      </c>
      <c r="J33" s="277">
        <f t="shared" si="2"/>
        <v>0</v>
      </c>
      <c r="K33" s="269"/>
      <c r="L33" s="269"/>
      <c r="M33" s="269"/>
    </row>
    <row r="34" spans="2:13" ht="15.75" thickBot="1">
      <c r="B34" s="411"/>
      <c r="C34" s="278"/>
      <c r="D34" s="278"/>
      <c r="E34" s="278"/>
      <c r="F34" s="278"/>
      <c r="G34" s="269"/>
      <c r="H34" s="271"/>
      <c r="I34" s="278"/>
      <c r="J34" s="278"/>
      <c r="K34" s="269"/>
      <c r="L34" s="271"/>
      <c r="M34" s="271"/>
    </row>
    <row r="35" spans="2:13" ht="16.5" thickBot="1">
      <c r="B35" s="430" t="s">
        <v>382</v>
      </c>
      <c r="C35" s="279">
        <f>SUM(C26:C33)</f>
        <v>216462.19</v>
      </c>
      <c r="D35" s="279">
        <f>SUM(D26:D33)</f>
        <v>263860.65000000002</v>
      </c>
      <c r="E35" s="279">
        <f>SUM(E26:E33)</f>
        <v>0</v>
      </c>
      <c r="F35" s="279">
        <f>SUM(F26:F33)</f>
        <v>0</v>
      </c>
      <c r="G35" s="277"/>
      <c r="H35" s="279">
        <f>SUM(H26:H33)</f>
        <v>0</v>
      </c>
      <c r="I35" s="279">
        <f>SUM(I26:I33)</f>
        <v>47398.459999999992</v>
      </c>
      <c r="J35" s="279">
        <f>SUM(J26:J33)</f>
        <v>47398.459999999992</v>
      </c>
      <c r="K35" s="269"/>
      <c r="L35" s="272"/>
      <c r="M35" s="272"/>
    </row>
    <row r="36" spans="2:13" ht="15.75">
      <c r="B36" s="430"/>
      <c r="C36" s="277"/>
      <c r="D36" s="277"/>
      <c r="E36" s="277"/>
      <c r="F36" s="277"/>
      <c r="G36" s="277"/>
      <c r="H36" s="277"/>
      <c r="I36" s="277"/>
      <c r="J36" s="277"/>
      <c r="K36" s="269"/>
      <c r="L36" s="269"/>
      <c r="M36" s="269"/>
    </row>
    <row r="37" spans="2:13" ht="16.5" thickBot="1">
      <c r="B37" s="431" t="s">
        <v>271</v>
      </c>
      <c r="C37" s="299">
        <f>+C24+C35</f>
        <v>524380.97</v>
      </c>
      <c r="D37" s="299">
        <f>+D24+D35</f>
        <v>264698.54000000004</v>
      </c>
      <c r="E37" s="299">
        <f>+E24+E35</f>
        <v>0</v>
      </c>
      <c r="F37" s="299">
        <f>+F24+F35</f>
        <v>0</v>
      </c>
      <c r="G37" s="277"/>
      <c r="H37" s="299">
        <f>+H24+H35</f>
        <v>-307080.89</v>
      </c>
      <c r="I37" s="299">
        <f>+I24+I35</f>
        <v>47398.459999999992</v>
      </c>
      <c r="J37" s="299">
        <f>+J24+J35</f>
        <v>-259682.43000000002</v>
      </c>
      <c r="K37" s="269"/>
      <c r="L37" s="290"/>
      <c r="M37" s="290"/>
    </row>
    <row r="38" spans="2:13" ht="16.5" thickTop="1">
      <c r="B38" s="268" t="s">
        <v>383</v>
      </c>
      <c r="C38" s="269"/>
      <c r="D38" s="269"/>
      <c r="E38" s="269"/>
      <c r="F38" s="269"/>
      <c r="G38" s="269"/>
      <c r="H38" s="269"/>
      <c r="I38" s="269"/>
      <c r="J38" s="269"/>
      <c r="K38" s="269"/>
      <c r="L38" s="269"/>
      <c r="M38" s="269"/>
    </row>
    <row r="39" spans="2:13" ht="15">
      <c r="C39" s="269"/>
      <c r="D39" s="269"/>
      <c r="E39" s="269"/>
      <c r="F39" s="269"/>
      <c r="G39" s="269"/>
      <c r="H39" s="291"/>
      <c r="I39" s="291"/>
      <c r="J39" s="291"/>
      <c r="K39" s="269"/>
      <c r="L39" s="269"/>
      <c r="M39" s="269"/>
    </row>
    <row r="40" spans="2:13" ht="15.75" thickBot="1">
      <c r="B40" s="263"/>
      <c r="C40" s="271"/>
      <c r="D40" s="271"/>
      <c r="E40" s="271"/>
      <c r="F40" s="271"/>
      <c r="G40" s="269"/>
      <c r="H40" s="292"/>
      <c r="I40" s="292"/>
      <c r="J40" s="292"/>
      <c r="K40" s="269"/>
      <c r="L40" s="271"/>
      <c r="M40" s="271"/>
    </row>
    <row r="41" spans="2:13" ht="15">
      <c r="B41" s="263"/>
      <c r="C41" s="269"/>
      <c r="D41" s="269"/>
      <c r="E41" s="269"/>
      <c r="F41" s="269"/>
      <c r="G41" s="269"/>
      <c r="H41" s="291"/>
      <c r="I41" s="291"/>
      <c r="J41" s="291"/>
      <c r="K41" s="269"/>
      <c r="L41" s="269"/>
      <c r="M41" s="269"/>
    </row>
    <row r="42" spans="2:13" ht="16.5" thickBot="1">
      <c r="B42" s="266" t="s">
        <v>270</v>
      </c>
      <c r="C42" s="299">
        <f>SUM(C39:C40)</f>
        <v>0</v>
      </c>
      <c r="D42" s="299">
        <f>SUM(D39:D40)</f>
        <v>0</v>
      </c>
      <c r="E42" s="299">
        <f>SUM(E39:E40)</f>
        <v>0</v>
      </c>
      <c r="F42" s="299">
        <f>SUM(F39:F40)</f>
        <v>0</v>
      </c>
      <c r="G42" s="269"/>
      <c r="H42" s="293"/>
      <c r="I42" s="293"/>
      <c r="J42" s="293"/>
      <c r="K42" s="269"/>
      <c r="L42" s="299">
        <f>SUM(L39:L40)</f>
        <v>0</v>
      </c>
      <c r="M42" s="299">
        <f>SUM(M39:M40)</f>
        <v>0</v>
      </c>
    </row>
    <row r="43" spans="2:13" ht="15.75" thickTop="1">
      <c r="B43" s="263"/>
      <c r="C43" s="288"/>
      <c r="D43" s="288"/>
      <c r="E43" s="288"/>
      <c r="F43" s="288"/>
      <c r="G43" s="288"/>
      <c r="H43" s="288"/>
      <c r="I43" s="288"/>
      <c r="J43" s="288"/>
      <c r="K43" s="288"/>
      <c r="L43" s="288"/>
      <c r="M43" s="288"/>
    </row>
    <row r="44" spans="2:13" ht="15">
      <c r="B44" s="263"/>
      <c r="C44" s="326" t="s">
        <v>272</v>
      </c>
      <c r="D44" s="326"/>
      <c r="E44" s="326"/>
      <c r="F44" s="326"/>
      <c r="G44" s="326"/>
      <c r="H44" s="277"/>
      <c r="I44" s="269"/>
      <c r="J44" s="269"/>
      <c r="K44" s="288"/>
      <c r="L44" s="288"/>
      <c r="M44" s="288"/>
    </row>
    <row r="45" spans="2:13" ht="15">
      <c r="B45" s="263"/>
      <c r="C45" s="326" t="s">
        <v>274</v>
      </c>
      <c r="D45" s="326"/>
      <c r="E45" s="326"/>
      <c r="F45" s="326"/>
      <c r="G45" s="326"/>
      <c r="H45" s="277">
        <f>+'Revenue Analysis'!N25</f>
        <v>153077</v>
      </c>
      <c r="I45" s="277">
        <f>+'CHANGE NET POSITION-PROP.(19)'!H30</f>
        <v>0</v>
      </c>
      <c r="J45" s="277">
        <f t="shared" ref="J45:J55" si="4">+H45+I45</f>
        <v>153077</v>
      </c>
      <c r="K45" s="288"/>
      <c r="L45" s="269"/>
      <c r="M45" s="269"/>
    </row>
    <row r="46" spans="2:13" ht="15">
      <c r="B46" s="263"/>
      <c r="C46" s="326" t="s">
        <v>273</v>
      </c>
      <c r="D46" s="326"/>
      <c r="E46" s="326"/>
      <c r="F46" s="326"/>
      <c r="G46" s="326"/>
      <c r="H46" s="277">
        <f>+'Revenue Analysis'!N26</f>
        <v>0</v>
      </c>
      <c r="I46" s="269"/>
      <c r="J46" s="277">
        <f t="shared" si="4"/>
        <v>0</v>
      </c>
      <c r="K46" s="288"/>
      <c r="L46" s="269"/>
      <c r="M46" s="269"/>
    </row>
    <row r="47" spans="2:13" ht="15">
      <c r="B47" s="263"/>
      <c r="C47" s="326" t="s">
        <v>275</v>
      </c>
      <c r="D47" s="326"/>
      <c r="E47" s="326"/>
      <c r="F47" s="326"/>
      <c r="G47" s="326"/>
      <c r="H47" s="277">
        <f>+'Revenue Analysis'!N27</f>
        <v>1410</v>
      </c>
      <c r="I47" s="269"/>
      <c r="J47" s="277">
        <f t="shared" si="4"/>
        <v>1410</v>
      </c>
      <c r="K47" s="288"/>
      <c r="L47" s="269"/>
      <c r="M47" s="269"/>
    </row>
    <row r="48" spans="2:13" ht="15">
      <c r="B48" s="263"/>
      <c r="C48" s="326" t="s">
        <v>1198</v>
      </c>
      <c r="D48" s="326"/>
      <c r="E48" s="326"/>
      <c r="F48" s="326"/>
      <c r="G48" s="326"/>
      <c r="H48" s="277">
        <f>+'Revenue Analysis'!N28</f>
        <v>135596.35</v>
      </c>
      <c r="I48" s="269">
        <f>+'CHANGE NET POSITION-PROP.(19)'!H32</f>
        <v>13010.1</v>
      </c>
      <c r="J48" s="277">
        <f t="shared" si="4"/>
        <v>148606.45000000001</v>
      </c>
      <c r="K48" s="288"/>
      <c r="L48" s="269"/>
      <c r="M48" s="269"/>
    </row>
    <row r="49" spans="2:13" ht="15">
      <c r="B49" s="263"/>
      <c r="C49" s="326" t="s">
        <v>276</v>
      </c>
      <c r="D49" s="326"/>
      <c r="E49" s="326"/>
      <c r="F49" s="326"/>
      <c r="G49" s="326"/>
      <c r="H49" s="277">
        <f>+'Revenue Analysis'!N29</f>
        <v>0</v>
      </c>
      <c r="I49" s="269"/>
      <c r="J49" s="277">
        <f t="shared" si="4"/>
        <v>0</v>
      </c>
      <c r="K49" s="288"/>
      <c r="L49" s="269"/>
      <c r="M49" s="269"/>
    </row>
    <row r="50" spans="2:13" ht="15">
      <c r="B50" s="263"/>
      <c r="C50" s="326" t="s">
        <v>277</v>
      </c>
      <c r="D50" s="326"/>
      <c r="E50" s="326"/>
      <c r="F50" s="326"/>
      <c r="G50" s="326"/>
      <c r="H50" s="277">
        <f>+'Revenue Analysis'!N30</f>
        <v>411.29000000000008</v>
      </c>
      <c r="I50" s="277">
        <f>+'CHANGE NET POSITION-PROP.(19)'!H33</f>
        <v>438.76000000000005</v>
      </c>
      <c r="J50" s="277">
        <f t="shared" si="4"/>
        <v>850.05000000000018</v>
      </c>
      <c r="K50" s="288"/>
      <c r="L50" s="269"/>
      <c r="M50" s="269"/>
    </row>
    <row r="51" spans="2:13" ht="15">
      <c r="B51" s="263"/>
      <c r="C51" s="326" t="s">
        <v>290</v>
      </c>
      <c r="D51" s="326"/>
      <c r="E51" s="326"/>
      <c r="F51" s="326"/>
      <c r="G51" s="326"/>
      <c r="H51" s="277">
        <f>+'Revenue Analysis'!I35</f>
        <v>0</v>
      </c>
      <c r="I51" s="269"/>
      <c r="J51" s="277">
        <f t="shared" si="4"/>
        <v>0</v>
      </c>
      <c r="K51" s="288"/>
      <c r="L51" s="269"/>
      <c r="M51" s="269"/>
    </row>
    <row r="52" spans="2:13" ht="15">
      <c r="B52" s="263"/>
      <c r="C52" s="326" t="s">
        <v>278</v>
      </c>
      <c r="D52" s="326"/>
      <c r="E52" s="326"/>
      <c r="F52" s="326"/>
      <c r="G52" s="326"/>
      <c r="H52" s="277">
        <f>+'Revenue Analysis'!N32</f>
        <v>0</v>
      </c>
      <c r="I52" s="269">
        <f>'CHANGE NET POSITION-PROP.(19)'!H34</f>
        <v>0</v>
      </c>
      <c r="J52" s="277">
        <f t="shared" si="4"/>
        <v>0</v>
      </c>
      <c r="K52" s="288"/>
      <c r="L52" s="269"/>
      <c r="M52" s="269"/>
    </row>
    <row r="53" spans="2:13" ht="15">
      <c r="B53" s="263"/>
      <c r="C53" s="326" t="s">
        <v>1763</v>
      </c>
      <c r="D53" s="326"/>
      <c r="E53" s="326"/>
      <c r="F53" s="326"/>
      <c r="G53" s="326"/>
      <c r="H53" s="277">
        <f>+'Revenue Analysis'!N33</f>
        <v>0</v>
      </c>
      <c r="I53" s="269">
        <f>'CHANGE NET POSITION-PROP.(19)'!H43</f>
        <v>0</v>
      </c>
      <c r="J53" s="277">
        <f t="shared" si="4"/>
        <v>0</v>
      </c>
      <c r="K53" s="288"/>
      <c r="L53" s="269"/>
      <c r="M53" s="269"/>
    </row>
    <row r="54" spans="2:13" ht="15">
      <c r="B54" s="263"/>
      <c r="C54" s="326" t="s">
        <v>1766</v>
      </c>
      <c r="D54" s="326"/>
      <c r="E54" s="326"/>
      <c r="F54" s="326"/>
      <c r="G54" s="326"/>
      <c r="H54" s="277">
        <f>+'Revenue Analysis'!N34</f>
        <v>0</v>
      </c>
      <c r="I54" s="269">
        <f>'CHANGE NET POSITION-PROP.(19)'!H36+'CHANGE NET POSITION-PROP.(19)'!H37+'CHANGE NET POSITION-PROP.(19)'!H38+'CHANGE NET POSITION-PROP.(19)'!H39</f>
        <v>900</v>
      </c>
      <c r="J54" s="277">
        <f t="shared" si="4"/>
        <v>900</v>
      </c>
      <c r="K54" s="288"/>
      <c r="L54" s="269"/>
      <c r="M54" s="269"/>
    </row>
    <row r="55" spans="2:13" ht="15.75" thickBot="1">
      <c r="B55" s="263"/>
      <c r="C55" s="326"/>
      <c r="D55" s="326"/>
      <c r="E55" s="326"/>
      <c r="F55" s="326"/>
      <c r="G55" s="326"/>
      <c r="H55" s="278"/>
      <c r="I55" s="278"/>
      <c r="J55" s="278">
        <f t="shared" si="4"/>
        <v>0</v>
      </c>
      <c r="K55" s="288"/>
      <c r="L55" s="271"/>
      <c r="M55" s="271"/>
    </row>
    <row r="56" spans="2:13" ht="16.5" thickBot="1">
      <c r="B56" s="263"/>
      <c r="C56" s="686" t="s">
        <v>280</v>
      </c>
      <c r="D56" s="686"/>
      <c r="E56" s="686"/>
      <c r="F56" s="326"/>
      <c r="G56" s="326"/>
      <c r="H56" s="278">
        <f>SUM(H44:H55)</f>
        <v>290494.63999999996</v>
      </c>
      <c r="I56" s="278">
        <f>SUM(I44:I55)</f>
        <v>14348.86</v>
      </c>
      <c r="J56" s="278">
        <f>SUM(J44:J55)</f>
        <v>304843.5</v>
      </c>
      <c r="K56" s="288"/>
      <c r="L56" s="278">
        <f>SUM(L44:L55)</f>
        <v>0</v>
      </c>
      <c r="M56" s="278">
        <f>SUM(M44:M55)</f>
        <v>0</v>
      </c>
    </row>
    <row r="57" spans="2:13" ht="15">
      <c r="B57" s="263"/>
      <c r="C57" s="294" t="s">
        <v>1846</v>
      </c>
      <c r="D57" s="294"/>
      <c r="E57" s="294"/>
      <c r="F57" s="288"/>
      <c r="G57" s="288"/>
      <c r="H57" s="277">
        <f>+H37+H56</f>
        <v>-16586.250000000058</v>
      </c>
      <c r="I57" s="277">
        <f>+I37+I56</f>
        <v>61747.319999999992</v>
      </c>
      <c r="J57" s="277">
        <f>+J37+J56</f>
        <v>45161.069999999978</v>
      </c>
      <c r="K57" s="288"/>
      <c r="L57" s="277">
        <f>L42+L56</f>
        <v>0</v>
      </c>
      <c r="M57" s="277">
        <f>M42+M56</f>
        <v>0</v>
      </c>
    </row>
    <row r="58" spans="2:13" ht="15">
      <c r="B58" s="263"/>
      <c r="C58" s="295" t="s">
        <v>3244</v>
      </c>
      <c r="D58" s="294"/>
      <c r="E58" s="294"/>
      <c r="F58" s="288"/>
      <c r="G58" s="288"/>
      <c r="H58" s="277">
        <f>+'OP Conversion'!Q54</f>
        <v>290959.78000000014</v>
      </c>
      <c r="I58" s="277">
        <f>+'CHANGE NET POSITION-PROP.(19)'!H45</f>
        <v>327418.7</v>
      </c>
      <c r="J58" s="277">
        <f>+H58+I58</f>
        <v>618378.48000000021</v>
      </c>
      <c r="K58" s="288"/>
      <c r="L58" s="269"/>
      <c r="M58" s="269"/>
    </row>
    <row r="59" spans="2:13" ht="15.75" thickBot="1">
      <c r="B59" s="263"/>
      <c r="C59" s="296" t="s">
        <v>1153</v>
      </c>
      <c r="D59" s="294"/>
      <c r="E59" s="294"/>
      <c r="F59" s="288"/>
      <c r="G59" s="288"/>
      <c r="H59" s="278">
        <f>+'OP Conversion'!Q55</f>
        <v>0</v>
      </c>
      <c r="I59" s="278">
        <f>+'CHANGE NET POSITION-PROP.(19)'!H46</f>
        <v>0</v>
      </c>
      <c r="J59" s="278">
        <f>+H59+I59</f>
        <v>0</v>
      </c>
      <c r="K59" s="288"/>
      <c r="L59" s="269"/>
      <c r="M59" s="269"/>
    </row>
    <row r="60" spans="2:13" ht="15.75" thickBot="1">
      <c r="B60" s="263"/>
      <c r="C60" s="263" t="s">
        <v>3245</v>
      </c>
      <c r="D60" s="288"/>
      <c r="E60" s="288"/>
      <c r="F60" s="288"/>
      <c r="G60" s="288"/>
      <c r="H60" s="278">
        <f>+'OP Conversion'!Q56</f>
        <v>290959.78000000014</v>
      </c>
      <c r="I60" s="278">
        <f>+'CHANGE NET POSITION-PROP.(19)'!H47</f>
        <v>327418.7</v>
      </c>
      <c r="J60" s="278">
        <f>+H60+I60</f>
        <v>618378.48000000021</v>
      </c>
      <c r="K60" s="288"/>
      <c r="L60" s="271"/>
      <c r="M60" s="271"/>
    </row>
    <row r="61" spans="2:13" ht="15.75" thickBot="1">
      <c r="B61" s="263"/>
      <c r="C61" s="288" t="s">
        <v>3246</v>
      </c>
      <c r="D61" s="288"/>
      <c r="E61" s="288"/>
      <c r="F61" s="288"/>
      <c r="G61" s="288"/>
      <c r="H61" s="299">
        <f>+H57+H60</f>
        <v>274373.53000000009</v>
      </c>
      <c r="I61" s="299">
        <f>+I57+I60</f>
        <v>389166.02</v>
      </c>
      <c r="J61" s="299">
        <f>+J57+J60</f>
        <v>663539.55000000016</v>
      </c>
      <c r="K61" s="288"/>
      <c r="L61" s="299">
        <f>+L57+L60</f>
        <v>0</v>
      </c>
      <c r="M61" s="299">
        <f>+M57+M60</f>
        <v>0</v>
      </c>
    </row>
    <row r="62" spans="2:13" ht="13.5" thickTop="1"/>
    <row r="63" spans="2:13" ht="15.75">
      <c r="B63" s="297"/>
      <c r="H63" s="298"/>
    </row>
    <row r="64" spans="2:13" ht="15">
      <c r="H64" s="269"/>
    </row>
  </sheetData>
  <sheetProtection password="D950" sheet="1" scenarios="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gridLines="1"/>
  <pageMargins left="0.12" right="0.55000000000000004" top="0.48" bottom="0.49" header="0.5" footer="0.5"/>
  <pageSetup scale="58" orientation="landscape" horizontalDpi="360" verticalDpi="360" r:id="rId2"/>
  <headerFooter alignWithMargins="0"/>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4"/>
  <sheetViews>
    <sheetView zoomScaleNormal="100" workbookViewId="0">
      <pane xSplit="3" ySplit="10" topLeftCell="D49" activePane="bottomRight" state="frozen"/>
      <selection pane="topRight" activeCell="D1" sqref="D1"/>
      <selection pane="bottomLeft" activeCell="A11" sqref="A11"/>
      <selection pane="bottomRight" activeCell="H71" sqref="H71"/>
    </sheetView>
  </sheetViews>
  <sheetFormatPr defaultColWidth="8.85546875" defaultRowHeight="12.75"/>
  <cols>
    <col min="1" max="1" width="5.5703125" style="261" customWidth="1"/>
    <col min="2" max="2" width="12.7109375" style="261" customWidth="1"/>
    <col min="3" max="3" width="45.7109375" style="261" customWidth="1"/>
    <col min="4" max="8" width="15.7109375" style="261" customWidth="1"/>
    <col min="9" max="11" width="15.7109375" style="261" hidden="1" customWidth="1"/>
    <col min="12" max="13" width="15.7109375" style="261" customWidth="1"/>
    <col min="14" max="16384" width="8.85546875" style="261"/>
  </cols>
  <sheetData>
    <row r="1" spans="1:13" ht="18">
      <c r="A1" s="308"/>
      <c r="B1" s="866" t="str">
        <f>+'GW-STATEMENT NET POSITION(13)'!A1</f>
        <v>TOWN OF BROADUS</v>
      </c>
      <c r="C1" s="699"/>
      <c r="D1" s="866"/>
      <c r="E1" s="866"/>
      <c r="F1" s="866"/>
      <c r="G1" s="866"/>
      <c r="H1" s="866"/>
      <c r="I1" s="866"/>
      <c r="J1" s="866"/>
      <c r="K1" s="259"/>
      <c r="L1" s="259"/>
      <c r="M1" s="259"/>
    </row>
    <row r="2" spans="1:13" ht="18">
      <c r="A2" s="308"/>
      <c r="B2" s="866" t="s">
        <v>1199</v>
      </c>
      <c r="C2" s="699"/>
      <c r="D2" s="866"/>
      <c r="E2" s="866"/>
      <c r="F2" s="866"/>
      <c r="G2" s="866"/>
      <c r="H2" s="866"/>
      <c r="I2" s="866"/>
      <c r="J2" s="866"/>
      <c r="K2" s="259"/>
      <c r="L2" s="259"/>
      <c r="M2" s="259"/>
    </row>
    <row r="3" spans="1:13" ht="18">
      <c r="A3" s="308"/>
      <c r="B3" s="866" t="s">
        <v>1200</v>
      </c>
      <c r="C3" s="699"/>
      <c r="D3" s="866"/>
      <c r="E3" s="866"/>
      <c r="F3" s="866"/>
      <c r="G3" s="866"/>
      <c r="H3" s="866"/>
      <c r="I3" s="866"/>
      <c r="J3" s="866"/>
      <c r="K3" s="259"/>
      <c r="L3" s="259"/>
      <c r="M3" s="259"/>
    </row>
    <row r="4" spans="1:13" ht="18">
      <c r="A4" s="308"/>
      <c r="B4" s="867" t="str">
        <f>+'GW-STATEMENT NET POSITION(13)'!A3</f>
        <v>FISCAL YEAR ENDING JUNE 30, 2017</v>
      </c>
      <c r="C4" s="699"/>
      <c r="D4" s="866"/>
      <c r="E4" s="866"/>
      <c r="F4" s="866"/>
      <c r="G4" s="866"/>
      <c r="H4" s="866"/>
      <c r="I4" s="866"/>
      <c r="J4" s="866"/>
      <c r="K4" s="259"/>
      <c r="L4" s="259"/>
      <c r="M4" s="259"/>
    </row>
    <row r="6" spans="1:13" ht="16.5" thickBot="1">
      <c r="C6" s="263"/>
      <c r="D6" s="263"/>
      <c r="E6" s="264" t="s">
        <v>239</v>
      </c>
      <c r="F6" s="265"/>
      <c r="G6" s="265"/>
      <c r="H6" s="265"/>
      <c r="I6" s="265"/>
      <c r="J6" s="265"/>
      <c r="K6" s="265"/>
      <c r="L6" s="263"/>
      <c r="M6" s="263"/>
    </row>
    <row r="7" spans="1:13" ht="15.75">
      <c r="C7" s="263"/>
      <c r="D7" s="430" t="s">
        <v>2077</v>
      </c>
      <c r="E7" s="746" t="s">
        <v>3675</v>
      </c>
      <c r="F7" s="746" t="s">
        <v>3676</v>
      </c>
      <c r="G7" s="746" t="s">
        <v>3677</v>
      </c>
      <c r="H7" s="746" t="s">
        <v>3678</v>
      </c>
      <c r="I7" s="746" t="s">
        <v>1955</v>
      </c>
      <c r="J7" s="746" t="s">
        <v>1955</v>
      </c>
      <c r="K7" s="746" t="s">
        <v>1955</v>
      </c>
      <c r="L7" s="430" t="s">
        <v>1202</v>
      </c>
      <c r="M7" s="430" t="s">
        <v>1058</v>
      </c>
    </row>
    <row r="8" spans="1:13" ht="15.75">
      <c r="B8" s="430" t="s">
        <v>177</v>
      </c>
      <c r="C8" s="411"/>
      <c r="D8" s="1449" t="s">
        <v>1201</v>
      </c>
      <c r="E8" s="1447" t="s">
        <v>3680</v>
      </c>
      <c r="F8" s="1447" t="s">
        <v>3681</v>
      </c>
      <c r="G8" s="1447" t="s">
        <v>3682</v>
      </c>
      <c r="H8" s="1447" t="s">
        <v>3679</v>
      </c>
      <c r="I8" s="1447" t="s">
        <v>2612</v>
      </c>
      <c r="J8" s="1447" t="s">
        <v>2612</v>
      </c>
      <c r="K8" s="1447" t="s">
        <v>2612</v>
      </c>
      <c r="L8" s="430" t="s">
        <v>1056</v>
      </c>
      <c r="M8" s="430" t="s">
        <v>1056</v>
      </c>
    </row>
    <row r="9" spans="1:13" ht="16.5" thickBot="1">
      <c r="B9" s="676" t="s">
        <v>178</v>
      </c>
      <c r="C9" s="676" t="s">
        <v>179</v>
      </c>
      <c r="D9" s="1450"/>
      <c r="E9" s="1448"/>
      <c r="F9" s="1448"/>
      <c r="G9" s="1448"/>
      <c r="H9" s="1448"/>
      <c r="I9" s="1448"/>
      <c r="J9" s="1448"/>
      <c r="K9" s="1448"/>
      <c r="L9" s="676" t="s">
        <v>1203</v>
      </c>
      <c r="M9" s="676" t="s">
        <v>1203</v>
      </c>
    </row>
    <row r="10" spans="1:13" ht="15.75">
      <c r="B10" s="428"/>
      <c r="C10" s="431" t="s">
        <v>1060</v>
      </c>
      <c r="D10" s="277"/>
      <c r="E10" s="277"/>
      <c r="F10" s="277"/>
      <c r="G10" s="277"/>
      <c r="H10" s="277"/>
      <c r="I10" s="277"/>
      <c r="J10" s="277"/>
      <c r="K10" s="277"/>
      <c r="L10" s="687"/>
      <c r="M10" s="277"/>
    </row>
    <row r="11" spans="1:13" ht="15">
      <c r="B11" s="429">
        <v>101000</v>
      </c>
      <c r="C11" s="411" t="s">
        <v>1061</v>
      </c>
      <c r="D11" s="269">
        <v>136298.51</v>
      </c>
      <c r="E11" s="269">
        <v>2416.62</v>
      </c>
      <c r="F11" s="269">
        <v>33922.81</v>
      </c>
      <c r="G11" s="269">
        <v>5126.08</v>
      </c>
      <c r="H11" s="269">
        <v>6506</v>
      </c>
      <c r="I11" s="269"/>
      <c r="J11" s="269"/>
      <c r="K11" s="269"/>
      <c r="L11" s="277">
        <f>+'BS-NONMAJOR SP. REVENUE(63-64) '!BN8+'BS-NONMAJOR DEBT SERVICE(67-68)'!M6+'BS-NONMAJOR CAP. PROJ.(71-72)'!N6+'BS-PERMANENT FUNDS(75-76)'!H6</f>
        <v>39017.39</v>
      </c>
      <c r="M11" s="277">
        <f>SUM(D11:L11)</f>
        <v>223287.40999999997</v>
      </c>
    </row>
    <row r="12" spans="1:13" ht="15">
      <c r="B12" s="429">
        <v>103000</v>
      </c>
      <c r="C12" s="411" t="s">
        <v>1205</v>
      </c>
      <c r="D12" s="269">
        <v>100</v>
      </c>
      <c r="E12" s="269"/>
      <c r="F12" s="269"/>
      <c r="G12" s="269"/>
      <c r="H12" s="269"/>
      <c r="I12" s="269"/>
      <c r="J12" s="269"/>
      <c r="K12" s="269"/>
      <c r="L12" s="277">
        <f>+'BS-NONMAJOR SP. REVENUE(63-64) '!BN9+'BS-NONMAJOR DEBT SERVICE(67-68)'!M7+'BS-NONMAJOR CAP. PROJ.(71-72)'!N7+'BS-NONMAJOR CAP. PROJ.(71-72)'!N7</f>
        <v>0</v>
      </c>
      <c r="M12" s="277">
        <f>SUM(D12:L12)</f>
        <v>100</v>
      </c>
    </row>
    <row r="13" spans="1:13" ht="15">
      <c r="B13" s="429">
        <v>101100</v>
      </c>
      <c r="C13" s="411" t="s">
        <v>1062</v>
      </c>
      <c r="D13" s="269"/>
      <c r="E13" s="269"/>
      <c r="F13" s="269"/>
      <c r="G13" s="269"/>
      <c r="H13" s="269"/>
      <c r="I13" s="269"/>
      <c r="J13" s="269"/>
      <c r="K13" s="269"/>
      <c r="L13" s="277">
        <f>+'BS-NONMAJOR SP. REVENUE(63-64) '!BN10+'BS-NONMAJOR DEBT SERVICE(67-68)'!M8+'BS-NONMAJOR CAP. PROJ.(71-72)'!N8+'BS-PERMANENT FUNDS(75-76)'!H8</f>
        <v>0</v>
      </c>
      <c r="M13" s="277">
        <f>SUM(D13:L13)</f>
        <v>0</v>
      </c>
    </row>
    <row r="14" spans="1:13" ht="15">
      <c r="B14" s="429"/>
      <c r="C14" s="411" t="s">
        <v>1066</v>
      </c>
      <c r="D14" s="269"/>
      <c r="E14" s="269"/>
      <c r="F14" s="269"/>
      <c r="G14" s="269"/>
      <c r="H14" s="269"/>
      <c r="I14" s="269"/>
      <c r="J14" s="269"/>
      <c r="K14" s="269"/>
      <c r="L14" s="277"/>
      <c r="M14" s="277"/>
    </row>
    <row r="15" spans="1:13" ht="15">
      <c r="B15" s="429">
        <v>102200</v>
      </c>
      <c r="C15" s="411" t="s">
        <v>1206</v>
      </c>
      <c r="D15" s="269"/>
      <c r="E15" s="269"/>
      <c r="F15" s="269"/>
      <c r="G15" s="269"/>
      <c r="H15" s="269"/>
      <c r="I15" s="269"/>
      <c r="J15" s="269"/>
      <c r="K15" s="269"/>
      <c r="L15" s="277">
        <f>+'BS-NONMAJOR SP. REVENUE(63-64) '!BN11+'BS-NONMAJOR DEBT SERVICE(67-68)'!M9+'BS-NONMAJOR CAP. PROJ.(71-72)'!N9+'BS-PERMANENT FUNDS(75-76)'!H9</f>
        <v>0</v>
      </c>
      <c r="M15" s="277">
        <f t="shared" ref="M15:M24" si="0">SUM(D15:L15)</f>
        <v>0</v>
      </c>
    </row>
    <row r="16" spans="1:13" ht="15">
      <c r="B16" s="429">
        <v>102300</v>
      </c>
      <c r="C16" s="411" t="s">
        <v>1207</v>
      </c>
      <c r="D16" s="269"/>
      <c r="E16" s="269"/>
      <c r="F16" s="269"/>
      <c r="G16" s="269"/>
      <c r="H16" s="269"/>
      <c r="I16" s="269"/>
      <c r="J16" s="269"/>
      <c r="K16" s="269"/>
      <c r="L16" s="277">
        <f>+'BS-NONMAJOR SP. REVENUE(63-64) '!BN12+'BS-NONMAJOR DEBT SERVICE(67-68)'!M10+'BS-NONMAJOR CAP. PROJ.(71-72)'!N10+'BS-PERMANENT FUNDS(75-76)'!H10</f>
        <v>0</v>
      </c>
      <c r="M16" s="277">
        <f t="shared" si="0"/>
        <v>0</v>
      </c>
    </row>
    <row r="17" spans="2:13" ht="15">
      <c r="B17" s="429">
        <v>106000</v>
      </c>
      <c r="C17" s="411" t="s">
        <v>1020</v>
      </c>
      <c r="D17" s="269"/>
      <c r="E17" s="269"/>
      <c r="F17" s="269"/>
      <c r="G17" s="269"/>
      <c r="H17" s="269"/>
      <c r="I17" s="269"/>
      <c r="J17" s="269"/>
      <c r="K17" s="269"/>
      <c r="L17" s="277">
        <f>+'BS-NONMAJOR SP. REVENUE(63-64) '!BN13+'BS-NONMAJOR DEBT SERVICE(67-68)'!M11+'BS-NONMAJOR CAP. PROJ.(71-72)'!N11+'BS-PERMANENT FUNDS(75-76)'!H11</f>
        <v>0</v>
      </c>
      <c r="M17" s="277">
        <f>SUM(D17:L17)</f>
        <v>0</v>
      </c>
    </row>
    <row r="18" spans="2:13" ht="30">
      <c r="B18" s="429">
        <v>110000</v>
      </c>
      <c r="C18" s="678" t="s">
        <v>1208</v>
      </c>
      <c r="D18" s="269">
        <v>5557.86</v>
      </c>
      <c r="E18" s="269">
        <v>695.14</v>
      </c>
      <c r="F18" s="269">
        <v>4020.1</v>
      </c>
      <c r="G18" s="269"/>
      <c r="H18" s="269"/>
      <c r="I18" s="269"/>
      <c r="J18" s="269"/>
      <c r="K18" s="269"/>
      <c r="L18" s="277">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1546.0900000000001</v>
      </c>
      <c r="M18" s="277">
        <f t="shared" si="0"/>
        <v>11819.19</v>
      </c>
    </row>
    <row r="19" spans="2:13" ht="30">
      <c r="B19" s="429">
        <v>120000</v>
      </c>
      <c r="C19" s="678" t="s">
        <v>665</v>
      </c>
      <c r="D19" s="269"/>
      <c r="E19" s="269"/>
      <c r="F19" s="269"/>
      <c r="G19" s="269"/>
      <c r="H19" s="269"/>
      <c r="I19" s="269"/>
      <c r="J19" s="269"/>
      <c r="K19" s="269"/>
      <c r="L19" s="277">
        <f>+'BS-NONMAJOR SP. REVENUE(63-64) '!BN21+'BS-NONMAJOR DEBT SERVICE(67-68)'!M19+'BS-NONMAJOR CAP. PROJ.(71-72)'!N19+'BS-PERMANENT FUNDS(75-76)'!H19</f>
        <v>0</v>
      </c>
      <c r="M19" s="277">
        <f t="shared" si="0"/>
        <v>0</v>
      </c>
    </row>
    <row r="20" spans="2:13" ht="15">
      <c r="B20" s="429">
        <v>131000</v>
      </c>
      <c r="C20" s="411" t="s">
        <v>249</v>
      </c>
      <c r="D20" s="269"/>
      <c r="E20" s="269"/>
      <c r="F20" s="269"/>
      <c r="G20" s="269"/>
      <c r="H20" s="269"/>
      <c r="I20" s="269"/>
      <c r="J20" s="269"/>
      <c r="K20" s="269"/>
      <c r="L20" s="277">
        <f>+'BS-NONMAJOR SP. REVENUE(63-64) '!BN22+'BS-NONMAJOR DEBT SERVICE(67-68)'!M20+'BS-NONMAJOR CAP. PROJ.(71-72)'!N20+'BS-PERMANENT FUNDS(75-76)'!H20</f>
        <v>0</v>
      </c>
      <c r="M20" s="277">
        <f t="shared" si="0"/>
        <v>0</v>
      </c>
    </row>
    <row r="21" spans="2:13" ht="15">
      <c r="B21" s="429">
        <v>132000</v>
      </c>
      <c r="C21" s="411" t="s">
        <v>250</v>
      </c>
      <c r="D21" s="269"/>
      <c r="E21" s="269"/>
      <c r="F21" s="269"/>
      <c r="G21" s="269"/>
      <c r="H21" s="269"/>
      <c r="I21" s="269"/>
      <c r="J21" s="269"/>
      <c r="K21" s="269"/>
      <c r="L21" s="277">
        <f>+'BS-NONMAJOR SP. REVENUE(63-64) '!BN23+'BS-NONMAJOR DEBT SERVICE(67-68)'!M21+'BS-NONMAJOR CAP. PROJ.(71-72)'!N21+'BS-PERMANENT FUNDS(75-76)'!H21</f>
        <v>0</v>
      </c>
      <c r="M21" s="277">
        <f t="shared" si="0"/>
        <v>0</v>
      </c>
    </row>
    <row r="22" spans="2:13" ht="15">
      <c r="B22" s="429">
        <v>133000</v>
      </c>
      <c r="C22" s="411" t="s">
        <v>1209</v>
      </c>
      <c r="D22" s="269"/>
      <c r="E22" s="302"/>
      <c r="F22" s="269"/>
      <c r="G22" s="302"/>
      <c r="H22" s="302"/>
      <c r="I22" s="302"/>
      <c r="J22" s="302"/>
      <c r="K22" s="302"/>
      <c r="L22" s="277">
        <f>+'BS-NONMAJOR SP. REVENUE(63-64) '!BN24+'BS-NONMAJOR DEBT SERVICE(67-68)'!M22+'BS-NONMAJOR CAP. PROJ.(71-72)'!N22+'BS-PERMANENT FUNDS(75-76)'!H22</f>
        <v>0</v>
      </c>
      <c r="M22" s="277">
        <f t="shared" si="0"/>
        <v>0</v>
      </c>
    </row>
    <row r="23" spans="2:13" ht="15">
      <c r="B23" s="429">
        <v>140000</v>
      </c>
      <c r="C23" s="411" t="s">
        <v>202</v>
      </c>
      <c r="D23" s="269"/>
      <c r="E23" s="302"/>
      <c r="F23" s="269"/>
      <c r="G23" s="302"/>
      <c r="H23" s="302"/>
      <c r="I23" s="302"/>
      <c r="J23" s="302"/>
      <c r="K23" s="302"/>
      <c r="L23" s="277">
        <f>+'BS-NONMAJOR SP. REVENUE(63-64) '!BN25+'BS-NONMAJOR DEBT SERVICE(67-68)'!M23+'BS-NONMAJOR CAP. PROJ.(71-72)'!N23+'BS-PERMANENT FUNDS(75-76)'!H23</f>
        <v>0</v>
      </c>
      <c r="M23" s="277">
        <f t="shared" si="0"/>
        <v>0</v>
      </c>
    </row>
    <row r="24" spans="2:13" ht="15">
      <c r="B24" s="429">
        <v>150000</v>
      </c>
      <c r="C24" s="411" t="s">
        <v>1065</v>
      </c>
      <c r="D24" s="269"/>
      <c r="E24" s="269"/>
      <c r="F24" s="269"/>
      <c r="G24" s="269"/>
      <c r="H24" s="269"/>
      <c r="I24" s="269"/>
      <c r="J24" s="269"/>
      <c r="K24" s="269"/>
      <c r="L24" s="277">
        <f>+'BS-NONMAJOR SP. REVENUE(63-64) '!BN26+'BS-NONMAJOR DEBT SERVICE(67-68)'!M24+'BS-NONMAJOR CAP. PROJ.(71-72)'!N24+'BS-PERMANENT FUNDS(75-76)'!H24</f>
        <v>0</v>
      </c>
      <c r="M24" s="277">
        <f t="shared" si="0"/>
        <v>0</v>
      </c>
    </row>
    <row r="25" spans="2:13" ht="15.75" thickBot="1">
      <c r="B25" s="429">
        <v>170000</v>
      </c>
      <c r="C25" s="411" t="s">
        <v>180</v>
      </c>
      <c r="D25" s="271"/>
      <c r="E25" s="271"/>
      <c r="F25" s="271"/>
      <c r="G25" s="271"/>
      <c r="H25" s="271"/>
      <c r="I25" s="271"/>
      <c r="J25" s="271"/>
      <c r="K25" s="271"/>
      <c r="L25" s="278">
        <f>+'BS-NONMAJOR SP. REVENUE(63-64) '!BN27+'BS-NONMAJOR DEBT SERVICE(67-68)'!M25+'BS-NONMAJOR CAP. PROJ.(71-72)'!N25+'BS-PERMANENT FUNDS(75-76)'!H25</f>
        <v>0</v>
      </c>
      <c r="M25" s="278">
        <f>SUM(D25:L25)</f>
        <v>0</v>
      </c>
    </row>
    <row r="26" spans="2:13" ht="9.75" customHeight="1">
      <c r="B26" s="429"/>
      <c r="C26" s="411"/>
      <c r="D26" s="277"/>
      <c r="E26" s="277"/>
      <c r="F26" s="277"/>
      <c r="G26" s="277"/>
      <c r="H26" s="277"/>
      <c r="I26" s="277"/>
      <c r="J26" s="277"/>
      <c r="K26" s="277"/>
      <c r="L26" s="277"/>
      <c r="M26" s="277"/>
    </row>
    <row r="27" spans="2:13" ht="16.5" thickBot="1">
      <c r="B27" s="429"/>
      <c r="C27" s="799" t="s">
        <v>1069</v>
      </c>
      <c r="D27" s="278">
        <f t="shared" ref="D27:M27" si="1">SUM(D10:D25)</f>
        <v>141956.37</v>
      </c>
      <c r="E27" s="278">
        <f t="shared" si="1"/>
        <v>3111.7599999999998</v>
      </c>
      <c r="F27" s="278">
        <f t="shared" si="1"/>
        <v>37942.909999999996</v>
      </c>
      <c r="G27" s="278">
        <f t="shared" si="1"/>
        <v>5126.08</v>
      </c>
      <c r="H27" s="278">
        <f>SUM(H10:H25)</f>
        <v>6506</v>
      </c>
      <c r="I27" s="278">
        <f>SUM(I10:I25)</f>
        <v>0</v>
      </c>
      <c r="J27" s="278">
        <f>SUM(J10:J25)</f>
        <v>0</v>
      </c>
      <c r="K27" s="278">
        <f>SUM(K10:K25)</f>
        <v>0</v>
      </c>
      <c r="L27" s="278">
        <f t="shared" si="1"/>
        <v>40563.479999999996</v>
      </c>
      <c r="M27" s="278">
        <f t="shared" si="1"/>
        <v>235206.59999999998</v>
      </c>
    </row>
    <row r="28" spans="2:13" ht="15.75">
      <c r="B28" s="429"/>
      <c r="C28" s="677" t="s">
        <v>1903</v>
      </c>
      <c r="D28" s="277"/>
      <c r="E28" s="277"/>
      <c r="F28" s="277"/>
      <c r="G28" s="277"/>
      <c r="H28" s="277"/>
      <c r="I28" s="277"/>
      <c r="J28" s="277"/>
      <c r="K28" s="277"/>
      <c r="L28" s="277"/>
      <c r="M28" s="277"/>
    </row>
    <row r="29" spans="2:13" ht="15">
      <c r="B29" s="300">
        <v>190000</v>
      </c>
      <c r="C29" s="263" t="s">
        <v>1904</v>
      </c>
      <c r="D29" s="269"/>
      <c r="E29" s="269"/>
      <c r="F29" s="269"/>
      <c r="G29" s="269"/>
      <c r="H29" s="269"/>
      <c r="I29" s="269"/>
      <c r="J29" s="269"/>
      <c r="K29" s="269"/>
      <c r="L29" s="277">
        <f>'BS-NONMAJOR SP. REVENUE(63-64) '!BN31+'BS-NONMAJOR DEBT SERVICE(67-68)'!M29+'BS-NONMAJOR CAP. PROJ.(71-72)'!N29+'BS-PERMANENT FUNDS(75-76)'!H29</f>
        <v>0</v>
      </c>
      <c r="M29" s="277">
        <f>SUM(D29:L29)</f>
        <v>0</v>
      </c>
    </row>
    <row r="30" spans="2:13" ht="15.75" thickBot="1">
      <c r="B30" s="300" t="s">
        <v>1957</v>
      </c>
      <c r="C30" s="263" t="s">
        <v>1914</v>
      </c>
      <c r="D30" s="271"/>
      <c r="E30" s="271"/>
      <c r="F30" s="271"/>
      <c r="G30" s="271"/>
      <c r="H30" s="271"/>
      <c r="I30" s="271"/>
      <c r="J30" s="271"/>
      <c r="K30" s="271"/>
      <c r="L30" s="277">
        <f>'BS-NONMAJOR SP. REVENUE(63-64) '!BN32+'BS-NONMAJOR DEBT SERVICE(67-68)'!M30+'BS-NONMAJOR CAP. PROJ.(71-72)'!N30+'BS-PERMANENT FUNDS(75-76)'!H30</f>
        <v>0</v>
      </c>
      <c r="M30" s="278">
        <f>SUM(D30:L30)</f>
        <v>0</v>
      </c>
    </row>
    <row r="31" spans="2:13" ht="22.5" customHeight="1" thickBot="1">
      <c r="B31" s="429"/>
      <c r="C31" s="817" t="s">
        <v>1905</v>
      </c>
      <c r="D31" s="279">
        <f>SUM(D29:D30)</f>
        <v>0</v>
      </c>
      <c r="E31" s="279">
        <f t="shared" ref="E31:K31" si="2">SUM(E29:E30)</f>
        <v>0</v>
      </c>
      <c r="F31" s="279">
        <f t="shared" si="2"/>
        <v>0</v>
      </c>
      <c r="G31" s="279">
        <f t="shared" si="2"/>
        <v>0</v>
      </c>
      <c r="H31" s="279">
        <f t="shared" si="2"/>
        <v>0</v>
      </c>
      <c r="I31" s="279">
        <f t="shared" si="2"/>
        <v>0</v>
      </c>
      <c r="J31" s="279">
        <f t="shared" si="2"/>
        <v>0</v>
      </c>
      <c r="K31" s="279">
        <f t="shared" si="2"/>
        <v>0</v>
      </c>
      <c r="L31" s="279">
        <f t="shared" ref="L31" si="3">SUM(L29:L30)</f>
        <v>0</v>
      </c>
      <c r="M31" s="279">
        <f t="shared" ref="M31" si="4">SUM(M29:M30)</f>
        <v>0</v>
      </c>
    </row>
    <row r="32" spans="2:13" ht="10.5" customHeight="1">
      <c r="B32" s="429"/>
      <c r="C32" s="411"/>
      <c r="D32" s="277"/>
      <c r="E32" s="277"/>
      <c r="F32" s="277"/>
      <c r="G32" s="277"/>
      <c r="H32" s="277"/>
      <c r="I32" s="277"/>
      <c r="J32" s="277"/>
      <c r="K32" s="277"/>
      <c r="L32" s="277"/>
      <c r="M32" s="277"/>
    </row>
    <row r="33" spans="1:13" ht="15.75">
      <c r="B33" s="429"/>
      <c r="C33" s="431" t="s">
        <v>1070</v>
      </c>
      <c r="D33" s="277"/>
      <c r="E33" s="277"/>
      <c r="F33" s="277"/>
      <c r="G33" s="277"/>
      <c r="H33" s="277"/>
      <c r="I33" s="277"/>
      <c r="J33" s="277"/>
      <c r="K33" s="277"/>
      <c r="L33" s="277"/>
      <c r="M33" s="277"/>
    </row>
    <row r="34" spans="1:13" ht="15">
      <c r="B34" s="429">
        <v>201000</v>
      </c>
      <c r="C34" s="411" t="s">
        <v>997</v>
      </c>
      <c r="D34" s="269"/>
      <c r="E34" s="269"/>
      <c r="F34" s="269"/>
      <c r="G34" s="269"/>
      <c r="H34" s="269"/>
      <c r="I34" s="269"/>
      <c r="J34" s="269"/>
      <c r="K34" s="269"/>
      <c r="L34" s="277">
        <f>+'BS-NONMAJOR SP. REVENUE(63-64) '!BN36+'BS-NONMAJOR DEBT SERVICE(67-68)'!M34+'BS-NONMAJOR CAP. PROJ.(71-72)'!N34+'BS-PERMANENT FUNDS(75-76)'!H34</f>
        <v>0</v>
      </c>
      <c r="M34" s="277">
        <f t="shared" ref="M34:M43" si="5">SUM(D34:L34)</f>
        <v>0</v>
      </c>
    </row>
    <row r="35" spans="1:13" ht="15">
      <c r="B35" s="429">
        <v>202100</v>
      </c>
      <c r="C35" s="411" t="s">
        <v>1212</v>
      </c>
      <c r="D35" s="269"/>
      <c r="E35" s="269"/>
      <c r="F35" s="269"/>
      <c r="G35" s="269"/>
      <c r="H35" s="269"/>
      <c r="I35" s="269"/>
      <c r="J35" s="269"/>
      <c r="K35" s="269"/>
      <c r="L35" s="277">
        <f>+'BS-NONMAJOR SP. REVENUE(63-64) '!BN37+'BS-NONMAJOR DEBT SERVICE(67-68)'!M35+'BS-NONMAJOR CAP. PROJ.(71-72)'!N35+'BS-PERMANENT FUNDS(75-76)'!H35</f>
        <v>0</v>
      </c>
      <c r="M35" s="277">
        <f t="shared" si="5"/>
        <v>0</v>
      </c>
    </row>
    <row r="36" spans="1:13" ht="15">
      <c r="B36" s="428">
        <v>203100</v>
      </c>
      <c r="C36" s="411" t="s">
        <v>998</v>
      </c>
      <c r="D36" s="269"/>
      <c r="E36" s="269"/>
      <c r="F36" s="269"/>
      <c r="G36" s="269"/>
      <c r="H36" s="269"/>
      <c r="I36" s="269"/>
      <c r="J36" s="269"/>
      <c r="K36" s="269"/>
      <c r="L36" s="277">
        <f>+'BS-NONMAJOR SP. REVENUE(63-64) '!BN38+'BS-NONMAJOR DEBT SERVICE(67-68)'!M36+'BS-NONMAJOR CAP. PROJ.(71-72)'!N36+'BS-PERMANENT FUNDS(75-76)'!H36</f>
        <v>0</v>
      </c>
      <c r="M36" s="277">
        <f t="shared" si="5"/>
        <v>0</v>
      </c>
    </row>
    <row r="37" spans="1:13" ht="15">
      <c r="B37" s="429">
        <v>204000</v>
      </c>
      <c r="C37" s="411" t="s">
        <v>22</v>
      </c>
      <c r="D37" s="269"/>
      <c r="E37" s="269"/>
      <c r="F37" s="269"/>
      <c r="G37" s="269"/>
      <c r="H37" s="269"/>
      <c r="I37" s="269"/>
      <c r="J37" s="269"/>
      <c r="K37" s="269"/>
      <c r="L37" s="277">
        <f>+'BS-NONMAJOR SP. REVENUE(63-64) '!BN39+'BS-NONMAJOR DEBT SERVICE(67-68)'!M37+'BS-NONMAJOR CAP. PROJ.(71-72)'!N37+'BS-PERMANENT FUNDS(75-76)'!H37</f>
        <v>0</v>
      </c>
      <c r="M37" s="277">
        <f t="shared" si="5"/>
        <v>0</v>
      </c>
    </row>
    <row r="38" spans="1:13" ht="27.75">
      <c r="A38" s="289" t="s">
        <v>1407</v>
      </c>
      <c r="B38" s="429">
        <v>205200</v>
      </c>
      <c r="C38" s="411" t="s">
        <v>1213</v>
      </c>
      <c r="D38" s="269"/>
      <c r="E38" s="269"/>
      <c r="F38" s="269"/>
      <c r="G38" s="269"/>
      <c r="H38" s="269"/>
      <c r="I38" s="269"/>
      <c r="J38" s="269"/>
      <c r="K38" s="269"/>
      <c r="L38" s="277">
        <f>+'BS-NONMAJOR SP. REVENUE(63-64) '!BN40+'BS-NONMAJOR DEBT SERVICE(67-68)'!M38+'BS-NONMAJOR CAP. PROJ.(71-72)'!N38+'BS-PERMANENT FUNDS(75-76)'!H38</f>
        <v>0</v>
      </c>
      <c r="M38" s="277">
        <f t="shared" si="5"/>
        <v>0</v>
      </c>
    </row>
    <row r="39" spans="1:13" ht="15">
      <c r="B39" s="429">
        <v>206100</v>
      </c>
      <c r="C39" s="411" t="s">
        <v>267</v>
      </c>
      <c r="D39" s="269">
        <v>537.32000000000005</v>
      </c>
      <c r="E39" s="269">
        <v>0</v>
      </c>
      <c r="F39" s="269">
        <v>-660.08</v>
      </c>
      <c r="G39" s="269"/>
      <c r="H39" s="269"/>
      <c r="I39" s="303"/>
      <c r="J39" s="269"/>
      <c r="K39" s="269"/>
      <c r="L39" s="277">
        <f>+'BS-NONMAJOR SP. REVENUE(63-64) '!BN41+'BS-NONMAJOR DEBT SERVICE(67-68)'!M39+'BS-NONMAJOR CAP. PROJ.(71-72)'!N39+'BS-PERMANENT FUNDS(75-76)'!H39</f>
        <v>0</v>
      </c>
      <c r="M39" s="277">
        <f t="shared" si="5"/>
        <v>-122.75999999999999</v>
      </c>
    </row>
    <row r="40" spans="1:13" ht="15">
      <c r="B40" s="429">
        <v>211000</v>
      </c>
      <c r="C40" s="411" t="s">
        <v>252</v>
      </c>
      <c r="D40" s="269"/>
      <c r="E40" s="269"/>
      <c r="F40" s="269"/>
      <c r="G40" s="269"/>
      <c r="H40" s="269"/>
      <c r="I40" s="269"/>
      <c r="J40" s="269"/>
      <c r="K40" s="269"/>
      <c r="L40" s="277">
        <f>+'BS-NONMAJOR SP. REVENUE(63-64) '!BN42+'BS-NONMAJOR DEBT SERVICE(67-68)'!M40+'BS-NONMAJOR CAP. PROJ.(71-72)'!N40+'BS-PERMANENT FUNDS(75-76)'!H40</f>
        <v>0</v>
      </c>
      <c r="M40" s="277">
        <f t="shared" si="5"/>
        <v>0</v>
      </c>
    </row>
    <row r="41" spans="1:13" ht="15">
      <c r="B41" s="429">
        <v>212000</v>
      </c>
      <c r="C41" s="411" t="s">
        <v>251</v>
      </c>
      <c r="D41" s="269"/>
      <c r="E41" s="269"/>
      <c r="F41" s="269"/>
      <c r="G41" s="269"/>
      <c r="H41" s="269"/>
      <c r="I41" s="269"/>
      <c r="J41" s="269"/>
      <c r="K41" s="269"/>
      <c r="L41" s="277">
        <f>+'BS-NONMAJOR SP. REVENUE(63-64) '!BN43+'BS-NONMAJOR DEBT SERVICE(67-68)'!M41+'BS-NONMAJOR CAP. PROJ.(71-72)'!N41+'BS-PERMANENT FUNDS(75-76)'!H41</f>
        <v>0</v>
      </c>
      <c r="M41" s="277">
        <f t="shared" si="5"/>
        <v>0</v>
      </c>
    </row>
    <row r="42" spans="1:13" ht="15">
      <c r="B42" s="429">
        <v>214000</v>
      </c>
      <c r="C42" s="411" t="s">
        <v>268</v>
      </c>
      <c r="D42" s="269"/>
      <c r="E42" s="269"/>
      <c r="F42" s="269"/>
      <c r="G42" s="269"/>
      <c r="H42" s="269"/>
      <c r="I42" s="269"/>
      <c r="J42" s="269"/>
      <c r="K42" s="269"/>
      <c r="L42" s="277">
        <f>+'BS-NONMAJOR SP. REVENUE(63-64) '!BN44+'BS-NONMAJOR DEBT SERVICE(67-68)'!M42+'BS-NONMAJOR CAP. PROJ.(71-72)'!N42+'BS-PERMANENT FUNDS(75-76)'!H42</f>
        <v>0</v>
      </c>
      <c r="M42" s="277">
        <f t="shared" si="5"/>
        <v>0</v>
      </c>
    </row>
    <row r="43" spans="1:13" ht="15">
      <c r="B43" s="429">
        <v>216000</v>
      </c>
      <c r="C43" s="411" t="s">
        <v>2034</v>
      </c>
      <c r="D43" s="269"/>
      <c r="E43" s="269"/>
      <c r="F43" s="269"/>
      <c r="G43" s="269"/>
      <c r="H43" s="269"/>
      <c r="I43" s="269"/>
      <c r="J43" s="269"/>
      <c r="K43" s="269"/>
      <c r="L43" s="277">
        <f>'BS-NONMAJOR SP. REVENUE(63-64) '!BN45++'BS-NONMAJOR DEBT SERVICE(67-68)'!M43+'BS-NONMAJOR CAP. PROJ.(71-72)'!N43+'BS-PERMANENT FUNDS(75-76)'!H43</f>
        <v>0</v>
      </c>
      <c r="M43" s="277">
        <f t="shared" si="5"/>
        <v>0</v>
      </c>
    </row>
    <row r="44" spans="1:13" ht="15.75" thickBot="1">
      <c r="B44" s="429">
        <v>233000</v>
      </c>
      <c r="C44" s="411" t="s">
        <v>181</v>
      </c>
      <c r="D44" s="271"/>
      <c r="E44" s="271"/>
      <c r="F44" s="271"/>
      <c r="G44" s="271"/>
      <c r="H44" s="271"/>
      <c r="I44" s="271"/>
      <c r="J44" s="271"/>
      <c r="K44" s="271"/>
      <c r="L44" s="278">
        <f>+'BS-NONMAJOR SP. REVENUE(63-64) '!BN46+'BS-NONMAJOR DEBT SERVICE(67-68)'!M44+'BS-NONMAJOR CAP. PROJ.(71-72)'!N44+'BS-PERMANENT FUNDS(75-76)'!H44</f>
        <v>0</v>
      </c>
      <c r="M44" s="278">
        <f>SUM(D44:L44)</f>
        <v>0</v>
      </c>
    </row>
    <row r="45" spans="1:13" ht="9.75" customHeight="1">
      <c r="B45" s="429"/>
      <c r="C45" s="411"/>
      <c r="D45" s="277"/>
      <c r="E45" s="277"/>
      <c r="F45" s="277"/>
      <c r="G45" s="277"/>
      <c r="H45" s="277"/>
      <c r="I45" s="277"/>
      <c r="J45" s="277"/>
      <c r="K45" s="277"/>
      <c r="L45" s="277"/>
      <c r="M45" s="277"/>
    </row>
    <row r="46" spans="1:13" ht="16.5" thickBot="1">
      <c r="B46" s="429"/>
      <c r="C46" s="799" t="s">
        <v>1074</v>
      </c>
      <c r="D46" s="278">
        <f t="shared" ref="D46:M46" si="6">SUM(D34:D44)</f>
        <v>537.32000000000005</v>
      </c>
      <c r="E46" s="278">
        <f t="shared" si="6"/>
        <v>0</v>
      </c>
      <c r="F46" s="278">
        <f t="shared" si="6"/>
        <v>-660.08</v>
      </c>
      <c r="G46" s="278">
        <f t="shared" si="6"/>
        <v>0</v>
      </c>
      <c r="H46" s="278">
        <f t="shared" si="6"/>
        <v>0</v>
      </c>
      <c r="I46" s="278">
        <f t="shared" si="6"/>
        <v>0</v>
      </c>
      <c r="J46" s="278">
        <f t="shared" si="6"/>
        <v>0</v>
      </c>
      <c r="K46" s="278">
        <f t="shared" si="6"/>
        <v>0</v>
      </c>
      <c r="L46" s="278">
        <f t="shared" si="6"/>
        <v>0</v>
      </c>
      <c r="M46" s="278">
        <f t="shared" si="6"/>
        <v>-122.75999999999999</v>
      </c>
    </row>
    <row r="47" spans="1:13" ht="23.25" customHeight="1">
      <c r="B47" s="429"/>
      <c r="C47" s="677" t="s">
        <v>1906</v>
      </c>
      <c r="D47" s="307"/>
      <c r="E47" s="307"/>
      <c r="F47" s="307"/>
      <c r="G47" s="307"/>
      <c r="H47" s="307"/>
      <c r="I47" s="307"/>
      <c r="J47" s="307"/>
      <c r="K47" s="307"/>
      <c r="L47" s="307"/>
      <c r="M47" s="307"/>
    </row>
    <row r="48" spans="1:13" ht="15">
      <c r="B48" s="300">
        <v>220000</v>
      </c>
      <c r="C48" s="263" t="s">
        <v>1908</v>
      </c>
      <c r="D48" s="303">
        <v>0</v>
      </c>
      <c r="E48" s="303">
        <v>0</v>
      </c>
      <c r="F48" s="303">
        <v>0</v>
      </c>
      <c r="G48" s="303"/>
      <c r="H48" s="303"/>
      <c r="I48" s="303"/>
      <c r="J48" s="303"/>
      <c r="K48" s="303"/>
      <c r="L48" s="307">
        <f>'BS-NONMAJOR SP. REVENUE(63-64) '!BN50+'BS-NONMAJOR DEBT SERVICE(67-68)'!M48+'BS-NONMAJOR CAP. PROJ.(71-72)'!N48+'BS-PERMANENT FUNDS(75-76)'!H48</f>
        <v>0</v>
      </c>
      <c r="M48" s="307">
        <f>SUM(D48:L48)</f>
        <v>0</v>
      </c>
    </row>
    <row r="49" spans="2:13" ht="15.75" thickBot="1">
      <c r="B49" s="300">
        <v>223000</v>
      </c>
      <c r="C49" s="263" t="s">
        <v>1907</v>
      </c>
      <c r="D49" s="271">
        <v>5557.87</v>
      </c>
      <c r="E49" s="271">
        <v>695.14</v>
      </c>
      <c r="F49" s="271">
        <v>4020.1</v>
      </c>
      <c r="G49" s="271"/>
      <c r="H49" s="271"/>
      <c r="I49" s="271"/>
      <c r="J49" s="271"/>
      <c r="K49" s="271"/>
      <c r="L49" s="307">
        <f>'BS-NONMAJOR SP. REVENUE(63-64) '!BN51+'BS-NONMAJOR DEBT SERVICE(67-68)'!M49+'BS-NONMAJOR CAP. PROJ.(71-72)'!N49+'BS-PERMANENT FUNDS(75-76)'!H49</f>
        <v>1546.1000000000001</v>
      </c>
      <c r="M49" s="278">
        <f>SUM(D49:L49)</f>
        <v>11819.210000000001</v>
      </c>
    </row>
    <row r="50" spans="2:13" ht="21" customHeight="1" thickBot="1">
      <c r="B50" s="429"/>
      <c r="C50" s="799" t="s">
        <v>1909</v>
      </c>
      <c r="D50" s="279">
        <f>SUM(D48:D49)</f>
        <v>5557.87</v>
      </c>
      <c r="E50" s="279">
        <f t="shared" ref="E50:K50" si="7">SUM(E48:E49)</f>
        <v>695.14</v>
      </c>
      <c r="F50" s="279">
        <f t="shared" si="7"/>
        <v>4020.1</v>
      </c>
      <c r="G50" s="279">
        <f t="shared" si="7"/>
        <v>0</v>
      </c>
      <c r="H50" s="279">
        <f t="shared" si="7"/>
        <v>0</v>
      </c>
      <c r="I50" s="279">
        <f t="shared" si="7"/>
        <v>0</v>
      </c>
      <c r="J50" s="279">
        <f t="shared" si="7"/>
        <v>0</v>
      </c>
      <c r="K50" s="279">
        <f t="shared" si="7"/>
        <v>0</v>
      </c>
      <c r="L50" s="279">
        <f t="shared" ref="L50" si="8">SUM(L48:L49)</f>
        <v>1546.1000000000001</v>
      </c>
      <c r="M50" s="279">
        <f t="shared" ref="M50" si="9">SUM(M48:M49)</f>
        <v>11819.210000000001</v>
      </c>
    </row>
    <row r="51" spans="2:13" ht="10.5" customHeight="1">
      <c r="B51" s="429"/>
      <c r="C51" s="799"/>
      <c r="D51" s="277"/>
      <c r="E51" s="277"/>
      <c r="F51" s="277"/>
      <c r="G51" s="277"/>
      <c r="H51" s="277"/>
      <c r="I51" s="277"/>
      <c r="J51" s="277"/>
      <c r="K51" s="277"/>
      <c r="L51" s="277"/>
      <c r="M51" s="277"/>
    </row>
    <row r="52" spans="2:13" ht="15.75">
      <c r="B52" s="429"/>
      <c r="C52" s="431" t="s">
        <v>1566</v>
      </c>
      <c r="D52" s="277"/>
      <c r="E52" s="277"/>
      <c r="F52" s="277"/>
      <c r="G52" s="277"/>
      <c r="H52" s="277"/>
      <c r="I52" s="277"/>
      <c r="J52" s="277"/>
      <c r="K52" s="277"/>
      <c r="L52" s="277"/>
      <c r="M52" s="277"/>
    </row>
    <row r="53" spans="2:13" ht="15">
      <c r="B53" s="301">
        <v>250100</v>
      </c>
      <c r="C53" s="263" t="s">
        <v>1564</v>
      </c>
      <c r="D53" s="269"/>
      <c r="E53" s="269"/>
      <c r="F53" s="269"/>
      <c r="G53" s="269"/>
      <c r="H53" s="269"/>
      <c r="I53" s="269"/>
      <c r="J53" s="269"/>
      <c r="K53" s="269"/>
      <c r="L53" s="277">
        <f>'BS-NONMAJOR SP. REVENUE(63-64) '!BN55+'BS-NONMAJOR DEBT SERVICE(67-68)'!M53+'BS-NONMAJOR CAP. PROJ.(71-72)'!N53+'BS-PERMANENT FUNDS(75-76)'!H53-L54</f>
        <v>0</v>
      </c>
      <c r="M53" s="277">
        <f>SUM(D53:L53)</f>
        <v>0</v>
      </c>
    </row>
    <row r="54" spans="2:13" ht="15">
      <c r="B54" s="301"/>
      <c r="C54" s="263" t="s">
        <v>1571</v>
      </c>
      <c r="D54" s="269"/>
      <c r="E54" s="269"/>
      <c r="F54" s="269"/>
      <c r="G54" s="269"/>
      <c r="H54" s="269"/>
      <c r="I54" s="269"/>
      <c r="J54" s="269"/>
      <c r="K54" s="269"/>
      <c r="L54" s="269"/>
      <c r="M54" s="277">
        <f t="shared" ref="M54:M71" si="10">SUM(D54:L54)</f>
        <v>0</v>
      </c>
    </row>
    <row r="55" spans="2:13" ht="15">
      <c r="B55" s="301">
        <v>250200</v>
      </c>
      <c r="C55" s="263" t="s">
        <v>1565</v>
      </c>
      <c r="D55" s="269"/>
      <c r="E55" s="269"/>
      <c r="F55" s="269"/>
      <c r="G55" s="269"/>
      <c r="H55" s="269"/>
      <c r="I55" s="269"/>
      <c r="J55" s="269"/>
      <c r="K55" s="269"/>
      <c r="L55" s="277">
        <f>'BS-NONMAJOR SP. REVENUE(63-64) '!BN56+'BS-NONMAJOR DEBT SERVICE(67-68)'!M54+'BS-NONMAJOR CAP. PROJ.(71-72)'!N54+'BS-PERMANENT FUNDS(75-76)'!H54-L56-L57-L58-L59-L60</f>
        <v>0</v>
      </c>
      <c r="M55" s="277">
        <f t="shared" si="10"/>
        <v>0</v>
      </c>
    </row>
    <row r="56" spans="2:13" ht="15">
      <c r="B56" s="301"/>
      <c r="C56" s="263" t="s">
        <v>1572</v>
      </c>
      <c r="D56" s="269"/>
      <c r="E56" s="269"/>
      <c r="F56" s="269"/>
      <c r="G56" s="269"/>
      <c r="H56" s="269"/>
      <c r="I56" s="269"/>
      <c r="J56" s="269"/>
      <c r="K56" s="269"/>
      <c r="L56" s="269"/>
      <c r="M56" s="277">
        <f t="shared" si="10"/>
        <v>0</v>
      </c>
    </row>
    <row r="57" spans="2:13" ht="15">
      <c r="B57" s="301"/>
      <c r="C57" s="263" t="s">
        <v>1123</v>
      </c>
      <c r="D57" s="269"/>
      <c r="E57" s="269"/>
      <c r="F57" s="269"/>
      <c r="G57" s="269"/>
      <c r="H57" s="269"/>
      <c r="I57" s="269"/>
      <c r="J57" s="269"/>
      <c r="K57" s="269"/>
      <c r="L57" s="269"/>
      <c r="M57" s="277">
        <f t="shared" si="10"/>
        <v>0</v>
      </c>
    </row>
    <row r="58" spans="2:13" ht="15">
      <c r="B58" s="301"/>
      <c r="C58" s="263" t="s">
        <v>1122</v>
      </c>
      <c r="D58" s="269"/>
      <c r="E58" s="269"/>
      <c r="F58" s="269"/>
      <c r="G58" s="269"/>
      <c r="H58" s="269"/>
      <c r="I58" s="269"/>
      <c r="J58" s="269"/>
      <c r="K58" s="269"/>
      <c r="L58" s="269"/>
      <c r="M58" s="277">
        <f t="shared" si="10"/>
        <v>0</v>
      </c>
    </row>
    <row r="59" spans="2:13" ht="15">
      <c r="B59" s="301"/>
      <c r="C59" s="263" t="s">
        <v>1573</v>
      </c>
      <c r="D59" s="269"/>
      <c r="E59" s="269"/>
      <c r="F59" s="269"/>
      <c r="G59" s="269"/>
      <c r="H59" s="269"/>
      <c r="I59" s="269"/>
      <c r="J59" s="269"/>
      <c r="K59" s="269"/>
      <c r="L59" s="269"/>
      <c r="M59" s="277">
        <f t="shared" si="10"/>
        <v>0</v>
      </c>
    </row>
    <row r="60" spans="2:13" ht="15">
      <c r="B60" s="301"/>
      <c r="C60" s="263" t="s">
        <v>1574</v>
      </c>
      <c r="D60" s="269"/>
      <c r="E60" s="269"/>
      <c r="F60" s="269"/>
      <c r="G60" s="269"/>
      <c r="H60" s="269"/>
      <c r="I60" s="269"/>
      <c r="J60" s="269"/>
      <c r="K60" s="269"/>
      <c r="L60" s="269"/>
      <c r="M60" s="277">
        <f t="shared" si="10"/>
        <v>0</v>
      </c>
    </row>
    <row r="61" spans="2:13" ht="15">
      <c r="B61" s="301">
        <v>260100</v>
      </c>
      <c r="C61" s="263" t="s">
        <v>1563</v>
      </c>
      <c r="D61" s="269"/>
      <c r="E61" s="269"/>
      <c r="F61" s="269"/>
      <c r="G61" s="269"/>
      <c r="H61" s="269"/>
      <c r="I61" s="269"/>
      <c r="J61" s="269"/>
      <c r="K61" s="269"/>
      <c r="L61" s="277">
        <f>'BS-NONMAJOR SP. REVENUE(63-64) '!BN57+'BS-NONMAJOR DEBT SERVICE(67-68)'!M55+'BS-NONMAJOR CAP. PROJ.(71-72)'!N55+'BS-PERMANENT FUNDS(75-76)'!H55-L62-L63-L64-L65-L66</f>
        <v>0</v>
      </c>
      <c r="M61" s="277">
        <f t="shared" si="10"/>
        <v>0</v>
      </c>
    </row>
    <row r="62" spans="2:13" ht="15">
      <c r="B62" s="301"/>
      <c r="C62" s="263" t="s">
        <v>1572</v>
      </c>
      <c r="D62" s="269"/>
      <c r="E62" s="938"/>
      <c r="F62" s="269"/>
      <c r="G62" s="269"/>
      <c r="H62" s="269"/>
      <c r="I62" s="269"/>
      <c r="J62" s="269"/>
      <c r="K62" s="269"/>
      <c r="L62" s="269"/>
      <c r="M62" s="277">
        <f>SUM(D62:L62)</f>
        <v>0</v>
      </c>
    </row>
    <row r="63" spans="2:13" ht="15">
      <c r="B63" s="301"/>
      <c r="C63" s="263" t="s">
        <v>1123</v>
      </c>
      <c r="D63" s="269"/>
      <c r="E63" s="269"/>
      <c r="F63" s="269"/>
      <c r="G63" s="269"/>
      <c r="H63" s="269"/>
      <c r="I63" s="269"/>
      <c r="J63" s="269"/>
      <c r="K63" s="269"/>
      <c r="L63" s="269"/>
      <c r="M63" s="277">
        <f t="shared" si="10"/>
        <v>0</v>
      </c>
    </row>
    <row r="64" spans="2:13" ht="15">
      <c r="B64" s="301"/>
      <c r="C64" s="263" t="s">
        <v>1122</v>
      </c>
      <c r="D64" s="269"/>
      <c r="E64" s="269"/>
      <c r="F64" s="269"/>
      <c r="G64" s="269"/>
      <c r="H64" s="269"/>
      <c r="I64" s="269"/>
      <c r="J64" s="269"/>
      <c r="K64" s="269"/>
      <c r="L64" s="269"/>
      <c r="M64" s="277">
        <f t="shared" si="10"/>
        <v>0</v>
      </c>
    </row>
    <row r="65" spans="1:13" ht="15">
      <c r="B65" s="301"/>
      <c r="C65" s="263" t="s">
        <v>1573</v>
      </c>
      <c r="D65" s="269"/>
      <c r="E65" s="269"/>
      <c r="F65" s="269"/>
      <c r="G65" s="269"/>
      <c r="H65" s="269"/>
      <c r="I65" s="269"/>
      <c r="J65" s="269"/>
      <c r="K65" s="269"/>
      <c r="L65" s="269"/>
      <c r="M65" s="277">
        <f t="shared" si="10"/>
        <v>0</v>
      </c>
    </row>
    <row r="66" spans="1:13" ht="15">
      <c r="B66" s="301"/>
      <c r="C66" s="263" t="s">
        <v>1574</v>
      </c>
      <c r="D66" s="269"/>
      <c r="E66" s="269"/>
      <c r="F66" s="269"/>
      <c r="G66" s="269"/>
      <c r="H66" s="269"/>
      <c r="I66" s="269"/>
      <c r="J66" s="269"/>
      <c r="K66" s="269"/>
      <c r="L66" s="269"/>
      <c r="M66" s="277">
        <f t="shared" si="10"/>
        <v>0</v>
      </c>
    </row>
    <row r="67" spans="1:13" ht="15">
      <c r="A67" s="392"/>
      <c r="B67" s="301">
        <v>260200</v>
      </c>
      <c r="C67" s="263" t="s">
        <v>1562</v>
      </c>
      <c r="D67" s="269"/>
      <c r="E67" s="269"/>
      <c r="F67" s="269"/>
      <c r="G67" s="269"/>
      <c r="H67" s="269"/>
      <c r="I67" s="269"/>
      <c r="J67" s="269"/>
      <c r="K67" s="269"/>
      <c r="L67" s="277">
        <f>'BS-NONMAJOR SP. REVENUE(63-64) '!BN58+'BS-NONMAJOR DEBT SERVICE(67-68)'!M56+'BS-NONMAJOR CAP. PROJ.(71-72)'!N56+'BS-PERMANENT FUNDS(75-76)'!H56-L68-L69-L70</f>
        <v>0</v>
      </c>
      <c r="M67" s="277">
        <f t="shared" si="10"/>
        <v>0</v>
      </c>
    </row>
    <row r="68" spans="1:13" ht="15">
      <c r="A68" s="392"/>
      <c r="B68" s="301"/>
      <c r="C68" s="263"/>
      <c r="D68" s="269"/>
      <c r="E68" s="269"/>
      <c r="F68" s="269"/>
      <c r="G68" s="269"/>
      <c r="H68" s="269"/>
      <c r="I68" s="269"/>
      <c r="J68" s="269"/>
      <c r="K68" s="269"/>
      <c r="L68" s="269"/>
      <c r="M68" s="277">
        <f t="shared" si="10"/>
        <v>0</v>
      </c>
    </row>
    <row r="69" spans="1:13" ht="15">
      <c r="B69" s="301"/>
      <c r="C69" s="263"/>
      <c r="D69" s="269"/>
      <c r="E69" s="269"/>
      <c r="F69" s="269"/>
      <c r="G69" s="269"/>
      <c r="H69" s="269"/>
      <c r="I69" s="269"/>
      <c r="J69" s="269"/>
      <c r="K69" s="269"/>
      <c r="L69" s="269"/>
      <c r="M69" s="277">
        <f t="shared" si="10"/>
        <v>0</v>
      </c>
    </row>
    <row r="70" spans="1:13" ht="15">
      <c r="B70" s="301"/>
      <c r="C70" s="263"/>
      <c r="D70" s="269"/>
      <c r="E70" s="269"/>
      <c r="F70" s="269"/>
      <c r="G70" s="269"/>
      <c r="H70" s="269"/>
      <c r="I70" s="269"/>
      <c r="J70" s="269"/>
      <c r="K70" s="269"/>
      <c r="L70" s="269"/>
      <c r="M70" s="277">
        <f t="shared" si="10"/>
        <v>0</v>
      </c>
    </row>
    <row r="71" spans="1:13" ht="15.75" thickBot="1">
      <c r="B71" s="429">
        <v>271000</v>
      </c>
      <c r="C71" s="411" t="s">
        <v>1570</v>
      </c>
      <c r="D71" s="278">
        <f>D27+D31-D46-D50-D53-D54-D55-D56-D57-D58-D59-D60-D61-D62-D63-D64-D65-D66-D67-D68-D69-D70</f>
        <v>135861.18</v>
      </c>
      <c r="E71" s="278">
        <f t="shared" ref="E71:K71" si="11">E27+E31-E46-E50-E53-E54-E55-E56-E57-E58-E59-E60-E61-E62-E63-E64-E65-E66-E67-E68-E69-E70</f>
        <v>2416.62</v>
      </c>
      <c r="F71" s="278">
        <f t="shared" si="11"/>
        <v>34582.89</v>
      </c>
      <c r="G71" s="278">
        <f t="shared" si="11"/>
        <v>5126.08</v>
      </c>
      <c r="H71" s="278">
        <f t="shared" si="11"/>
        <v>6506</v>
      </c>
      <c r="I71" s="278">
        <f t="shared" si="11"/>
        <v>0</v>
      </c>
      <c r="J71" s="278">
        <f t="shared" si="11"/>
        <v>0</v>
      </c>
      <c r="K71" s="278">
        <f t="shared" si="11"/>
        <v>0</v>
      </c>
      <c r="L71" s="278">
        <f>'BS-NONMAJOR SP. REVENUE(63-64) '!BN59+'BS-NONMAJOR DEBT SERVICE(67-68)'!M57+'BS-NONMAJOR CAP. PROJ.(71-72)'!N57+'BS-PERMANENT FUNDS(75-76)'!H57</f>
        <v>39017.380000000005</v>
      </c>
      <c r="M71" s="277">
        <f t="shared" si="10"/>
        <v>223510.15</v>
      </c>
    </row>
    <row r="72" spans="1:13" ht="16.5" thickBot="1">
      <c r="B72" s="428"/>
      <c r="C72" s="799" t="s">
        <v>1953</v>
      </c>
      <c r="D72" s="278">
        <f>SUM(D53:D71)</f>
        <v>135861.18</v>
      </c>
      <c r="E72" s="278">
        <f t="shared" ref="E72:K72" si="12">SUM(E53:E71)</f>
        <v>2416.62</v>
      </c>
      <c r="F72" s="278">
        <f t="shared" si="12"/>
        <v>34582.89</v>
      </c>
      <c r="G72" s="278">
        <f t="shared" si="12"/>
        <v>5126.08</v>
      </c>
      <c r="H72" s="278">
        <f t="shared" si="12"/>
        <v>6506</v>
      </c>
      <c r="I72" s="278">
        <f t="shared" si="12"/>
        <v>0</v>
      </c>
      <c r="J72" s="278">
        <f t="shared" si="12"/>
        <v>0</v>
      </c>
      <c r="K72" s="278">
        <f t="shared" si="12"/>
        <v>0</v>
      </c>
      <c r="L72" s="278">
        <f>SUM(L53:L71)</f>
        <v>39017.380000000005</v>
      </c>
      <c r="M72" s="306">
        <f>SUM(M53:M71)</f>
        <v>223510.15</v>
      </c>
    </row>
    <row r="73" spans="1:13" ht="32.25" thickBot="1">
      <c r="B73" s="428"/>
      <c r="C73" s="798" t="s">
        <v>1954</v>
      </c>
      <c r="D73" s="280">
        <f t="shared" ref="D73:L73" si="13">+D46+D72+D50</f>
        <v>141956.37</v>
      </c>
      <c r="E73" s="280">
        <f t="shared" si="13"/>
        <v>3111.7599999999998</v>
      </c>
      <c r="F73" s="280">
        <f t="shared" si="13"/>
        <v>37942.909999999996</v>
      </c>
      <c r="G73" s="280">
        <f t="shared" si="13"/>
        <v>5126.08</v>
      </c>
      <c r="H73" s="280">
        <f t="shared" si="13"/>
        <v>6506</v>
      </c>
      <c r="I73" s="280">
        <f t="shared" si="13"/>
        <v>0</v>
      </c>
      <c r="J73" s="280">
        <f t="shared" si="13"/>
        <v>0</v>
      </c>
      <c r="K73" s="280">
        <f t="shared" si="13"/>
        <v>0</v>
      </c>
      <c r="L73" s="280">
        <f t="shared" si="13"/>
        <v>40563.480000000003</v>
      </c>
      <c r="M73" s="307"/>
    </row>
    <row r="74" spans="1:13" ht="13.5" thickTop="1">
      <c r="C74" s="534" t="s">
        <v>1556</v>
      </c>
      <c r="D74" s="535">
        <f>D72-'GOVERMENTAL FUNDS-OPERATING(16)'!D57</f>
        <v>0</v>
      </c>
      <c r="E74" s="535">
        <f>E72-'GOVERMENTAL FUNDS-OPERATING(16)'!E57</f>
        <v>0</v>
      </c>
      <c r="F74" s="535">
        <f>F72-'GOVERMENTAL FUNDS-OPERATING(16)'!F57</f>
        <v>0</v>
      </c>
      <c r="G74" s="535">
        <f>G72-'GOVERMENTAL FUNDS-OPERATING(16)'!G57</f>
        <v>0</v>
      </c>
      <c r="H74" s="535">
        <f>H72-'GOVERMENTAL FUNDS-OPERATING(16)'!H57</f>
        <v>0</v>
      </c>
      <c r="I74" s="535">
        <f>I72-'GOVERMENTAL FUNDS-OPERATING(16)'!I57</f>
        <v>0</v>
      </c>
      <c r="J74" s="535">
        <f>J72-'GOVERMENTAL FUNDS-OPERATING(16)'!J57</f>
        <v>0</v>
      </c>
      <c r="K74" s="535">
        <f>K72-'GOVERMENTAL FUNDS-OPERATING(16)'!K57</f>
        <v>0</v>
      </c>
      <c r="L74" s="535">
        <f>L72-'GOVERMENTAL FUNDS-OPERATING(16)'!L57</f>
        <v>0</v>
      </c>
      <c r="M74" s="308"/>
    </row>
    <row r="75" spans="1:13" ht="15">
      <c r="C75" s="263" t="s">
        <v>1076</v>
      </c>
      <c r="G75" s="263"/>
      <c r="L75" s="308"/>
      <c r="M75" s="277"/>
    </row>
    <row r="76" spans="1:13" ht="15">
      <c r="C76" s="263" t="s">
        <v>1797</v>
      </c>
      <c r="G76" s="263"/>
      <c r="L76" s="308"/>
      <c r="M76" s="277"/>
    </row>
    <row r="77" spans="1:13" ht="15">
      <c r="C77" s="263" t="s">
        <v>1077</v>
      </c>
      <c r="G77" s="263"/>
      <c r="L77" s="308"/>
      <c r="M77" s="277"/>
    </row>
    <row r="78" spans="1:13" ht="15.75" thickBot="1">
      <c r="C78" s="263" t="s">
        <v>1078</v>
      </c>
      <c r="G78" s="263"/>
      <c r="L78" s="308"/>
      <c r="M78" s="278">
        <f>+'BS Conversion'!H24+'BS Conversion'!I24</f>
        <v>168696.71000000008</v>
      </c>
    </row>
    <row r="79" spans="1:13" ht="15">
      <c r="C79" s="263" t="s">
        <v>1079</v>
      </c>
      <c r="G79" s="263"/>
      <c r="L79" s="308"/>
      <c r="M79" s="277"/>
    </row>
    <row r="80" spans="1:13" ht="15.75" thickBot="1">
      <c r="C80" s="263" t="s">
        <v>3054</v>
      </c>
      <c r="G80" s="263"/>
      <c r="L80" s="308"/>
      <c r="M80" s="278">
        <f>M50-'BS Conversion'!E49+'BS Conversion'!D68</f>
        <v>12881.369999999999</v>
      </c>
    </row>
    <row r="81" spans="3:13" ht="15">
      <c r="C81" s="263" t="s">
        <v>1138</v>
      </c>
      <c r="G81" s="263"/>
      <c r="L81" s="308"/>
      <c r="M81" s="277"/>
    </row>
    <row r="82" spans="3:13" ht="15">
      <c r="C82" s="263" t="s">
        <v>1139</v>
      </c>
      <c r="G82" s="263"/>
      <c r="L82" s="308"/>
      <c r="M82" s="277"/>
    </row>
    <row r="83" spans="3:13" ht="15">
      <c r="C83" s="263" t="s">
        <v>1140</v>
      </c>
      <c r="G83" s="263"/>
      <c r="L83" s="308"/>
      <c r="M83" s="277"/>
    </row>
    <row r="84" spans="3:13" ht="15">
      <c r="C84" s="263" t="s">
        <v>1798</v>
      </c>
      <c r="G84" s="263"/>
      <c r="L84" s="308"/>
      <c r="M84" s="307"/>
    </row>
    <row r="85" spans="3:13" ht="15.75" thickBot="1">
      <c r="C85" s="263" t="s">
        <v>120</v>
      </c>
      <c r="G85" s="263"/>
      <c r="L85" s="278">
        <f>+'NET POSITION-PROPRIETARY(18)'!I22</f>
        <v>0</v>
      </c>
      <c r="M85" s="307"/>
    </row>
    <row r="86" spans="3:13" ht="15.75" thickBot="1">
      <c r="C86" s="263" t="s">
        <v>66</v>
      </c>
      <c r="G86" s="263"/>
      <c r="L86" s="278">
        <f>+'NET POSITION-PROPRIETARY(18)'!I48</f>
        <v>0</v>
      </c>
      <c r="M86" s="307"/>
    </row>
    <row r="87" spans="3:13" ht="15.75" thickBot="1">
      <c r="C87" s="263" t="s">
        <v>864</v>
      </c>
      <c r="G87" s="263"/>
      <c r="L87" s="279">
        <f>-'NET POSITION-PROPRIETARY(18)'!H89</f>
        <v>0</v>
      </c>
      <c r="M87" s="278">
        <f>+L85-L86+L87</f>
        <v>0</v>
      </c>
    </row>
    <row r="88" spans="3:13" ht="9.75" customHeight="1">
      <c r="C88" s="263"/>
      <c r="G88" s="263"/>
      <c r="L88" s="309"/>
      <c r="M88" s="307"/>
    </row>
    <row r="89" spans="3:13" ht="15">
      <c r="C89" s="263" t="s">
        <v>1233</v>
      </c>
      <c r="G89" s="263"/>
      <c r="L89" s="308"/>
      <c r="M89" s="277"/>
    </row>
    <row r="90" spans="3:13" ht="15.75" thickBot="1">
      <c r="C90" s="263" t="s">
        <v>206</v>
      </c>
      <c r="G90" s="263"/>
      <c r="L90" s="308"/>
      <c r="M90" s="278">
        <f>-'BS Conversion'!F45-'BS Conversion'!G45-'BS Conversion'!G46+'BS Conversion'!E28</f>
        <v>-130714.7</v>
      </c>
    </row>
    <row r="91" spans="3:13" ht="9.75" customHeight="1">
      <c r="L91" s="308"/>
      <c r="M91" s="277"/>
    </row>
    <row r="92" spans="3:13" ht="16.5" thickBot="1">
      <c r="D92" s="268"/>
      <c r="E92" s="670" t="s">
        <v>1796</v>
      </c>
      <c r="H92" s="268"/>
      <c r="I92" s="268"/>
      <c r="L92" s="308"/>
      <c r="M92" s="299">
        <f>+M72+M78+M80+M87+M90</f>
        <v>274373.53000000009</v>
      </c>
    </row>
    <row r="93" spans="3:13" ht="13.5" thickTop="1"/>
    <row r="94" spans="3:13">
      <c r="D94" s="302"/>
    </row>
  </sheetData>
  <sheetProtection password="D950" sheet="1" scenarios="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53" orientation="portrait" r:id="rId2"/>
  <headerFooter alignWithMargins="0"/>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59"/>
  <sheetViews>
    <sheetView workbookViewId="0">
      <pane xSplit="3" ySplit="10" topLeftCell="D17" activePane="bottomRight" state="frozen"/>
      <selection pane="topRight" activeCell="D1" sqref="D1"/>
      <selection pane="bottomLeft" activeCell="A11" sqref="A11"/>
      <selection pane="bottomRight" activeCell="D25" sqref="D25"/>
    </sheetView>
  </sheetViews>
  <sheetFormatPr defaultColWidth="8.85546875" defaultRowHeight="12.75"/>
  <cols>
    <col min="1" max="1" width="3.7109375" style="261" customWidth="1"/>
    <col min="2" max="2" width="12.7109375" style="261" customWidth="1"/>
    <col min="3" max="3" width="40.7109375" style="261" customWidth="1"/>
    <col min="4" max="4" width="15.7109375" style="261" customWidth="1"/>
    <col min="5" max="5" width="18.42578125" style="261" customWidth="1"/>
    <col min="6" max="13" width="15.7109375" style="261" customWidth="1"/>
    <col min="14" max="16384" width="8.85546875" style="261"/>
  </cols>
  <sheetData>
    <row r="1" spans="1:13" ht="18">
      <c r="A1" s="308"/>
      <c r="B1" s="866" t="str">
        <f>+'GW-STATEMENT NET POSITION(13)'!A1</f>
        <v>TOWN OF BROADUS</v>
      </c>
      <c r="C1" s="699"/>
      <c r="D1" s="699"/>
      <c r="E1" s="699"/>
      <c r="F1" s="699"/>
      <c r="G1" s="699"/>
      <c r="H1" s="699"/>
      <c r="I1" s="699"/>
      <c r="J1" s="699"/>
      <c r="K1" s="276"/>
      <c r="L1" s="276"/>
      <c r="M1" s="276"/>
    </row>
    <row r="2" spans="1:13" ht="18">
      <c r="A2" s="308"/>
      <c r="B2" s="866" t="s">
        <v>207</v>
      </c>
      <c r="C2" s="699"/>
      <c r="D2" s="699"/>
      <c r="E2" s="699"/>
      <c r="F2" s="699"/>
      <c r="G2" s="699"/>
      <c r="H2" s="699"/>
      <c r="I2" s="699"/>
      <c r="J2" s="699"/>
      <c r="K2" s="276"/>
      <c r="L2" s="276"/>
      <c r="M2" s="276"/>
    </row>
    <row r="3" spans="1:13" ht="18">
      <c r="A3" s="308"/>
      <c r="B3" s="866" t="s">
        <v>1200</v>
      </c>
      <c r="C3" s="699"/>
      <c r="D3" s="699"/>
      <c r="E3" s="699"/>
      <c r="F3" s="699"/>
      <c r="G3" s="699"/>
      <c r="H3" s="699"/>
      <c r="I3" s="699"/>
      <c r="J3" s="699"/>
      <c r="K3" s="276"/>
      <c r="L3" s="276"/>
      <c r="M3" s="276"/>
    </row>
    <row r="4" spans="1:13" ht="18">
      <c r="A4" s="308"/>
      <c r="B4" s="866" t="str">
        <f>+'GW-STATEMENT OF ACTIVITIES(14)'!B3</f>
        <v>FISCAL YEAR ENDING JUNE 30, 2017</v>
      </c>
      <c r="C4" s="699"/>
      <c r="D4" s="699"/>
      <c r="E4" s="699"/>
      <c r="F4" s="699"/>
      <c r="G4" s="699"/>
      <c r="H4" s="699"/>
      <c r="I4" s="699"/>
      <c r="J4" s="699"/>
      <c r="K4" s="276"/>
      <c r="L4" s="276"/>
      <c r="M4" s="276"/>
    </row>
    <row r="6" spans="1:13" ht="16.5" thickBot="1">
      <c r="C6" s="263"/>
      <c r="D6" s="263"/>
      <c r="E6" s="264" t="s">
        <v>239</v>
      </c>
      <c r="F6" s="265"/>
      <c r="G6" s="265"/>
      <c r="H6" s="265"/>
      <c r="I6" s="265"/>
      <c r="J6" s="265"/>
      <c r="K6" s="265"/>
      <c r="L6" s="263"/>
      <c r="M6" s="263"/>
    </row>
    <row r="7" spans="1:13" ht="15.75">
      <c r="C7" s="263"/>
      <c r="D7" s="430" t="s">
        <v>2077</v>
      </c>
      <c r="E7" s="799" t="str">
        <f>'GOVERNMENTAL FUNDS - BS(15)'!E7</f>
        <v>Fund #2190</v>
      </c>
      <c r="F7" s="799" t="str">
        <f>'GOVERNMENTAL FUNDS - BS(15)'!F7</f>
        <v>Fund #2500</v>
      </c>
      <c r="G7" s="799" t="str">
        <f>'GOVERNMENTAL FUNDS - BS(15)'!G7</f>
        <v>Fund #2820</v>
      </c>
      <c r="H7" s="799" t="str">
        <f>'GOVERNMENTAL FUNDS - BS(15)'!H7</f>
        <v>Fund #4003</v>
      </c>
      <c r="I7" s="799" t="str">
        <f>'GOVERNMENTAL FUNDS - BS(15)'!I7</f>
        <v>Fund #</v>
      </c>
      <c r="J7" s="799" t="str">
        <f>'GOVERNMENTAL FUNDS - BS(15)'!J7</f>
        <v>Fund #</v>
      </c>
      <c r="K7" s="799" t="str">
        <f>'GOVERNMENTAL FUNDS - BS(15)'!K7</f>
        <v>Fund #</v>
      </c>
      <c r="L7" s="430" t="s">
        <v>1202</v>
      </c>
      <c r="M7" s="430" t="s">
        <v>1058</v>
      </c>
    </row>
    <row r="8" spans="1:13" ht="15.75">
      <c r="B8" s="430" t="s">
        <v>177</v>
      </c>
      <c r="C8" s="411"/>
      <c r="D8" s="1449" t="s">
        <v>1201</v>
      </c>
      <c r="E8" s="1449" t="str">
        <f>'GOVERNMENTAL FUNDS - BS(15)'!E8</f>
        <v>COMP INS</v>
      </c>
      <c r="F8" s="1449" t="str">
        <f>'GOVERNMENTAL FUNDS - BS(15)'!F8</f>
        <v>OTHER MAINT</v>
      </c>
      <c r="G8" s="1449" t="str">
        <f>'GOVERNMENTAL FUNDS - BS(15)'!G8</f>
        <v>GAS APPORTION</v>
      </c>
      <c r="H8" s="1449" t="str">
        <f>'GOVERNMENTAL FUNDS - BS(15)'!H8</f>
        <v>CIP #3</v>
      </c>
      <c r="I8" s="1449" t="str">
        <f>'GOVERNMENTAL FUNDS - BS(15)'!I8</f>
        <v>Fund Name</v>
      </c>
      <c r="J8" s="1449" t="str">
        <f>'GOVERNMENTAL FUNDS - BS(15)'!J8</f>
        <v>Fund Name</v>
      </c>
      <c r="K8" s="1449" t="str">
        <f>'GOVERNMENTAL FUNDS - BS(15)'!K8</f>
        <v>Fund Name</v>
      </c>
      <c r="L8" s="430" t="s">
        <v>1056</v>
      </c>
      <c r="M8" s="430" t="s">
        <v>1056</v>
      </c>
    </row>
    <row r="9" spans="1:13" ht="16.5" thickBot="1">
      <c r="B9" s="676" t="s">
        <v>178</v>
      </c>
      <c r="C9" s="676" t="s">
        <v>179</v>
      </c>
      <c r="D9" s="1450"/>
      <c r="E9" s="1450"/>
      <c r="F9" s="1450"/>
      <c r="G9" s="1450"/>
      <c r="H9" s="1450"/>
      <c r="I9" s="1450"/>
      <c r="J9" s="1450"/>
      <c r="K9" s="1450"/>
      <c r="L9" s="676" t="s">
        <v>1203</v>
      </c>
      <c r="M9" s="676" t="s">
        <v>1203</v>
      </c>
    </row>
    <row r="10" spans="1:13" ht="15.75">
      <c r="B10" s="411"/>
      <c r="C10" s="431" t="s">
        <v>208</v>
      </c>
      <c r="D10" s="411"/>
      <c r="E10" s="263"/>
      <c r="F10" s="263"/>
      <c r="G10" s="263"/>
      <c r="H10" s="263"/>
      <c r="I10" s="263"/>
      <c r="J10" s="263"/>
      <c r="K10" s="263"/>
      <c r="L10" s="411"/>
      <c r="M10" s="411"/>
    </row>
    <row r="11" spans="1:13" ht="28.5">
      <c r="B11" s="688" t="s">
        <v>182</v>
      </c>
      <c r="C11" s="411" t="s">
        <v>210</v>
      </c>
      <c r="D11" s="277">
        <f>+'GENERAL FUND-OPERATING(48-53)'!E13+'GENERAL FUND-OPERATING(48-53)'!E14</f>
        <v>67886.080000000002</v>
      </c>
      <c r="E11" s="269">
        <v>8479.2900000000009</v>
      </c>
      <c r="F11" s="269">
        <v>53592.27</v>
      </c>
      <c r="G11" s="269"/>
      <c r="H11" s="269"/>
      <c r="I11" s="269"/>
      <c r="J11" s="269"/>
      <c r="K11" s="269"/>
      <c r="L11" s="277">
        <f>+'OPER.-NONMAJOR SP. REVENUE(65)'!IS11+'OPER.-NONMAJOR SP. REVENUE(65)'!IS12+'OPER.-NONMAJOR DEBT SER.(69-70)'!AS10+'OPER.-NONMAJOR DEBT SER.(69-70)'!AS11+'OPER.-NONMAJOR CAP. PROJ(73-74)'!AW10+'OPER.-NONMAJOR CAP. PROJ(73-74)'!AW11+'OPER.-PERMANENT FUNDS(77-78)'!H10+'OPER.-PERMANENT FUNDS(77-78)'!H11</f>
        <v>20996.480000000003</v>
      </c>
      <c r="M11" s="277">
        <f>SUM(D11:L11)</f>
        <v>150954.12</v>
      </c>
    </row>
    <row r="12" spans="1:13" ht="15">
      <c r="B12" s="429">
        <v>320000</v>
      </c>
      <c r="C12" s="411" t="s">
        <v>209</v>
      </c>
      <c r="D12" s="277">
        <f>+'GENERAL FUND-OPERATING(48-53)'!E16+'GENERAL FUND-OPERATING(48-53)'!E17+'GENERAL FUND-OPERATING(48-53)'!E18+'GENERAL FUND-OPERATING(48-53)'!E19+'GENERAL FUND-OPERATING(48-53)'!E20</f>
        <v>1410</v>
      </c>
      <c r="E12" s="269"/>
      <c r="F12" s="269"/>
      <c r="G12" s="269"/>
      <c r="H12" s="269"/>
      <c r="I12" s="269"/>
      <c r="J12" s="269"/>
      <c r="K12" s="269"/>
      <c r="L12" s="277">
        <f>+'OPER.-NONMAJOR SP. REVENUE(65)'!IS14+'OPER.-NONMAJOR SP. REVENUE(65)'!IS15+'OPER.-NONMAJOR SP. REVENUE(65)'!IS16+'OPER.-NONMAJOR SP. REVENUE(65)'!IS17+'OPER.-NONMAJOR SP. REVENUE(65)'!IS18+'OPER.-NONMAJOR DEBT SER.(69-70)'!AS13+'OPER.-NONMAJOR DEBT SER.(69-70)'!AS14</f>
        <v>0</v>
      </c>
      <c r="M12" s="277">
        <f t="shared" ref="M12:M18" si="0">SUM(D12:L12)</f>
        <v>1410</v>
      </c>
    </row>
    <row r="13" spans="1:13" ht="15">
      <c r="B13" s="429">
        <v>330000</v>
      </c>
      <c r="C13" s="411" t="s">
        <v>211</v>
      </c>
      <c r="D13" s="277">
        <f>+'GENERAL FUND-OPERATING(48-53)'!E22+'GENERAL FUND-OPERATING(48-53)'!E23+'GENERAL FUND-OPERATING(48-53)'!E24+'GENERAL FUND-OPERATING(48-53)'!E25+'GENERAL FUND-OPERATING(48-53)'!E26+'GENERAL FUND-OPERATING(48-53)'!E27</f>
        <v>105978.02</v>
      </c>
      <c r="E13" s="269">
        <v>6556.86</v>
      </c>
      <c r="F13" s="269"/>
      <c r="G13" s="269">
        <v>15265.79</v>
      </c>
      <c r="H13" s="269"/>
      <c r="I13" s="269"/>
      <c r="J13" s="269"/>
      <c r="K13" s="269"/>
      <c r="L13" s="277">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5238.78</v>
      </c>
      <c r="M13" s="277">
        <f t="shared" si="0"/>
        <v>133039.45000000001</v>
      </c>
    </row>
    <row r="14" spans="1:13" ht="15">
      <c r="B14" s="429">
        <v>340000</v>
      </c>
      <c r="C14" s="411" t="s">
        <v>212</v>
      </c>
      <c r="D14" s="277">
        <f>+'GENERAL FUND-OPERATING(48-53)'!E29+'GENERAL FUND-OPERATING(48-53)'!E30+'GENERAL FUND-OPERATING(48-53)'!E31+'GENERAL FUND-OPERATING(48-53)'!E32+'GENERAL FUND-OPERATING(48-53)'!E33+'GENERAL FUND-OPERATING(48-53)'!E34</f>
        <v>727.89</v>
      </c>
      <c r="E14" s="269"/>
      <c r="F14" s="269"/>
      <c r="G14" s="269"/>
      <c r="H14" s="269"/>
      <c r="I14" s="269"/>
      <c r="J14" s="269"/>
      <c r="K14" s="269"/>
      <c r="L14" s="277">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77">
        <f t="shared" si="0"/>
        <v>727.89</v>
      </c>
    </row>
    <row r="15" spans="1:13" ht="15">
      <c r="B15" s="429">
        <v>350000</v>
      </c>
      <c r="C15" s="411" t="s">
        <v>213</v>
      </c>
      <c r="D15" s="277">
        <f>+'GENERAL FUND-OPERATING(48-53)'!E36+'GENERAL FUND-OPERATING(48-53)'!E37+'GENERAL FUND-OPERATING(48-53)'!E38</f>
        <v>110</v>
      </c>
      <c r="E15" s="269"/>
      <c r="F15" s="269"/>
      <c r="G15" s="269"/>
      <c r="H15" s="269"/>
      <c r="I15" s="269"/>
      <c r="J15" s="269"/>
      <c r="K15" s="269"/>
      <c r="L15" s="277">
        <f>+'OPER.-NONMAJOR SP. REVENUE(65)'!IS34+'OPER.-NONMAJOR SP. REVENUE(65)'!IS35+'OPER.-NONMAJOR SP. REVENUE(65)'!IS36+'OPER.-NONMAJOR DEBT SER.(69-70)'!AS23</f>
        <v>0</v>
      </c>
      <c r="M15" s="277">
        <f t="shared" si="0"/>
        <v>110</v>
      </c>
    </row>
    <row r="16" spans="1:13" ht="15">
      <c r="B16" s="429">
        <v>360000</v>
      </c>
      <c r="C16" s="411" t="s">
        <v>214</v>
      </c>
      <c r="D16" s="277">
        <f>+'GENERAL FUND-OPERATING(48-53)'!E39</f>
        <v>0</v>
      </c>
      <c r="E16" s="269"/>
      <c r="F16" s="269"/>
      <c r="G16" s="269"/>
      <c r="H16" s="269"/>
      <c r="I16" s="269"/>
      <c r="J16" s="269"/>
      <c r="K16" s="269"/>
      <c r="L16" s="277">
        <f>+'OPER.-NONMAJOR SP. REVENUE(65)'!IS37+'OPER.-NONMAJOR DEBT SER.(69-70)'!AS24+'OPER.-NONMAJOR CAP. PROJ(73-74)'!AW24+'OPER.-NONMAJOR CAP. PROJ(73-74)'!AW25+'OPER.-NONMAJOR CAP. PROJ(73-74)'!AW26+'OPER.-PERMANENT FUNDS(77-78)'!H24+'OPER.-PERMANENT FUNDS(77-78)'!H25+'OPER.-PERMANENT FUNDS(77-78)'!H26</f>
        <v>0</v>
      </c>
      <c r="M16" s="277">
        <f t="shared" si="0"/>
        <v>0</v>
      </c>
    </row>
    <row r="17" spans="1:13" ht="15">
      <c r="B17" s="429">
        <v>370000</v>
      </c>
      <c r="C17" s="411" t="s">
        <v>215</v>
      </c>
      <c r="D17" s="277">
        <f>+'GENERAL FUND-OPERATING(48-53)'!E40</f>
        <v>262.22000000000003</v>
      </c>
      <c r="E17" s="269">
        <v>1.36</v>
      </c>
      <c r="F17" s="269">
        <v>74.430000000000007</v>
      </c>
      <c r="G17" s="269">
        <v>11.24</v>
      </c>
      <c r="H17" s="269">
        <v>9.17</v>
      </c>
      <c r="I17" s="269"/>
      <c r="J17" s="269"/>
      <c r="K17" s="269"/>
      <c r="L17" s="277">
        <f>+'OPER.-NONMAJOR SP. REVENUE(65)'!IS38+'OPER.-NONMAJOR DEBT SER.(69-70)'!AS25+'OPER.-NONMAJOR CAP. PROJ(73-74)'!AW27+'OPER.-PERMANENT FUNDS(77-78)'!H27</f>
        <v>52.87</v>
      </c>
      <c r="M17" s="277">
        <f t="shared" si="0"/>
        <v>411.29000000000008</v>
      </c>
    </row>
    <row r="18" spans="1:13" ht="15.75" thickBot="1">
      <c r="B18" s="429"/>
      <c r="C18" s="411"/>
      <c r="D18" s="278"/>
      <c r="E18" s="278"/>
      <c r="F18" s="278"/>
      <c r="G18" s="278"/>
      <c r="H18" s="278"/>
      <c r="I18" s="278"/>
      <c r="J18" s="278"/>
      <c r="K18" s="278"/>
      <c r="L18" s="278"/>
      <c r="M18" s="277">
        <f t="shared" si="0"/>
        <v>0</v>
      </c>
    </row>
    <row r="19" spans="1:13" ht="16.5" thickBot="1">
      <c r="B19" s="429"/>
      <c r="C19" s="799" t="s">
        <v>216</v>
      </c>
      <c r="D19" s="279">
        <f t="shared" ref="D19:M19" si="1">SUM(D11:D18)</f>
        <v>176374.21000000002</v>
      </c>
      <c r="E19" s="279">
        <f t="shared" si="1"/>
        <v>15037.510000000002</v>
      </c>
      <c r="F19" s="279">
        <f t="shared" si="1"/>
        <v>53666.7</v>
      </c>
      <c r="G19" s="279">
        <f t="shared" si="1"/>
        <v>15277.03</v>
      </c>
      <c r="H19" s="279">
        <f t="shared" si="1"/>
        <v>9.17</v>
      </c>
      <c r="I19" s="279">
        <f t="shared" si="1"/>
        <v>0</v>
      </c>
      <c r="J19" s="279">
        <f t="shared" si="1"/>
        <v>0</v>
      </c>
      <c r="K19" s="279">
        <f t="shared" si="1"/>
        <v>0</v>
      </c>
      <c r="L19" s="279">
        <f t="shared" si="1"/>
        <v>26288.13</v>
      </c>
      <c r="M19" s="279">
        <f t="shared" si="1"/>
        <v>286652.75</v>
      </c>
    </row>
    <row r="20" spans="1:13" ht="15">
      <c r="B20" s="429"/>
      <c r="C20" s="411"/>
      <c r="D20" s="277"/>
      <c r="E20" s="277"/>
      <c r="F20" s="277"/>
      <c r="G20" s="277"/>
      <c r="H20" s="277"/>
      <c r="I20" s="277"/>
      <c r="J20" s="277"/>
      <c r="K20" s="277"/>
      <c r="L20" s="277"/>
      <c r="M20" s="277"/>
    </row>
    <row r="21" spans="1:13" ht="15.75">
      <c r="B21" s="429"/>
      <c r="C21" s="431" t="s">
        <v>217</v>
      </c>
      <c r="D21" s="277"/>
      <c r="E21" s="277"/>
      <c r="F21" s="277"/>
      <c r="G21" s="277"/>
      <c r="H21" s="277"/>
      <c r="I21" s="277"/>
      <c r="J21" s="277"/>
      <c r="K21" s="277"/>
      <c r="L21" s="277"/>
      <c r="M21" s="277"/>
    </row>
    <row r="22" spans="1:13" ht="15">
      <c r="B22" s="429"/>
      <c r="C22" s="411" t="s">
        <v>218</v>
      </c>
      <c r="D22" s="277"/>
      <c r="E22" s="277"/>
      <c r="F22" s="277"/>
      <c r="G22" s="277"/>
      <c r="H22" s="277"/>
      <c r="I22" s="277"/>
      <c r="J22" s="277"/>
      <c r="K22" s="277"/>
      <c r="L22" s="277"/>
      <c r="M22" s="277"/>
    </row>
    <row r="23" spans="1:13" ht="15">
      <c r="B23" s="429">
        <v>410000</v>
      </c>
      <c r="C23" s="411" t="s">
        <v>494</v>
      </c>
      <c r="D23" s="277">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65144.219999999994</v>
      </c>
      <c r="E23" s="269"/>
      <c r="F23" s="269"/>
      <c r="G23" s="269"/>
      <c r="H23" s="269"/>
      <c r="I23" s="269"/>
      <c r="J23" s="269"/>
      <c r="K23" s="269"/>
      <c r="L23" s="277">
        <f>+'OPER.-NONMAJOR SP. REVE (B)(66)'!IS11+'OPER.-NONMAJOR SP. REVE (B)(66)'!IS12</f>
        <v>4724.37</v>
      </c>
      <c r="M23" s="277">
        <f t="shared" ref="M23:M30" si="2">SUM(D23:L23)</f>
        <v>69868.59</v>
      </c>
    </row>
    <row r="24" spans="1:13" ht="15">
      <c r="B24" s="429">
        <v>420000</v>
      </c>
      <c r="C24" s="411" t="s">
        <v>219</v>
      </c>
      <c r="D24" s="277">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24507.93</v>
      </c>
      <c r="E24" s="269"/>
      <c r="F24" s="269"/>
      <c r="G24" s="269"/>
      <c r="H24" s="269"/>
      <c r="I24" s="269"/>
      <c r="J24" s="269"/>
      <c r="K24" s="269"/>
      <c r="L24" s="277">
        <f>+'OPER.-NONMAJOR SP. REVE (B)(66)'!IS14+'OPER.-NONMAJOR SP. REVE (B)(66)'!IS15</f>
        <v>0</v>
      </c>
      <c r="M24" s="277">
        <f t="shared" si="2"/>
        <v>24507.93</v>
      </c>
    </row>
    <row r="25" spans="1:13" ht="15">
      <c r="B25" s="429">
        <v>430000</v>
      </c>
      <c r="C25" s="411" t="s">
        <v>220</v>
      </c>
      <c r="D25" s="277">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43161.57</v>
      </c>
      <c r="E25" s="269"/>
      <c r="F25" s="269">
        <v>69823.97</v>
      </c>
      <c r="G25" s="269">
        <v>15620.19</v>
      </c>
      <c r="H25" s="269"/>
      <c r="I25" s="269"/>
      <c r="J25" s="269"/>
      <c r="K25" s="269"/>
      <c r="L25" s="277">
        <f>+'OPER.-NONMAJOR SP. REVE (B)(66)'!IS17+'OPER.-NONMAJOR SP. REVE (B)(66)'!IS18</f>
        <v>18737.61</v>
      </c>
      <c r="M25" s="277">
        <f t="shared" si="2"/>
        <v>147343.34000000003</v>
      </c>
    </row>
    <row r="26" spans="1:13" ht="15">
      <c r="B26" s="429">
        <v>440000</v>
      </c>
      <c r="C26" s="411" t="s">
        <v>221</v>
      </c>
      <c r="D26" s="277">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44.29</v>
      </c>
      <c r="E26" s="269"/>
      <c r="F26" s="269"/>
      <c r="G26" s="269"/>
      <c r="H26" s="269"/>
      <c r="I26" s="269"/>
      <c r="J26" s="269"/>
      <c r="K26" s="269"/>
      <c r="L26" s="277">
        <f>+'OPER.-NONMAJOR SP. REVE (B)(66)'!IS20+'OPER.-NONMAJOR SP. REVE (B)(66)'!IS21</f>
        <v>0</v>
      </c>
      <c r="M26" s="277">
        <f t="shared" si="2"/>
        <v>44.29</v>
      </c>
    </row>
    <row r="27" spans="1:13" ht="15">
      <c r="B27" s="429">
        <v>450000</v>
      </c>
      <c r="C27" s="411" t="s">
        <v>222</v>
      </c>
      <c r="D27" s="277">
        <f>+'GENERAL FUND-OPERATING(48-53)'!E198+'GENERAL FUND-OPERATING(48-53)'!E199+'GENERAL FUND-OPERATING(48-53)'!E202+'GENERAL FUND-OPERATING(48-53)'!E203+'GENERAL FUND-OPERATING(48-53)'!E206+'GENERAL FUND-OPERATING(48-53)'!E207+'GENERAL FUND-OPERATING(48-53)'!E211+'GENERAL FUND-OPERATING(48-53)'!E212</f>
        <v>0</v>
      </c>
      <c r="E27" s="269"/>
      <c r="F27" s="269"/>
      <c r="G27" s="269"/>
      <c r="H27" s="269"/>
      <c r="I27" s="269"/>
      <c r="J27" s="269"/>
      <c r="K27" s="269"/>
      <c r="L27" s="277">
        <f>+'OPER.-NONMAJOR SP. REVE (B)(66)'!IS23+'OPER.-NONMAJOR SP. REVE (B)(66)'!IS24</f>
        <v>0</v>
      </c>
      <c r="M27" s="277">
        <f t="shared" si="2"/>
        <v>0</v>
      </c>
    </row>
    <row r="28" spans="1:13" ht="15">
      <c r="B28" s="429">
        <v>460000</v>
      </c>
      <c r="C28" s="411" t="s">
        <v>223</v>
      </c>
      <c r="D28" s="277">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24753.1</v>
      </c>
      <c r="E28" s="269"/>
      <c r="F28" s="269"/>
      <c r="G28" s="269"/>
      <c r="H28" s="269"/>
      <c r="I28" s="269"/>
      <c r="J28" s="269"/>
      <c r="K28" s="269"/>
      <c r="L28" s="277">
        <f>+'OPER.-NONMAJOR SP. REVE (B)(66)'!IS26+'OPER.-NONMAJOR SP. REVE (B)(66)'!IS27</f>
        <v>806.53</v>
      </c>
      <c r="M28" s="277">
        <f t="shared" si="2"/>
        <v>25559.629999999997</v>
      </c>
    </row>
    <row r="29" spans="1:13" ht="15">
      <c r="B29" s="429">
        <v>470000</v>
      </c>
      <c r="C29" s="411" t="s">
        <v>224</v>
      </c>
      <c r="D29" s="277">
        <f>+'GENERAL FUND-OPERATING(48-53)'!E244+'GENERAL FUND-OPERATING(48-53)'!E245+'GENERAL FUND-OPERATING(48-53)'!E248+'GENERAL FUND-OPERATING(48-53)'!E249+'GENERAL FUND-OPERATING(48-53)'!E252+'GENERAL FUND-OPERATING(48-53)'!E253+'GENERAL FUND-OPERATING(48-53)'!E256+'GENERAL FUND-OPERATING(48-53)'!E257</f>
        <v>0</v>
      </c>
      <c r="E29" s="269"/>
      <c r="F29" s="269"/>
      <c r="G29" s="269"/>
      <c r="H29" s="269"/>
      <c r="I29" s="269"/>
      <c r="J29" s="269"/>
      <c r="K29" s="269"/>
      <c r="L29" s="277">
        <f>+'OPER.-NONMAJOR SP. REVE (B)(66)'!IS29+'OPER.-NONMAJOR SP. REVE (B)(66)'!IS30</f>
        <v>0</v>
      </c>
      <c r="M29" s="277">
        <f t="shared" si="2"/>
        <v>0</v>
      </c>
    </row>
    <row r="30" spans="1:13" ht="15">
      <c r="B30" s="429">
        <v>480000</v>
      </c>
      <c r="C30" s="411" t="s">
        <v>225</v>
      </c>
      <c r="D30" s="277">
        <f>+'GENERAL FUND-OPERATING(48-53)'!E264+'GENERAL FUND-OPERATING(48-53)'!E265+'GENERAL FUND-OPERATING(48-53)'!E268+'GENERAL FUND-OPERATING(48-53)'!E269+'GENERAL FUND-OPERATING(48-53)'!E272+'GENERAL FUND-OPERATING(48-53)'!E273</f>
        <v>0</v>
      </c>
      <c r="E30" s="269"/>
      <c r="F30" s="269"/>
      <c r="G30" s="269"/>
      <c r="H30" s="269"/>
      <c r="I30" s="269"/>
      <c r="J30" s="269"/>
      <c r="K30" s="269"/>
      <c r="L30" s="277">
        <f>+'OPER.-NONMAJOR SP. REVE (B)(66)'!IS32+'OPER.-NONMAJOR SP. REVE (B)(66)'!IS33</f>
        <v>0</v>
      </c>
      <c r="M30" s="277">
        <f t="shared" si="2"/>
        <v>0</v>
      </c>
    </row>
    <row r="31" spans="1:13" ht="15">
      <c r="B31" s="429">
        <v>490000</v>
      </c>
      <c r="C31" s="411" t="s">
        <v>226</v>
      </c>
      <c r="D31" s="277"/>
      <c r="E31" s="269"/>
      <c r="F31" s="269"/>
      <c r="G31" s="269"/>
      <c r="H31" s="269"/>
      <c r="I31" s="269"/>
      <c r="J31" s="269"/>
      <c r="K31" s="269"/>
      <c r="L31" s="277"/>
      <c r="M31" s="277"/>
    </row>
    <row r="32" spans="1:13" ht="27.75">
      <c r="A32" s="289" t="s">
        <v>1408</v>
      </c>
      <c r="B32" s="429"/>
      <c r="C32" s="411" t="s">
        <v>227</v>
      </c>
      <c r="D32" s="277">
        <f>+'GENERAL FUND-OPERATING(48-53)'!E276</f>
        <v>6927.17</v>
      </c>
      <c r="E32" s="269"/>
      <c r="F32" s="269"/>
      <c r="G32" s="269"/>
      <c r="H32" s="269"/>
      <c r="I32" s="269"/>
      <c r="J32" s="269"/>
      <c r="K32" s="269"/>
      <c r="L32" s="277">
        <f>+'OPER.-NONMAJOR SP. REVE (B)(66)'!IS36+'OPER.-NONMAJOR DEBT SER.(69-70)'!AS31</f>
        <v>0</v>
      </c>
      <c r="M32" s="314">
        <f t="shared" ref="M32:M37" si="3">SUM(D32:L32)</f>
        <v>6927.17</v>
      </c>
    </row>
    <row r="33" spans="1:13" ht="15">
      <c r="B33" s="429"/>
      <c r="C33" s="411" t="s">
        <v>228</v>
      </c>
      <c r="D33" s="277">
        <f>+'GENERAL FUND-OPERATING(48-53)'!E277</f>
        <v>0</v>
      </c>
      <c r="E33" s="269"/>
      <c r="F33" s="269"/>
      <c r="G33" s="269"/>
      <c r="H33" s="269"/>
      <c r="I33" s="269"/>
      <c r="J33" s="269"/>
      <c r="K33" s="269"/>
      <c r="L33" s="277">
        <f>+'OPER.-NONMAJOR SP. REVE (B)(66)'!IS37+'OPER.-NONMAJOR DEBT SER.(69-70)'!AS32</f>
        <v>0</v>
      </c>
      <c r="M33" s="314">
        <f t="shared" si="3"/>
        <v>0</v>
      </c>
    </row>
    <row r="34" spans="1:13" ht="15">
      <c r="B34" s="429"/>
      <c r="C34" s="411"/>
      <c r="D34" s="277"/>
      <c r="E34" s="277"/>
      <c r="F34" s="277"/>
      <c r="G34" s="277"/>
      <c r="H34" s="277"/>
      <c r="I34" s="277"/>
      <c r="J34" s="277"/>
      <c r="K34" s="277"/>
      <c r="L34" s="277"/>
      <c r="M34" s="314">
        <f t="shared" si="3"/>
        <v>0</v>
      </c>
    </row>
    <row r="35" spans="1:13" ht="15">
      <c r="B35" s="429"/>
      <c r="C35" s="411" t="s">
        <v>183</v>
      </c>
      <c r="D35" s="277">
        <f>SUMIF('GENERAL FUND-OPERATING(48-53)'!A46:A282,"=900",'GENERAL FUND-OPERATING(48-53)'!E46:E282)</f>
        <v>70261.59</v>
      </c>
      <c r="E35" s="269"/>
      <c r="F35" s="269"/>
      <c r="G35" s="269"/>
      <c r="H35" s="269"/>
      <c r="I35" s="269"/>
      <c r="J35" s="269"/>
      <c r="K35" s="269"/>
      <c r="L35" s="277">
        <f>+'OPER.-NONMAJOR SP. REVE (B)(66)'!IS34+'OPER.-NONMAJOR CAP. PROJ(73-74)'!AW33+'OPER.-PERMANENT FUNDS(77-78)'!H33</f>
        <v>0</v>
      </c>
      <c r="M35" s="314">
        <f t="shared" si="3"/>
        <v>70261.59</v>
      </c>
    </row>
    <row r="36" spans="1:13" ht="15">
      <c r="B36" s="429">
        <v>500000</v>
      </c>
      <c r="C36" s="411" t="s">
        <v>184</v>
      </c>
      <c r="D36" s="277"/>
      <c r="E36" s="269"/>
      <c r="F36" s="269"/>
      <c r="G36" s="269"/>
      <c r="H36" s="269"/>
      <c r="I36" s="269"/>
      <c r="J36" s="269"/>
      <c r="K36" s="269"/>
      <c r="L36" s="277"/>
      <c r="M36" s="314">
        <f t="shared" si="3"/>
        <v>0</v>
      </c>
    </row>
    <row r="37" spans="1:13" ht="15.75" thickBot="1">
      <c r="B37" s="429">
        <v>510000</v>
      </c>
      <c r="C37" s="411" t="s">
        <v>185</v>
      </c>
      <c r="D37" s="278">
        <f>+'GENERAL FUND-OPERATING(48-53)'!E278</f>
        <v>4144.6099999999997</v>
      </c>
      <c r="E37" s="271">
        <v>17908.13</v>
      </c>
      <c r="F37" s="271"/>
      <c r="G37" s="271"/>
      <c r="H37" s="271"/>
      <c r="I37" s="271"/>
      <c r="J37" s="271"/>
      <c r="K37" s="271"/>
      <c r="L37" s="278">
        <f>+'OPER.-NONMAJOR SP. REVE (B)(66)'!IS38+'OPER.-NONMAJOR DEBT SER.(69-70)'!AS33+'OPER.-NONMAJOR CAP. PROJ(73-74)'!AW32+'OPER.-PERMANENT FUNDS(77-78)'!H32</f>
        <v>0</v>
      </c>
      <c r="M37" s="314">
        <f t="shared" si="3"/>
        <v>22052.74</v>
      </c>
    </row>
    <row r="38" spans="1:13" ht="16.5" thickBot="1">
      <c r="A38" s="289"/>
      <c r="B38" s="429"/>
      <c r="C38" s="430" t="s">
        <v>229</v>
      </c>
      <c r="D38" s="279">
        <f t="shared" ref="D38:M38" si="4">SUM(D22:D37)</f>
        <v>238944.48</v>
      </c>
      <c r="E38" s="279">
        <f t="shared" si="4"/>
        <v>17908.13</v>
      </c>
      <c r="F38" s="279">
        <f t="shared" si="4"/>
        <v>69823.97</v>
      </c>
      <c r="G38" s="279">
        <f t="shared" si="4"/>
        <v>15620.19</v>
      </c>
      <c r="H38" s="279">
        <f t="shared" si="4"/>
        <v>0</v>
      </c>
      <c r="I38" s="279">
        <f t="shared" si="4"/>
        <v>0</v>
      </c>
      <c r="J38" s="279">
        <f t="shared" si="4"/>
        <v>0</v>
      </c>
      <c r="K38" s="279">
        <f t="shared" si="4"/>
        <v>0</v>
      </c>
      <c r="L38" s="279">
        <f t="shared" si="4"/>
        <v>24268.51</v>
      </c>
      <c r="M38" s="315">
        <f t="shared" si="4"/>
        <v>366565.28</v>
      </c>
    </row>
    <row r="39" spans="1:13" ht="31.5">
      <c r="B39" s="429"/>
      <c r="C39" s="435" t="s">
        <v>844</v>
      </c>
      <c r="D39" s="307">
        <f t="shared" ref="D39:M39" si="5">+D19-D38</f>
        <v>-62570.26999999999</v>
      </c>
      <c r="E39" s="307">
        <f t="shared" si="5"/>
        <v>-2870.619999999999</v>
      </c>
      <c r="F39" s="307">
        <f t="shared" si="5"/>
        <v>-16157.270000000004</v>
      </c>
      <c r="G39" s="307">
        <f t="shared" si="5"/>
        <v>-343.15999999999985</v>
      </c>
      <c r="H39" s="307">
        <f t="shared" si="5"/>
        <v>9.17</v>
      </c>
      <c r="I39" s="307">
        <f t="shared" si="5"/>
        <v>0</v>
      </c>
      <c r="J39" s="307">
        <f t="shared" si="5"/>
        <v>0</v>
      </c>
      <c r="K39" s="307">
        <f t="shared" si="5"/>
        <v>0</v>
      </c>
      <c r="L39" s="307">
        <f t="shared" si="5"/>
        <v>2019.6200000000026</v>
      </c>
      <c r="M39" s="307">
        <f t="shared" si="5"/>
        <v>-79912.530000000028</v>
      </c>
    </row>
    <row r="40" spans="1:13" ht="15.75">
      <c r="B40" s="429"/>
      <c r="C40" s="431" t="s">
        <v>230</v>
      </c>
      <c r="D40" s="277"/>
      <c r="E40" s="269"/>
      <c r="F40" s="269"/>
      <c r="G40" s="269"/>
      <c r="H40" s="269"/>
      <c r="I40" s="269"/>
      <c r="J40" s="269"/>
      <c r="K40" s="269"/>
      <c r="L40" s="277"/>
      <c r="M40" s="277"/>
    </row>
    <row r="41" spans="1:13" ht="15">
      <c r="B41" s="429" t="s">
        <v>186</v>
      </c>
      <c r="C41" s="411" t="s">
        <v>477</v>
      </c>
      <c r="D41" s="277">
        <f>+'GENERAL FUND-OPERATING(48-53)'!E282</f>
        <v>0</v>
      </c>
      <c r="E41" s="269"/>
      <c r="F41" s="269"/>
      <c r="G41" s="269"/>
      <c r="H41" s="269"/>
      <c r="I41" s="269"/>
      <c r="J41" s="269"/>
      <c r="K41" s="269"/>
      <c r="L41" s="277">
        <f>+'OPER.-NONMAJOR SP. REVE (B)(66)'!IS42+'OPER.-NONMAJOR CAP. PROJ(73-74)'!AW37+'OPER.-PERMANENT FUNDS(77-78)'!H37</f>
        <v>0</v>
      </c>
      <c r="M41" s="314">
        <f t="shared" ref="M41:M51" si="6">SUM(D41:L41)</f>
        <v>0</v>
      </c>
    </row>
    <row r="42" spans="1:13" ht="15">
      <c r="B42" s="429" t="s">
        <v>186</v>
      </c>
      <c r="C42" s="411" t="s">
        <v>478</v>
      </c>
      <c r="D42" s="277">
        <f>+'GENERAL FUND-OPERATING(48-53)'!E283</f>
        <v>0</v>
      </c>
      <c r="E42" s="269"/>
      <c r="F42" s="269"/>
      <c r="G42" s="269"/>
      <c r="H42" s="269"/>
      <c r="I42" s="269"/>
      <c r="J42" s="269"/>
      <c r="K42" s="269"/>
      <c r="L42" s="277">
        <f>+'OPER.-NONMAJOR SP. REVE (B)(66)'!IS43+'OPER.-NONMAJOR CAP. PROJ(73-74)'!AW38+'OPER.-PERMANENT FUNDS(77-78)'!H38</f>
        <v>0</v>
      </c>
      <c r="M42" s="314">
        <f t="shared" si="6"/>
        <v>0</v>
      </c>
    </row>
    <row r="43" spans="1:13" ht="15">
      <c r="B43" s="429">
        <v>381050</v>
      </c>
      <c r="C43" s="411" t="s">
        <v>233</v>
      </c>
      <c r="D43" s="277">
        <f>+'GENERAL FUND-OPERATING(48-53)'!E284</f>
        <v>0</v>
      </c>
      <c r="E43" s="269"/>
      <c r="F43" s="269"/>
      <c r="G43" s="269"/>
      <c r="H43" s="269"/>
      <c r="I43" s="269"/>
      <c r="J43" s="269"/>
      <c r="K43" s="269"/>
      <c r="L43" s="277">
        <f>+'OPER.-NONMAJOR SP. REVE (B)(66)'!IS44</f>
        <v>0</v>
      </c>
      <c r="M43" s="314">
        <f t="shared" si="6"/>
        <v>0</v>
      </c>
    </row>
    <row r="44" spans="1:13" ht="15">
      <c r="B44" s="429">
        <v>381070</v>
      </c>
      <c r="C44" s="411" t="s">
        <v>548</v>
      </c>
      <c r="D44" s="277">
        <f>+'GENERAL FUND-OPERATING(48-53)'!E285</f>
        <v>0</v>
      </c>
      <c r="E44" s="269"/>
      <c r="F44" s="269"/>
      <c r="G44" s="269"/>
      <c r="H44" s="269"/>
      <c r="I44" s="269"/>
      <c r="J44" s="269"/>
      <c r="K44" s="269"/>
      <c r="L44" s="277">
        <f>+'OPER.-NONMAJOR SP. REVE (B)(66)'!IS45+'OPER.-NONMAJOR CAP. PROJ(73-74)'!AW39+'OPER.-PERMANENT FUNDS(77-78)'!H39</f>
        <v>0</v>
      </c>
      <c r="M44" s="314">
        <f t="shared" si="6"/>
        <v>0</v>
      </c>
    </row>
    <row r="45" spans="1:13" ht="15">
      <c r="B45" s="429">
        <v>382010</v>
      </c>
      <c r="C45" s="411" t="s">
        <v>1154</v>
      </c>
      <c r="D45" s="277">
        <f>+'GENERAL FUND-OPERATING(48-53)'!E286</f>
        <v>0</v>
      </c>
      <c r="E45" s="269"/>
      <c r="F45" s="269"/>
      <c r="G45" s="269"/>
      <c r="H45" s="269"/>
      <c r="I45" s="269"/>
      <c r="J45" s="269"/>
      <c r="K45" s="269"/>
      <c r="L45" s="277">
        <f>+'OPER.-NONMAJOR SP. REVE (B)(66)'!IS46+'OPER.-NONMAJOR DEBT SER.(69-70)'!AS37+'OPER.-NONMAJOR CAP. PROJ(73-74)'!AW40+'OPER.-PERMANENT FUNDS(77-78)'!H40</f>
        <v>0</v>
      </c>
      <c r="M45" s="314">
        <f t="shared" si="6"/>
        <v>0</v>
      </c>
    </row>
    <row r="46" spans="1:13" ht="15">
      <c r="B46" s="429">
        <v>383000</v>
      </c>
      <c r="C46" s="411" t="s">
        <v>231</v>
      </c>
      <c r="D46" s="277">
        <f>+'GENERAL FUND-OPERATING(48-53)'!E287</f>
        <v>0</v>
      </c>
      <c r="E46" s="269"/>
      <c r="F46" s="269"/>
      <c r="G46" s="269"/>
      <c r="H46" s="269">
        <v>1200</v>
      </c>
      <c r="I46" s="269"/>
      <c r="J46" s="269"/>
      <c r="K46" s="269"/>
      <c r="L46" s="277">
        <f>+'OPER.-NONMAJOR SP. REVE (B)(66)'!IS47+'OPER.-NONMAJOR DEBT SER.(69-70)'!AS38+'OPER.-NONMAJOR CAP. PROJ(73-74)'!AW41+'OPER.-PERMANENT FUNDS(77-78)'!H41</f>
        <v>1200</v>
      </c>
      <c r="M46" s="314">
        <f t="shared" si="6"/>
        <v>2400</v>
      </c>
    </row>
    <row r="47" spans="1:13" ht="15">
      <c r="B47" s="429">
        <v>521000</v>
      </c>
      <c r="C47" s="411" t="s">
        <v>1781</v>
      </c>
      <c r="D47" s="277">
        <f>+'GENERAL FUND-OPERATING(48-53)'!E288</f>
        <v>-2400</v>
      </c>
      <c r="E47" s="269"/>
      <c r="F47" s="269"/>
      <c r="G47" s="269"/>
      <c r="H47" s="269"/>
      <c r="I47" s="269"/>
      <c r="J47" s="269"/>
      <c r="K47" s="269"/>
      <c r="L47" s="277">
        <f>+'OPER.-NONMAJOR SP. REVE (B)(66)'!IS48+'OPER.-NONMAJOR DEBT SER.(69-70)'!AS39+'OPER.-NONMAJOR CAP. PROJ(73-74)'!AW42+'OPER.-PERMANENT FUNDS(77-78)'!H42</f>
        <v>0</v>
      </c>
      <c r="M47" s="314">
        <f t="shared" si="6"/>
        <v>-2400</v>
      </c>
    </row>
    <row r="48" spans="1:13" ht="15">
      <c r="B48" s="429">
        <v>384000</v>
      </c>
      <c r="C48" s="411" t="s">
        <v>1755</v>
      </c>
      <c r="D48" s="277">
        <f>+'GENERAL FUND-OPERATING(48-53)'!E289</f>
        <v>0</v>
      </c>
      <c r="E48" s="269"/>
      <c r="F48" s="269"/>
      <c r="G48" s="269"/>
      <c r="H48" s="269"/>
      <c r="I48" s="269"/>
      <c r="J48" s="269"/>
      <c r="K48" s="269"/>
      <c r="L48" s="277">
        <f>+'OPER.-NONMAJOR SP. REVE (B)(66)'!IS49+'OPER.-NONMAJOR DEBT SER.(69-70)'!AS40+'OPER.-NONMAJOR CAP. PROJ(73-74)'!AW43+'OPER.-PERMANENT FUNDS(77-78)'!H43</f>
        <v>0</v>
      </c>
      <c r="M48" s="314">
        <f t="shared" si="6"/>
        <v>0</v>
      </c>
    </row>
    <row r="49" spans="2:13" ht="15">
      <c r="B49" s="429">
        <v>385000</v>
      </c>
      <c r="C49" s="411" t="s">
        <v>1751</v>
      </c>
      <c r="D49" s="277">
        <f>+'GENERAL FUND-OPERATING(48-53)'!E290</f>
        <v>0</v>
      </c>
      <c r="E49" s="269"/>
      <c r="F49" s="269"/>
      <c r="G49" s="269"/>
      <c r="H49" s="269"/>
      <c r="I49" s="269"/>
      <c r="J49" s="269"/>
      <c r="K49" s="269"/>
      <c r="L49" s="277">
        <f>+'OPER.-NONMAJOR SP. REVE (B)(66)'!IS50+'OPER.-NONMAJOR DEBT SER.(69-70)'!AS41+'OPER.-NONMAJOR CAP. PROJ(73-74)'!AW44+'OPER.-PERMANENT FUNDS(77-78)'!H44</f>
        <v>0</v>
      </c>
      <c r="M49" s="314">
        <f t="shared" si="6"/>
        <v>0</v>
      </c>
    </row>
    <row r="50" spans="2:13" ht="15">
      <c r="B50" s="429">
        <v>524000</v>
      </c>
      <c r="C50" s="411" t="s">
        <v>1782</v>
      </c>
      <c r="D50" s="277">
        <f>+'GENERAL FUND-OPERATING(48-53)'!E291</f>
        <v>0</v>
      </c>
      <c r="E50" s="269"/>
      <c r="F50" s="269"/>
      <c r="G50" s="269"/>
      <c r="H50" s="269"/>
      <c r="I50" s="269"/>
      <c r="J50" s="269"/>
      <c r="K50" s="269"/>
      <c r="L50" s="277">
        <f>+'OPER.-NONMAJOR SP. REVE (B)(66)'!IS51+'OPER.-NONMAJOR DEBT SER.(69-70)'!AS42+'OPER.-NONMAJOR CAP. PROJ(73-74)'!AW45+'OPER.-PERMANENT FUNDS(77-78)'!H45</f>
        <v>0</v>
      </c>
      <c r="M50" s="314">
        <f t="shared" si="6"/>
        <v>0</v>
      </c>
    </row>
    <row r="51" spans="2:13" ht="15.75" thickBot="1">
      <c r="B51" s="428">
        <v>525000</v>
      </c>
      <c r="C51" s="411" t="s">
        <v>1783</v>
      </c>
      <c r="D51" s="277">
        <f>+'GENERAL FUND-OPERATING(48-53)'!E292</f>
        <v>0</v>
      </c>
      <c r="E51" s="271"/>
      <c r="F51" s="271"/>
      <c r="G51" s="271"/>
      <c r="H51" s="271"/>
      <c r="I51" s="271"/>
      <c r="J51" s="271"/>
      <c r="K51" s="271"/>
      <c r="L51" s="277">
        <f>+'OPER.-NONMAJOR SP. REVE (B)(66)'!IS52+'OPER.-NONMAJOR DEBT SER.(69-70)'!AS43+'OPER.-NONMAJOR CAP. PROJ(73-74)'!AW46+'OPER.-PERMANENT FUNDS(77-78)'!H46</f>
        <v>0</v>
      </c>
      <c r="M51" s="314">
        <f t="shared" si="6"/>
        <v>0</v>
      </c>
    </row>
    <row r="52" spans="2:13" ht="16.5" thickBot="1">
      <c r="B52" s="428"/>
      <c r="C52" s="430" t="s">
        <v>237</v>
      </c>
      <c r="D52" s="279">
        <f t="shared" ref="D52:M52" si="7">SUM(D41:D51)</f>
        <v>-2400</v>
      </c>
      <c r="E52" s="279">
        <f t="shared" si="7"/>
        <v>0</v>
      </c>
      <c r="F52" s="279">
        <f t="shared" si="7"/>
        <v>0</v>
      </c>
      <c r="G52" s="279">
        <f t="shared" si="7"/>
        <v>0</v>
      </c>
      <c r="H52" s="279">
        <f t="shared" si="7"/>
        <v>1200</v>
      </c>
      <c r="I52" s="279">
        <f t="shared" si="7"/>
        <v>0</v>
      </c>
      <c r="J52" s="279">
        <f t="shared" si="7"/>
        <v>0</v>
      </c>
      <c r="K52" s="279">
        <f t="shared" si="7"/>
        <v>0</v>
      </c>
      <c r="L52" s="279">
        <f t="shared" si="7"/>
        <v>1200</v>
      </c>
      <c r="M52" s="279">
        <f t="shared" si="7"/>
        <v>0</v>
      </c>
    </row>
    <row r="53" spans="2:13" ht="15.75">
      <c r="B53" s="428"/>
      <c r="C53" s="430" t="s">
        <v>238</v>
      </c>
      <c r="D53" s="277">
        <f t="shared" ref="D53:M53" si="8">+D39+D52</f>
        <v>-64970.26999999999</v>
      </c>
      <c r="E53" s="277">
        <f t="shared" si="8"/>
        <v>-2870.619999999999</v>
      </c>
      <c r="F53" s="277">
        <f t="shared" si="8"/>
        <v>-16157.270000000004</v>
      </c>
      <c r="G53" s="277">
        <f t="shared" si="8"/>
        <v>-343.15999999999985</v>
      </c>
      <c r="H53" s="277">
        <f t="shared" si="8"/>
        <v>1209.17</v>
      </c>
      <c r="I53" s="277">
        <f t="shared" si="8"/>
        <v>0</v>
      </c>
      <c r="J53" s="277">
        <f t="shared" si="8"/>
        <v>0</v>
      </c>
      <c r="K53" s="277">
        <f t="shared" si="8"/>
        <v>0</v>
      </c>
      <c r="L53" s="277">
        <f t="shared" si="8"/>
        <v>3219.6200000000026</v>
      </c>
      <c r="M53" s="277">
        <f t="shared" si="8"/>
        <v>-79912.530000000028</v>
      </c>
    </row>
    <row r="54" spans="2:13" ht="31.5">
      <c r="B54" s="300"/>
      <c r="C54" s="312" t="s">
        <v>3247</v>
      </c>
      <c r="D54" s="307">
        <f>+'GENERAL FUND-OPERATING(48-53)'!E295</f>
        <v>200831.45</v>
      </c>
      <c r="E54" s="303">
        <v>5287.24</v>
      </c>
      <c r="F54" s="303">
        <v>50740.160000000003</v>
      </c>
      <c r="G54" s="303">
        <v>5469.24</v>
      </c>
      <c r="H54" s="303">
        <v>5296.83</v>
      </c>
      <c r="I54" s="303"/>
      <c r="J54" s="303"/>
      <c r="K54" s="303"/>
      <c r="L54" s="307">
        <f>+'OPER.-NONMAJOR SP. REVE (B)(66)'!IS56+'OPER.-NONMAJOR DEBT SER.(69-70)'!AS46+'OPER.-NONMAJOR CAP. PROJ(73-74)'!AW49+'OPER.-PERMANENT FUNDS(77-78)'!H49</f>
        <v>35797.759999999995</v>
      </c>
      <c r="M54" s="314">
        <f>SUM(D54:L54)</f>
        <v>303422.68000000005</v>
      </c>
    </row>
    <row r="55" spans="2:13" ht="16.5" thickBot="1">
      <c r="B55" s="300"/>
      <c r="C55" s="268" t="s">
        <v>699</v>
      </c>
      <c r="D55" s="278">
        <f>+'GENERAL FUND-OPERATING(48-53)'!E296</f>
        <v>0</v>
      </c>
      <c r="E55" s="271"/>
      <c r="F55" s="271"/>
      <c r="G55" s="271"/>
      <c r="H55" s="271"/>
      <c r="I55" s="271"/>
      <c r="J55" s="271"/>
      <c r="K55" s="271"/>
      <c r="L55" s="278">
        <f>+'OPER.-NONMAJOR SP. REVE (B)(66)'!IS57+'OPER.-NONMAJOR DEBT SER.(69-70)'!AS47+'OPER.-NONMAJOR CAP. PROJ(73-74)'!AW50+'OPER.-PERMANENT FUNDS(77-78)'!H50</f>
        <v>0</v>
      </c>
      <c r="M55" s="316">
        <f>SUM(D55:L55)</f>
        <v>0</v>
      </c>
    </row>
    <row r="56" spans="2:13" ht="32.25" thickBot="1">
      <c r="B56" s="300"/>
      <c r="C56" s="312" t="s">
        <v>3248</v>
      </c>
      <c r="D56" s="278">
        <f t="shared" ref="D56:M56" si="9">+D54+D55</f>
        <v>200831.45</v>
      </c>
      <c r="E56" s="278">
        <f t="shared" si="9"/>
        <v>5287.24</v>
      </c>
      <c r="F56" s="278">
        <f t="shared" si="9"/>
        <v>50740.160000000003</v>
      </c>
      <c r="G56" s="278">
        <f t="shared" si="9"/>
        <v>5469.24</v>
      </c>
      <c r="H56" s="278">
        <f t="shared" si="9"/>
        <v>5296.83</v>
      </c>
      <c r="I56" s="278">
        <f t="shared" si="9"/>
        <v>0</v>
      </c>
      <c r="J56" s="278">
        <f t="shared" si="9"/>
        <v>0</v>
      </c>
      <c r="K56" s="278">
        <f t="shared" si="9"/>
        <v>0</v>
      </c>
      <c r="L56" s="278">
        <f t="shared" si="9"/>
        <v>35797.759999999995</v>
      </c>
      <c r="M56" s="278">
        <f t="shared" si="9"/>
        <v>303422.68000000005</v>
      </c>
    </row>
    <row r="57" spans="2:13" ht="16.5" thickBot="1">
      <c r="B57" s="300"/>
      <c r="C57" s="268" t="s">
        <v>3249</v>
      </c>
      <c r="D57" s="299">
        <f t="shared" ref="D57:M57" si="10">+D53+D56</f>
        <v>135861.18000000002</v>
      </c>
      <c r="E57" s="299">
        <f t="shared" si="10"/>
        <v>2416.6200000000008</v>
      </c>
      <c r="F57" s="299">
        <f t="shared" si="10"/>
        <v>34582.89</v>
      </c>
      <c r="G57" s="299">
        <f t="shared" si="10"/>
        <v>5126.08</v>
      </c>
      <c r="H57" s="299">
        <f t="shared" si="10"/>
        <v>6506</v>
      </c>
      <c r="I57" s="299">
        <f t="shared" si="10"/>
        <v>0</v>
      </c>
      <c r="J57" s="299">
        <f t="shared" si="10"/>
        <v>0</v>
      </c>
      <c r="K57" s="299">
        <f t="shared" si="10"/>
        <v>0</v>
      </c>
      <c r="L57" s="299">
        <f t="shared" si="10"/>
        <v>39017.379999999997</v>
      </c>
      <c r="M57" s="299">
        <f t="shared" si="10"/>
        <v>223510.15000000002</v>
      </c>
    </row>
    <row r="58" spans="2:13" ht="13.5" thickTop="1"/>
    <row r="59" spans="2:13" ht="15.75">
      <c r="B59" s="274"/>
      <c r="C59" s="276"/>
      <c r="D59" s="276"/>
      <c r="E59" s="276"/>
      <c r="F59" s="276"/>
      <c r="G59" s="276"/>
      <c r="H59" s="276"/>
      <c r="I59" s="276"/>
      <c r="J59" s="276"/>
      <c r="K59" s="276"/>
      <c r="L59" s="276"/>
      <c r="M59" s="276"/>
    </row>
  </sheetData>
  <sheetProtection password="D950" sheet="1" scenarios="1" formatCells="0" formatColumns="0" format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topLeftCell="A37" zoomScaleNormal="100" workbookViewId="0">
      <selection activeCell="A67" sqref="A67"/>
    </sheetView>
  </sheetViews>
  <sheetFormatPr defaultColWidth="8.85546875" defaultRowHeight="12.75"/>
  <cols>
    <col min="1" max="1" width="100.7109375" style="261" customWidth="1"/>
    <col min="2" max="3" width="15.7109375" style="261" customWidth="1"/>
    <col min="4" max="16384" width="8.85546875" style="261"/>
  </cols>
  <sheetData>
    <row r="1" spans="1:6" ht="18">
      <c r="A1" s="866" t="str">
        <f>+'GW-STATEMENT NET POSITION(13)'!A1</f>
        <v>TOWN OF BROADUS</v>
      </c>
      <c r="B1" s="866"/>
      <c r="C1" s="699"/>
      <c r="D1" s="276"/>
      <c r="E1" s="276"/>
      <c r="F1" s="276"/>
    </row>
    <row r="2" spans="1:6" ht="18">
      <c r="A2" s="866" t="s">
        <v>465</v>
      </c>
      <c r="B2" s="866"/>
      <c r="C2" s="412"/>
      <c r="D2" s="276"/>
      <c r="E2" s="276"/>
      <c r="F2" s="276"/>
    </row>
    <row r="3" spans="1:6" ht="18">
      <c r="A3" s="866" t="s">
        <v>240</v>
      </c>
      <c r="B3" s="866"/>
      <c r="C3" s="412"/>
      <c r="D3" s="276"/>
      <c r="E3" s="276"/>
      <c r="F3" s="276"/>
    </row>
    <row r="4" spans="1:6" ht="18">
      <c r="A4" s="866" t="s">
        <v>470</v>
      </c>
      <c r="B4" s="866"/>
      <c r="C4" s="412"/>
      <c r="D4" s="276"/>
      <c r="E4" s="276"/>
      <c r="F4" s="276"/>
    </row>
    <row r="5" spans="1:6" ht="18">
      <c r="A5" s="866" t="str">
        <f>+'GW-STATEMENT OF ACTIVITIES(14)'!B3</f>
        <v>FISCAL YEAR ENDING JUNE 30, 2017</v>
      </c>
      <c r="B5" s="866"/>
      <c r="C5" s="412"/>
      <c r="D5" s="276"/>
      <c r="E5" s="276"/>
      <c r="F5" s="276"/>
    </row>
    <row r="6" spans="1:6" ht="18">
      <c r="A6" s="259"/>
      <c r="B6" s="259"/>
      <c r="C6" s="282"/>
      <c r="D6" s="276"/>
      <c r="E6" s="276"/>
      <c r="F6" s="276"/>
    </row>
    <row r="7" spans="1:6" ht="15">
      <c r="C7" s="263"/>
    </row>
    <row r="8" spans="1:6" ht="16.5" thickBot="1">
      <c r="A8" s="268" t="s">
        <v>635</v>
      </c>
      <c r="B8" s="268"/>
      <c r="C8" s="316">
        <f>+'GOVERMENTAL FUNDS-OPERATING(16)'!M53</f>
        <v>-79912.530000000028</v>
      </c>
    </row>
    <row r="9" spans="1:6" ht="15">
      <c r="A9" s="317" t="s">
        <v>3037</v>
      </c>
      <c r="B9" s="317"/>
      <c r="C9" s="277"/>
    </row>
    <row r="10" spans="1:6" ht="15">
      <c r="A10" s="263" t="s">
        <v>1218</v>
      </c>
      <c r="B10" s="263"/>
      <c r="C10" s="277"/>
    </row>
    <row r="11" spans="1:6" ht="15">
      <c r="A11" s="263"/>
      <c r="B11" s="263"/>
      <c r="C11" s="277"/>
    </row>
    <row r="12" spans="1:6" ht="15">
      <c r="A12" s="263" t="s">
        <v>471</v>
      </c>
      <c r="B12" s="263"/>
      <c r="C12" s="277"/>
    </row>
    <row r="13" spans="1:6" ht="15">
      <c r="A13" s="263" t="s">
        <v>474</v>
      </c>
      <c r="B13" s="263"/>
      <c r="C13" s="277"/>
    </row>
    <row r="14" spans="1:6" ht="15.75" thickBot="1">
      <c r="A14" s="263" t="s">
        <v>636</v>
      </c>
      <c r="B14" s="263"/>
      <c r="C14" s="278">
        <f>-'OP Conversion'!I35</f>
        <v>70261.59</v>
      </c>
    </row>
    <row r="15" spans="1:6" ht="15.75" thickBot="1">
      <c r="A15" s="263" t="s">
        <v>637</v>
      </c>
      <c r="B15" s="263"/>
      <c r="C15" s="278">
        <f>-'OP Conversion'!K38</f>
        <v>-25874.79</v>
      </c>
    </row>
    <row r="16" spans="1:6" ht="15.75" thickBot="1">
      <c r="A16" s="263"/>
      <c r="B16" s="263"/>
      <c r="C16" s="271"/>
    </row>
    <row r="17" spans="1:3" ht="15">
      <c r="A17" s="263" t="s">
        <v>152</v>
      </c>
      <c r="B17" s="263"/>
      <c r="C17" s="269"/>
    </row>
    <row r="18" spans="1:3" ht="15">
      <c r="A18" s="263" t="s">
        <v>1143</v>
      </c>
      <c r="B18" s="263"/>
      <c r="C18" s="269"/>
    </row>
    <row r="19" spans="1:3" ht="15">
      <c r="A19" s="263" t="s">
        <v>1144</v>
      </c>
      <c r="B19" s="263"/>
      <c r="C19" s="269"/>
    </row>
    <row r="20" spans="1:3" ht="15.75" thickBot="1">
      <c r="A20" s="263" t="s">
        <v>1145</v>
      </c>
      <c r="B20" s="263"/>
      <c r="C20" s="271"/>
    </row>
    <row r="21" spans="1:3" ht="15.75" thickBot="1">
      <c r="A21" s="263" t="s">
        <v>1085</v>
      </c>
      <c r="B21" s="263"/>
      <c r="C21" s="278">
        <f>-'OP Conversion'!C45</f>
        <v>0</v>
      </c>
    </row>
    <row r="22" spans="1:3" ht="15">
      <c r="A22" s="263"/>
      <c r="B22" s="263"/>
      <c r="C22" s="269"/>
    </row>
    <row r="23" spans="1:3" ht="15">
      <c r="A23" s="263" t="s">
        <v>1146</v>
      </c>
      <c r="B23" s="263"/>
      <c r="C23" s="269"/>
    </row>
    <row r="24" spans="1:3" ht="15">
      <c r="A24" s="263" t="s">
        <v>1147</v>
      </c>
      <c r="B24" s="263"/>
      <c r="C24" s="269"/>
    </row>
    <row r="25" spans="1:3" ht="15.75" thickBot="1">
      <c r="A25" s="263" t="s">
        <v>1148</v>
      </c>
      <c r="B25" s="263"/>
      <c r="C25" s="271"/>
    </row>
    <row r="26" spans="1:3" ht="15.75" thickBot="1">
      <c r="A26" s="263" t="s">
        <v>3039</v>
      </c>
      <c r="B26" s="263"/>
      <c r="C26" s="278">
        <f>+'OP Conversion'!D19+'OP Conversion'!E19</f>
        <v>2122.880000000001</v>
      </c>
    </row>
    <row r="27" spans="1:3" ht="15.75" thickBot="1">
      <c r="A27" s="263" t="s">
        <v>3070</v>
      </c>
      <c r="B27" s="263"/>
      <c r="C27" s="272">
        <f>'OP Conversion'!F13</f>
        <v>2556.9</v>
      </c>
    </row>
    <row r="28" spans="1:3" ht="15">
      <c r="A28" s="263" t="s">
        <v>1222</v>
      </c>
      <c r="B28" s="263"/>
      <c r="C28" s="269"/>
    </row>
    <row r="29" spans="1:3" ht="15">
      <c r="A29" s="263" t="s">
        <v>1848</v>
      </c>
      <c r="B29" s="263"/>
      <c r="C29" s="269"/>
    </row>
    <row r="30" spans="1:3" ht="15.75" thickBot="1">
      <c r="A30" s="263" t="s">
        <v>1149</v>
      </c>
      <c r="B30" s="263"/>
      <c r="C30" s="278">
        <f>-'OP Conversion'!C43</f>
        <v>0</v>
      </c>
    </row>
    <row r="31" spans="1:3" ht="15.75" thickBot="1">
      <c r="A31" s="263" t="s">
        <v>1223</v>
      </c>
      <c r="B31" s="263"/>
      <c r="C31" s="278">
        <f>-'OP Conversion'!C41</f>
        <v>0</v>
      </c>
    </row>
    <row r="32" spans="1:3" ht="15.75" thickBot="1">
      <c r="A32" s="263" t="s">
        <v>1224</v>
      </c>
      <c r="B32" s="263"/>
      <c r="C32" s="278">
        <f>-'OP Conversion'!C44</f>
        <v>0</v>
      </c>
    </row>
    <row r="33" spans="1:3" ht="15">
      <c r="A33" s="263"/>
      <c r="B33" s="263"/>
      <c r="C33" s="269"/>
    </row>
    <row r="34" spans="1:3" ht="15">
      <c r="A34" s="263" t="s">
        <v>3038</v>
      </c>
      <c r="B34" s="263"/>
      <c r="C34" s="269"/>
    </row>
    <row r="35" spans="1:3" ht="15">
      <c r="A35" s="263" t="s">
        <v>1849</v>
      </c>
      <c r="B35" s="263"/>
      <c r="C35" s="269"/>
    </row>
    <row r="36" spans="1:3" ht="15.75" thickBot="1">
      <c r="A36" s="263" t="s">
        <v>258</v>
      </c>
      <c r="B36" s="263"/>
      <c r="C36" s="271"/>
    </row>
    <row r="37" spans="1:3" ht="15.75" thickBot="1">
      <c r="A37" s="263" t="s">
        <v>1119</v>
      </c>
      <c r="B37" s="263"/>
      <c r="C37" s="271">
        <v>6927.17</v>
      </c>
    </row>
    <row r="38" spans="1:3" ht="15.75" thickBot="1">
      <c r="A38" s="263" t="s">
        <v>1120</v>
      </c>
      <c r="B38" s="263"/>
      <c r="C38" s="271"/>
    </row>
    <row r="39" spans="1:3" ht="15">
      <c r="A39" s="263"/>
      <c r="B39" s="263"/>
      <c r="C39" s="269"/>
    </row>
    <row r="40" spans="1:3" ht="15">
      <c r="A40" s="263"/>
      <c r="B40" s="263"/>
      <c r="C40" s="269"/>
    </row>
    <row r="41" spans="1:3" ht="15">
      <c r="A41" s="263" t="s">
        <v>664</v>
      </c>
      <c r="B41" s="263"/>
      <c r="C41" s="269"/>
    </row>
    <row r="42" spans="1:3" ht="15">
      <c r="A42" s="263" t="s">
        <v>118</v>
      </c>
      <c r="B42" s="263"/>
      <c r="C42" s="269"/>
    </row>
    <row r="43" spans="1:3" ht="15">
      <c r="A43" s="263" t="s">
        <v>576</v>
      </c>
      <c r="B43" s="263"/>
      <c r="C43" s="303"/>
    </row>
    <row r="44" spans="1:3" ht="15">
      <c r="A44" s="263" t="s">
        <v>578</v>
      </c>
      <c r="B44" s="263"/>
      <c r="C44" s="303"/>
    </row>
    <row r="45" spans="1:3" ht="15">
      <c r="A45" s="263" t="s">
        <v>577</v>
      </c>
      <c r="B45" s="263"/>
      <c r="C45" s="303"/>
    </row>
    <row r="46" spans="1:3" ht="15.75" thickBot="1">
      <c r="A46" s="263" t="s">
        <v>1800</v>
      </c>
      <c r="B46" s="278">
        <f>+'CHANGE NET POSITION-PROP.(19)'!I44</f>
        <v>0</v>
      </c>
      <c r="C46" s="307"/>
    </row>
    <row r="47" spans="1:3" ht="15.75" thickBot="1">
      <c r="A47" s="263" t="s">
        <v>865</v>
      </c>
      <c r="B47" s="278">
        <f>+'CHANGE NET POSITION-PROP.(19)'!H52</f>
        <v>0</v>
      </c>
      <c r="C47" s="307"/>
    </row>
    <row r="48" spans="1:3" ht="15.75" thickBot="1">
      <c r="A48" s="263" t="s">
        <v>119</v>
      </c>
      <c r="B48" s="278">
        <f>+'CHANGE NET POSITION-PROP.(19)'!I25</f>
        <v>0</v>
      </c>
      <c r="C48" s="278">
        <f>+B46+B47+B48</f>
        <v>0</v>
      </c>
    </row>
    <row r="49" spans="1:3" ht="15">
      <c r="A49" s="263"/>
      <c r="B49" s="263"/>
      <c r="C49" s="269"/>
    </row>
    <row r="50" spans="1:3" ht="15">
      <c r="A50" s="263" t="s">
        <v>630</v>
      </c>
      <c r="B50" s="263"/>
      <c r="C50" s="269"/>
    </row>
    <row r="51" spans="1:3" ht="15">
      <c r="A51" s="263" t="s">
        <v>631</v>
      </c>
      <c r="B51" s="263"/>
      <c r="C51" s="269"/>
    </row>
    <row r="52" spans="1:3" ht="15">
      <c r="A52" s="263" t="s">
        <v>632</v>
      </c>
      <c r="B52" s="263"/>
      <c r="C52" s="269"/>
    </row>
    <row r="53" spans="1:3" ht="15.75" thickBot="1">
      <c r="A53" s="263" t="s">
        <v>633</v>
      </c>
      <c r="B53" s="263"/>
      <c r="C53" s="278">
        <f>-'OP Conversion'!M23-'OP Conversion'!M24-'OP Conversion'!M25-'OP Conversion'!M26-'OP Conversion'!M27-'OP Conversion'!M28-'OP Conversion'!M29-'OP Conversion'!M30-'OP Conversion'!M34</f>
        <v>456.45</v>
      </c>
    </row>
    <row r="54" spans="1:3" ht="15.75" thickBot="1">
      <c r="A54" s="263" t="s">
        <v>3071</v>
      </c>
      <c r="B54" s="263"/>
      <c r="C54" s="271">
        <f>-'OP Conversion'!F38</f>
        <v>6876.08</v>
      </c>
    </row>
    <row r="55" spans="1:3" ht="15.75" thickBot="1">
      <c r="A55" s="263" t="s">
        <v>3072</v>
      </c>
      <c r="B55" s="263"/>
      <c r="C55" s="272"/>
    </row>
    <row r="56" spans="1:3" ht="15">
      <c r="A56" s="263"/>
      <c r="B56" s="263"/>
      <c r="C56" s="269"/>
    </row>
    <row r="57" spans="1:3" ht="16.5" thickBot="1">
      <c r="A57" s="266" t="s">
        <v>1799</v>
      </c>
      <c r="B57" s="266"/>
      <c r="C57" s="299">
        <f>SUM(C8:C55)</f>
        <v>-16586.250000000036</v>
      </c>
    </row>
    <row r="58" spans="1:3" ht="15.75" thickTop="1">
      <c r="A58" s="263"/>
      <c r="B58" s="263"/>
    </row>
    <row r="59" spans="1:3" ht="15">
      <c r="A59" s="263"/>
      <c r="B59" s="534" t="s">
        <v>2725</v>
      </c>
      <c r="C59" s="535">
        <f>C57-'GW-STATEMENT OF ACTIVITIES(14)'!H57</f>
        <v>0</v>
      </c>
    </row>
    <row r="60" spans="1:3" ht="15.75">
      <c r="A60" s="274" t="s">
        <v>1409</v>
      </c>
      <c r="B60" s="274"/>
      <c r="C60" s="276"/>
    </row>
    <row r="61" spans="1:3" ht="15">
      <c r="A61" s="263"/>
      <c r="B61" s="263"/>
    </row>
    <row r="62" spans="1:3" ht="15">
      <c r="A62" s="263"/>
      <c r="B62" s="263"/>
    </row>
    <row r="63" spans="1:3" ht="15">
      <c r="A63" s="263"/>
      <c r="B63" s="263"/>
    </row>
    <row r="64" spans="1:3" ht="15">
      <c r="A64" s="263"/>
      <c r="B64" s="263"/>
    </row>
    <row r="65" spans="1:2" ht="15">
      <c r="A65" s="263"/>
      <c r="B65" s="263"/>
    </row>
    <row r="66" spans="1:2" ht="15">
      <c r="A66" s="263"/>
      <c r="B66" s="263"/>
    </row>
    <row r="67" spans="1:2" ht="15">
      <c r="A67" s="263"/>
      <c r="B67" s="263"/>
    </row>
    <row r="68" spans="1:2" ht="15">
      <c r="A68" s="263"/>
      <c r="B68" s="263"/>
    </row>
    <row r="69" spans="1:2" ht="15">
      <c r="A69" s="263"/>
      <c r="B69" s="263"/>
    </row>
    <row r="70" spans="1:2" ht="15">
      <c r="A70" s="263"/>
      <c r="B70" s="263"/>
    </row>
    <row r="71" spans="1:2" ht="15">
      <c r="A71" s="263"/>
      <c r="B71" s="263"/>
    </row>
    <row r="72" spans="1:2" ht="15">
      <c r="A72" s="263"/>
      <c r="B72" s="263"/>
    </row>
    <row r="73" spans="1:2" ht="15">
      <c r="A73" s="263"/>
      <c r="B73" s="263"/>
    </row>
    <row r="74" spans="1:2" ht="15">
      <c r="A74" s="263"/>
      <c r="B74" s="263"/>
    </row>
    <row r="75" spans="1:2" ht="15">
      <c r="A75" s="263"/>
      <c r="B75" s="263"/>
    </row>
    <row r="76" spans="1:2" ht="15">
      <c r="A76" s="263"/>
      <c r="B76" s="263"/>
    </row>
    <row r="77" spans="1:2" ht="15">
      <c r="A77" s="263"/>
      <c r="B77" s="263"/>
    </row>
    <row r="78" spans="1:2" ht="15">
      <c r="A78" s="263"/>
      <c r="B78" s="263"/>
    </row>
    <row r="79" spans="1:2" ht="15">
      <c r="A79" s="263"/>
      <c r="B79" s="263"/>
    </row>
    <row r="80" spans="1:2" ht="15">
      <c r="A80" s="263"/>
      <c r="B80" s="263"/>
    </row>
    <row r="81" spans="1:2" ht="15">
      <c r="A81" s="263"/>
      <c r="B81" s="263"/>
    </row>
    <row r="82" spans="1:2" ht="15">
      <c r="A82" s="263"/>
      <c r="B82" s="263"/>
    </row>
    <row r="83" spans="1:2" ht="15">
      <c r="A83" s="263"/>
      <c r="B83" s="263"/>
    </row>
    <row r="84" spans="1:2" ht="15">
      <c r="A84" s="263"/>
      <c r="B84" s="263"/>
    </row>
    <row r="85" spans="1:2" ht="15">
      <c r="A85" s="263"/>
      <c r="B85" s="263"/>
    </row>
    <row r="86" spans="1:2" ht="15">
      <c r="A86" s="263"/>
      <c r="B86" s="263"/>
    </row>
    <row r="87" spans="1:2" ht="15">
      <c r="A87" s="263"/>
      <c r="B87" s="263"/>
    </row>
    <row r="88" spans="1:2" ht="15">
      <c r="A88" s="263"/>
      <c r="B88" s="263"/>
    </row>
    <row r="89" spans="1:2" ht="15">
      <c r="A89" s="263"/>
      <c r="B89" s="263"/>
    </row>
    <row r="90" spans="1:2" ht="15">
      <c r="A90" s="263"/>
      <c r="B90" s="263"/>
    </row>
    <row r="91" spans="1:2" ht="15">
      <c r="A91" s="263"/>
      <c r="B91" s="263"/>
    </row>
    <row r="92" spans="1:2" ht="15">
      <c r="A92" s="263"/>
      <c r="B92" s="263"/>
    </row>
    <row r="93" spans="1:2" ht="15">
      <c r="A93" s="263"/>
      <c r="B93" s="263"/>
    </row>
    <row r="94" spans="1:2" ht="15">
      <c r="A94" s="263"/>
      <c r="B94" s="263"/>
    </row>
    <row r="95" spans="1:2" ht="15">
      <c r="A95" s="263"/>
      <c r="B95" s="263"/>
    </row>
    <row r="96" spans="1:2" ht="15">
      <c r="A96" s="263"/>
      <c r="B96" s="263"/>
    </row>
    <row r="97" spans="1:2" ht="15">
      <c r="A97" s="263"/>
      <c r="B97" s="263"/>
    </row>
    <row r="98" spans="1:2" ht="15">
      <c r="A98" s="263"/>
      <c r="B98" s="263"/>
    </row>
    <row r="99" spans="1:2" ht="15">
      <c r="A99" s="263"/>
      <c r="B99" s="263"/>
    </row>
    <row r="100" spans="1:2" ht="15">
      <c r="A100" s="263"/>
      <c r="B100" s="263"/>
    </row>
    <row r="101" spans="1:2" ht="15">
      <c r="A101" s="263"/>
      <c r="B101" s="263"/>
    </row>
    <row r="102" spans="1:2" ht="15">
      <c r="A102" s="263"/>
      <c r="B102" s="263"/>
    </row>
    <row r="103" spans="1:2" ht="15">
      <c r="A103" s="263"/>
      <c r="B103" s="263"/>
    </row>
    <row r="104" spans="1:2" ht="15">
      <c r="A104" s="263"/>
      <c r="B104" s="263"/>
    </row>
    <row r="105" spans="1:2" ht="15">
      <c r="A105" s="263"/>
      <c r="B105" s="263"/>
    </row>
    <row r="106" spans="1:2" ht="15">
      <c r="A106" s="263"/>
      <c r="B106" s="263"/>
    </row>
    <row r="107" spans="1:2" ht="15">
      <c r="A107" s="263"/>
      <c r="B107" s="263"/>
    </row>
    <row r="108" spans="1:2" ht="15">
      <c r="A108" s="263"/>
      <c r="B108" s="263"/>
    </row>
    <row r="109" spans="1:2" ht="15">
      <c r="A109" s="263"/>
      <c r="B109" s="263"/>
    </row>
    <row r="110" spans="1:2" ht="15">
      <c r="A110" s="263"/>
      <c r="B110" s="263"/>
    </row>
    <row r="111" spans="1:2" ht="15">
      <c r="A111" s="263"/>
      <c r="B111" s="263"/>
    </row>
    <row r="112" spans="1:2" ht="15">
      <c r="A112" s="263"/>
      <c r="B112" s="263"/>
    </row>
    <row r="113" spans="1:2" ht="15">
      <c r="A113" s="263"/>
      <c r="B113" s="263"/>
    </row>
    <row r="114" spans="1:2" ht="15">
      <c r="A114" s="263"/>
      <c r="B114" s="263"/>
    </row>
    <row r="115" spans="1:2" ht="15">
      <c r="A115" s="263"/>
      <c r="B115" s="263"/>
    </row>
    <row r="116" spans="1:2" ht="15">
      <c r="A116" s="263"/>
      <c r="B116" s="263"/>
    </row>
    <row r="117" spans="1:2" ht="15">
      <c r="A117" s="263"/>
      <c r="B117" s="263"/>
    </row>
    <row r="118" spans="1:2" ht="15">
      <c r="A118" s="263"/>
      <c r="B118" s="263"/>
    </row>
    <row r="119" spans="1:2" ht="15">
      <c r="A119" s="263"/>
      <c r="B119" s="263"/>
    </row>
    <row r="120" spans="1:2" ht="15">
      <c r="A120" s="263"/>
      <c r="B120" s="263"/>
    </row>
    <row r="121" spans="1:2" ht="15">
      <c r="A121" s="263"/>
      <c r="B121" s="263"/>
    </row>
    <row r="122" spans="1:2" ht="15">
      <c r="A122" s="263"/>
      <c r="B122" s="263"/>
    </row>
    <row r="123" spans="1:2" ht="15">
      <c r="A123" s="263"/>
      <c r="B123" s="263"/>
    </row>
    <row r="124" spans="1:2" ht="15">
      <c r="A124" s="263"/>
      <c r="B124" s="263"/>
    </row>
    <row r="125" spans="1:2" ht="15">
      <c r="A125" s="263"/>
      <c r="B125" s="263"/>
    </row>
    <row r="126" spans="1:2" ht="15">
      <c r="A126" s="263"/>
      <c r="B126" s="263"/>
    </row>
    <row r="127" spans="1:2" ht="15">
      <c r="A127" s="263"/>
      <c r="B127" s="263"/>
    </row>
    <row r="128" spans="1:2" ht="15">
      <c r="A128" s="263"/>
      <c r="B128" s="263"/>
    </row>
    <row r="129" spans="1:2" ht="15">
      <c r="A129" s="263"/>
      <c r="B129" s="263"/>
    </row>
    <row r="130" spans="1:2" ht="15">
      <c r="A130" s="263"/>
      <c r="B130" s="263"/>
    </row>
    <row r="131" spans="1:2" ht="15">
      <c r="A131" s="263"/>
      <c r="B131" s="263"/>
    </row>
    <row r="132" spans="1:2" ht="15">
      <c r="A132" s="263"/>
      <c r="B132" s="263"/>
    </row>
    <row r="133" spans="1:2" ht="15">
      <c r="A133" s="263"/>
      <c r="B133" s="263"/>
    </row>
    <row r="134" spans="1:2" ht="15">
      <c r="A134" s="263"/>
      <c r="B134" s="263"/>
    </row>
    <row r="135" spans="1:2" ht="15">
      <c r="A135" s="263"/>
      <c r="B135" s="263"/>
    </row>
    <row r="136" spans="1:2" ht="15">
      <c r="A136" s="263"/>
      <c r="B136" s="263"/>
    </row>
    <row r="137" spans="1:2" ht="15">
      <c r="A137" s="263"/>
      <c r="B137" s="263"/>
    </row>
    <row r="138" spans="1:2" ht="15">
      <c r="A138" s="263"/>
      <c r="B138" s="263"/>
    </row>
    <row r="139" spans="1:2" ht="15">
      <c r="A139" s="263"/>
      <c r="B139" s="263"/>
    </row>
    <row r="140" spans="1:2" ht="15">
      <c r="A140" s="263"/>
      <c r="B140" s="263"/>
    </row>
    <row r="141" spans="1:2" ht="15">
      <c r="A141" s="263"/>
      <c r="B141" s="263"/>
    </row>
    <row r="142" spans="1:2" ht="15">
      <c r="A142" s="263"/>
      <c r="B142" s="263"/>
    </row>
    <row r="143" spans="1:2" ht="15">
      <c r="A143" s="263"/>
      <c r="B143" s="263"/>
    </row>
    <row r="144" spans="1:2" ht="15">
      <c r="A144" s="263"/>
      <c r="B144" s="263"/>
    </row>
    <row r="145" spans="1:2" ht="15">
      <c r="A145" s="263"/>
      <c r="B145" s="263"/>
    </row>
    <row r="146" spans="1:2" ht="15">
      <c r="A146" s="263"/>
      <c r="B146" s="263"/>
    </row>
    <row r="147" spans="1:2" ht="15">
      <c r="A147" s="263"/>
      <c r="B147" s="263"/>
    </row>
    <row r="148" spans="1:2" ht="15">
      <c r="A148" s="263"/>
      <c r="B148" s="263"/>
    </row>
    <row r="149" spans="1:2" ht="15">
      <c r="A149" s="263"/>
      <c r="B149" s="263"/>
    </row>
    <row r="150" spans="1:2" ht="15">
      <c r="A150" s="263"/>
      <c r="B150" s="263"/>
    </row>
    <row r="151" spans="1:2" ht="15">
      <c r="A151" s="263"/>
      <c r="B151" s="263"/>
    </row>
    <row r="152" spans="1:2" ht="15">
      <c r="A152" s="263"/>
      <c r="B152" s="263"/>
    </row>
    <row r="153" spans="1:2" ht="15">
      <c r="A153" s="263"/>
      <c r="B153" s="263"/>
    </row>
    <row r="154" spans="1:2" ht="15">
      <c r="A154" s="263"/>
      <c r="B154" s="263"/>
    </row>
    <row r="155" spans="1:2" ht="15">
      <c r="A155" s="263"/>
      <c r="B155" s="263"/>
    </row>
    <row r="156" spans="1:2" ht="15">
      <c r="A156" s="263"/>
      <c r="B156" s="263"/>
    </row>
    <row r="157" spans="1:2" ht="15">
      <c r="A157" s="263"/>
      <c r="B157" s="263"/>
    </row>
    <row r="158" spans="1:2" ht="15">
      <c r="A158" s="263"/>
      <c r="B158" s="263"/>
    </row>
    <row r="159" spans="1:2" ht="15">
      <c r="A159" s="263"/>
      <c r="B159" s="263"/>
    </row>
    <row r="160" spans="1:2" ht="15">
      <c r="A160" s="263"/>
      <c r="B160" s="263"/>
    </row>
    <row r="161" spans="1:2" ht="15">
      <c r="A161" s="263"/>
      <c r="B161" s="263"/>
    </row>
    <row r="162" spans="1:2" ht="15">
      <c r="A162" s="263"/>
      <c r="B162" s="263"/>
    </row>
    <row r="163" spans="1:2" ht="15">
      <c r="A163" s="263"/>
      <c r="B163" s="263"/>
    </row>
    <row r="164" spans="1:2" ht="15">
      <c r="A164" s="263"/>
      <c r="B164" s="263"/>
    </row>
    <row r="165" spans="1:2" ht="15">
      <c r="A165" s="263"/>
      <c r="B165" s="263"/>
    </row>
    <row r="166" spans="1:2" ht="15">
      <c r="A166" s="263"/>
      <c r="B166" s="263"/>
    </row>
    <row r="167" spans="1:2" ht="15">
      <c r="A167" s="263"/>
      <c r="B167" s="263"/>
    </row>
    <row r="168" spans="1:2" ht="15">
      <c r="A168" s="263"/>
      <c r="B168" s="263"/>
    </row>
    <row r="169" spans="1:2" ht="15">
      <c r="A169" s="263"/>
      <c r="B169" s="263"/>
    </row>
    <row r="170" spans="1:2" ht="15">
      <c r="A170" s="263"/>
      <c r="B170" s="263"/>
    </row>
    <row r="171" spans="1:2" ht="15">
      <c r="A171" s="263"/>
      <c r="B171" s="263"/>
    </row>
    <row r="172" spans="1:2" ht="15">
      <c r="A172" s="263"/>
      <c r="B172" s="263"/>
    </row>
    <row r="173" spans="1:2" ht="15">
      <c r="A173" s="263"/>
      <c r="B173" s="263"/>
    </row>
    <row r="174" spans="1:2" ht="15">
      <c r="A174" s="263"/>
      <c r="B174" s="263"/>
    </row>
    <row r="175" spans="1:2" ht="15">
      <c r="A175" s="263"/>
      <c r="B175" s="263"/>
    </row>
    <row r="176" spans="1:2" ht="15">
      <c r="A176" s="263"/>
      <c r="B176" s="263"/>
    </row>
    <row r="177" spans="1:2" ht="15">
      <c r="A177" s="263"/>
      <c r="B177" s="263"/>
    </row>
    <row r="178" spans="1:2" ht="15">
      <c r="A178" s="263"/>
      <c r="B178" s="263"/>
    </row>
    <row r="179" spans="1:2" ht="15">
      <c r="A179" s="263"/>
      <c r="B179" s="263"/>
    </row>
    <row r="180" spans="1:2" ht="15">
      <c r="A180" s="263"/>
      <c r="B180" s="263"/>
    </row>
    <row r="181" spans="1:2" ht="15">
      <c r="A181" s="263"/>
      <c r="B181" s="263"/>
    </row>
    <row r="182" spans="1:2" ht="15">
      <c r="A182" s="263"/>
      <c r="B182" s="263"/>
    </row>
    <row r="183" spans="1:2" ht="15">
      <c r="A183" s="263"/>
      <c r="B183" s="263"/>
    </row>
    <row r="184" spans="1:2" ht="15">
      <c r="A184" s="263"/>
      <c r="B184" s="263"/>
    </row>
    <row r="185" spans="1:2" ht="15">
      <c r="A185" s="263"/>
      <c r="B185" s="263"/>
    </row>
    <row r="186" spans="1:2" ht="15">
      <c r="A186" s="263"/>
      <c r="B186" s="263"/>
    </row>
    <row r="187" spans="1:2" ht="15">
      <c r="A187" s="263"/>
      <c r="B187" s="263"/>
    </row>
    <row r="188" spans="1:2" ht="15">
      <c r="A188" s="263"/>
      <c r="B188" s="263"/>
    </row>
    <row r="189" spans="1:2" ht="15">
      <c r="A189" s="263"/>
      <c r="B189" s="263"/>
    </row>
    <row r="190" spans="1:2" ht="15">
      <c r="A190" s="263"/>
      <c r="B190" s="263"/>
    </row>
    <row r="191" spans="1:2" ht="15">
      <c r="A191" s="263"/>
      <c r="B191" s="263"/>
    </row>
    <row r="192" spans="1:2" ht="15">
      <c r="A192" s="263"/>
      <c r="B192" s="263"/>
    </row>
    <row r="193" spans="1:2" ht="15">
      <c r="A193" s="263"/>
      <c r="B193" s="263"/>
    </row>
    <row r="194" spans="1:2" ht="15">
      <c r="A194" s="263"/>
      <c r="B194" s="263"/>
    </row>
    <row r="195" spans="1:2" ht="15">
      <c r="A195" s="263"/>
      <c r="B195" s="263"/>
    </row>
    <row r="196" spans="1:2" ht="15">
      <c r="A196" s="263"/>
      <c r="B196" s="263"/>
    </row>
  </sheetData>
  <sheetProtection password="D950" sheet="1" scenarios="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I176"/>
  <sheetViews>
    <sheetView zoomScaleNormal="100" workbookViewId="0">
      <pane xSplit="2" ySplit="11" topLeftCell="C12" activePane="bottomRight" state="frozen"/>
      <selection pane="topRight" activeCell="C1" sqref="C1"/>
      <selection pane="bottomLeft" activeCell="A12" sqref="A12"/>
      <selection pane="bottomRight" activeCell="C15" sqref="C15"/>
    </sheetView>
  </sheetViews>
  <sheetFormatPr defaultColWidth="8.85546875" defaultRowHeight="12.75"/>
  <cols>
    <col min="1" max="1" width="12.7109375" style="261" customWidth="1"/>
    <col min="2" max="2" width="55.7109375" style="261" customWidth="1"/>
    <col min="3" max="9" width="18.7109375" style="261" customWidth="1"/>
    <col min="10" max="16384" width="8.85546875" style="261"/>
  </cols>
  <sheetData>
    <row r="1" spans="1:9" ht="18">
      <c r="A1" s="699"/>
      <c r="B1" s="866" t="str">
        <f>+'GW-STATEMENT NET POSITION(13)'!A1</f>
        <v>TOWN OF BROADUS</v>
      </c>
      <c r="C1" s="699"/>
      <c r="D1" s="699"/>
      <c r="E1" s="699"/>
      <c r="F1" s="699"/>
      <c r="G1" s="699"/>
      <c r="H1" s="699"/>
      <c r="I1" s="276"/>
    </row>
    <row r="2" spans="1:9" ht="18">
      <c r="A2" s="699"/>
      <c r="B2" s="866" t="s">
        <v>1794</v>
      </c>
      <c r="C2" s="699"/>
      <c r="D2" s="699"/>
      <c r="E2" s="699"/>
      <c r="F2" s="699"/>
      <c r="G2" s="699"/>
      <c r="H2" s="699"/>
      <c r="I2" s="276"/>
    </row>
    <row r="3" spans="1:9" ht="18">
      <c r="A3" s="699"/>
      <c r="B3" s="866" t="s">
        <v>193</v>
      </c>
      <c r="C3" s="699"/>
      <c r="D3" s="699"/>
      <c r="E3" s="699"/>
      <c r="F3" s="699"/>
      <c r="G3" s="699"/>
      <c r="H3" s="699"/>
      <c r="I3" s="276"/>
    </row>
    <row r="4" spans="1:9" ht="18">
      <c r="A4" s="699"/>
      <c r="B4" s="867" t="str">
        <f>+'GW-STATEMENT NET POSITION(13)'!A3</f>
        <v>FISCAL YEAR ENDING JUNE 30, 2017</v>
      </c>
      <c r="C4" s="699"/>
      <c r="D4" s="699"/>
      <c r="E4" s="699"/>
      <c r="F4" s="699"/>
      <c r="G4" s="699"/>
      <c r="H4" s="699"/>
      <c r="I4" s="276"/>
    </row>
    <row r="5" spans="1:9" ht="18">
      <c r="B5" s="262"/>
      <c r="G5" s="308"/>
      <c r="H5" s="308"/>
      <c r="I5" s="430" t="s">
        <v>1056</v>
      </c>
    </row>
    <row r="6" spans="1:9" ht="18.75" thickBot="1">
      <c r="B6" s="262"/>
      <c r="C6" s="264" t="s">
        <v>197</v>
      </c>
      <c r="D6" s="318"/>
      <c r="E6" s="318"/>
      <c r="F6" s="318"/>
      <c r="G6" s="689"/>
      <c r="H6" s="689"/>
      <c r="I6" s="676" t="s">
        <v>1059</v>
      </c>
    </row>
    <row r="7" spans="1:9">
      <c r="G7" s="308"/>
      <c r="H7" s="308"/>
      <c r="I7" s="308"/>
    </row>
    <row r="8" spans="1:9" ht="16.5" thickBot="1">
      <c r="A8" s="263"/>
      <c r="B8" s="263"/>
      <c r="C8" s="264" t="s">
        <v>821</v>
      </c>
      <c r="D8" s="265"/>
      <c r="E8" s="265"/>
      <c r="F8" s="265"/>
      <c r="G8" s="430" t="s">
        <v>194</v>
      </c>
      <c r="H8" s="411"/>
      <c r="I8" s="411"/>
    </row>
    <row r="9" spans="1:9" ht="15.75">
      <c r="A9" s="430" t="s">
        <v>177</v>
      </c>
      <c r="B9" s="430"/>
      <c r="C9" s="266" t="s">
        <v>3683</v>
      </c>
      <c r="D9" s="777" t="s">
        <v>3684</v>
      </c>
      <c r="E9" s="777" t="s">
        <v>3685</v>
      </c>
      <c r="F9" s="777" t="s">
        <v>1955</v>
      </c>
      <c r="G9" s="430" t="s">
        <v>195</v>
      </c>
      <c r="H9" s="411"/>
      <c r="I9" s="430" t="s">
        <v>198</v>
      </c>
    </row>
    <row r="10" spans="1:9" ht="16.5" thickBot="1">
      <c r="A10" s="676" t="s">
        <v>178</v>
      </c>
      <c r="B10" s="676" t="s">
        <v>179</v>
      </c>
      <c r="C10" s="267" t="s">
        <v>1445</v>
      </c>
      <c r="D10" s="267" t="s">
        <v>1446</v>
      </c>
      <c r="E10" s="267" t="s">
        <v>3686</v>
      </c>
      <c r="F10" s="267" t="s">
        <v>1956</v>
      </c>
      <c r="G10" s="676" t="s">
        <v>1203</v>
      </c>
      <c r="H10" s="676" t="s">
        <v>196</v>
      </c>
      <c r="I10" s="676" t="s">
        <v>199</v>
      </c>
    </row>
    <row r="11" spans="1:9" ht="15.75">
      <c r="A11" s="428"/>
      <c r="B11" s="431" t="s">
        <v>1060</v>
      </c>
      <c r="C11" s="326"/>
      <c r="D11" s="326"/>
      <c r="E11" s="326"/>
      <c r="F11" s="326"/>
      <c r="G11" s="326"/>
      <c r="H11" s="326"/>
      <c r="I11" s="326"/>
    </row>
    <row r="12" spans="1:9" ht="15.75">
      <c r="A12" s="428"/>
      <c r="B12" s="431" t="s">
        <v>200</v>
      </c>
      <c r="C12" s="326"/>
      <c r="D12" s="326"/>
      <c r="E12" s="326"/>
      <c r="F12" s="326"/>
      <c r="G12" s="326"/>
      <c r="H12" s="326"/>
      <c r="I12" s="326"/>
    </row>
    <row r="13" spans="1:9" ht="15">
      <c r="A13" s="429">
        <v>101000</v>
      </c>
      <c r="B13" s="411" t="s">
        <v>1061</v>
      </c>
      <c r="C13" s="269">
        <v>173994.42</v>
      </c>
      <c r="D13" s="269">
        <v>56032.33</v>
      </c>
      <c r="E13" s="269">
        <v>30283.95</v>
      </c>
      <c r="F13" s="269"/>
      <c r="G13" s="277">
        <f>+'NET POSIT-NONMAJOR ENTERPR(79)'!H12</f>
        <v>0</v>
      </c>
      <c r="H13" s="277">
        <f>SUM(C13:G13)</f>
        <v>260310.7</v>
      </c>
      <c r="I13" s="277">
        <f>+'COMB. NET POS-IN. SER.(82)'!F12</f>
        <v>0</v>
      </c>
    </row>
    <row r="14" spans="1:9" ht="15">
      <c r="A14" s="429">
        <v>103000</v>
      </c>
      <c r="B14" s="411" t="s">
        <v>1205</v>
      </c>
      <c r="C14" s="269"/>
      <c r="D14" s="269"/>
      <c r="E14" s="269"/>
      <c r="F14" s="269"/>
      <c r="G14" s="277">
        <f>+'NET POSIT-NONMAJOR ENTERPR(79)'!H13</f>
        <v>0</v>
      </c>
      <c r="H14" s="277">
        <f t="shared" ref="H14:H20" si="0">SUM(C14:G14)</f>
        <v>0</v>
      </c>
      <c r="I14" s="277">
        <f>+'COMB. NET POS-IN. SER.(82)'!F13</f>
        <v>0</v>
      </c>
    </row>
    <row r="15" spans="1:9" ht="15">
      <c r="A15" s="429">
        <v>101100</v>
      </c>
      <c r="B15" s="411" t="s">
        <v>852</v>
      </c>
      <c r="C15" s="269">
        <v>50000</v>
      </c>
      <c r="D15" s="269">
        <v>15000</v>
      </c>
      <c r="E15" s="269">
        <v>9000</v>
      </c>
      <c r="F15" s="269"/>
      <c r="G15" s="277">
        <f>+'NET POSIT-NONMAJOR ENTERPR(79)'!H14</f>
        <v>0</v>
      </c>
      <c r="H15" s="277">
        <f t="shared" si="0"/>
        <v>74000</v>
      </c>
      <c r="I15" s="277">
        <f>+'COMB. NET POS-IN. SER.(82)'!F14</f>
        <v>0</v>
      </c>
    </row>
    <row r="16" spans="1:9" ht="30">
      <c r="A16" s="429">
        <v>110000</v>
      </c>
      <c r="B16" s="678" t="s">
        <v>1208</v>
      </c>
      <c r="C16" s="269"/>
      <c r="D16" s="269"/>
      <c r="E16" s="269"/>
      <c r="F16" s="269"/>
      <c r="G16" s="277">
        <f>+'NET POSIT-NONMAJOR ENTERPR(79)'!H15</f>
        <v>0</v>
      </c>
      <c r="H16" s="277">
        <f t="shared" si="0"/>
        <v>0</v>
      </c>
      <c r="I16" s="277">
        <f>+'COMB. NET POS-IN. SER.(82)'!F15</f>
        <v>0</v>
      </c>
    </row>
    <row r="17" spans="1:9" ht="30">
      <c r="A17" s="429">
        <v>120000</v>
      </c>
      <c r="B17" s="678" t="s">
        <v>665</v>
      </c>
      <c r="C17" s="269">
        <v>24444.639999999999</v>
      </c>
      <c r="D17" s="269">
        <v>6350.57</v>
      </c>
      <c r="E17" s="269">
        <v>5361.58</v>
      </c>
      <c r="F17" s="269"/>
      <c r="G17" s="277">
        <f>+'NET POSIT-NONMAJOR ENTERPR(79)'!H16</f>
        <v>0</v>
      </c>
      <c r="H17" s="277">
        <f t="shared" si="0"/>
        <v>36156.79</v>
      </c>
      <c r="I17" s="277">
        <f>+'COMB. NET POS-IN. SER.(82)'!F16</f>
        <v>0</v>
      </c>
    </row>
    <row r="18" spans="1:9" ht="15">
      <c r="A18" s="429">
        <v>131000</v>
      </c>
      <c r="B18" s="411" t="s">
        <v>249</v>
      </c>
      <c r="C18" s="269"/>
      <c r="D18" s="269"/>
      <c r="E18" s="269"/>
      <c r="F18" s="269"/>
      <c r="G18" s="277">
        <f>+'NET POSIT-NONMAJOR ENTERPR(79)'!H17</f>
        <v>0</v>
      </c>
      <c r="H18" s="277">
        <f t="shared" si="0"/>
        <v>0</v>
      </c>
      <c r="I18" s="277">
        <f>+'COMB. NET POS-IN. SER.(82)'!F17</f>
        <v>0</v>
      </c>
    </row>
    <row r="19" spans="1:9" ht="15">
      <c r="A19" s="429">
        <v>132000</v>
      </c>
      <c r="B19" s="411" t="s">
        <v>250</v>
      </c>
      <c r="C19" s="269"/>
      <c r="D19" s="269"/>
      <c r="E19" s="269"/>
      <c r="F19" s="269"/>
      <c r="G19" s="277">
        <f>+'NET POSIT-NONMAJOR ENTERPR(79)'!H18</f>
        <v>0</v>
      </c>
      <c r="H19" s="277">
        <f t="shared" si="0"/>
        <v>0</v>
      </c>
      <c r="I19" s="277">
        <f>+'COMB. NET POS-IN. SER.(82)'!F18</f>
        <v>0</v>
      </c>
    </row>
    <row r="20" spans="1:9" ht="15">
      <c r="A20" s="429">
        <v>141000</v>
      </c>
      <c r="B20" s="411" t="s">
        <v>202</v>
      </c>
      <c r="C20" s="269"/>
      <c r="D20" s="269"/>
      <c r="E20" s="269"/>
      <c r="F20" s="269"/>
      <c r="G20" s="277">
        <f>+'NET POSIT-NONMAJOR ENTERPR(79)'!H19</f>
        <v>0</v>
      </c>
      <c r="H20" s="277">
        <f t="shared" si="0"/>
        <v>0</v>
      </c>
      <c r="I20" s="277">
        <f>+'COMB. NET POS-IN. SER.(82)'!F19</f>
        <v>0</v>
      </c>
    </row>
    <row r="21" spans="1:9" ht="15.75" thickBot="1">
      <c r="A21" s="429">
        <v>150000</v>
      </c>
      <c r="B21" s="411" t="s">
        <v>1065</v>
      </c>
      <c r="C21" s="271"/>
      <c r="D21" s="271"/>
      <c r="E21" s="271"/>
      <c r="F21" s="271"/>
      <c r="G21" s="278">
        <f>+'NET POSIT-NONMAJOR ENTERPR(79)'!H20</f>
        <v>0</v>
      </c>
      <c r="H21" s="277">
        <f>SUM(C21:G21)</f>
        <v>0</v>
      </c>
      <c r="I21" s="278">
        <f>+'COMB. NET POS-IN. SER.(82)'!F20</f>
        <v>0</v>
      </c>
    </row>
    <row r="22" spans="1:9" ht="16.5" thickBot="1">
      <c r="A22" s="429"/>
      <c r="B22" s="430" t="s">
        <v>820</v>
      </c>
      <c r="C22" s="279">
        <f>SUM(C12:C21)</f>
        <v>248439.06</v>
      </c>
      <c r="D22" s="279">
        <f t="shared" ref="D22:I22" si="1">SUM(D12:D21)</f>
        <v>77382.899999999994</v>
      </c>
      <c r="E22" s="279">
        <f t="shared" si="1"/>
        <v>44645.53</v>
      </c>
      <c r="F22" s="279">
        <f t="shared" si="1"/>
        <v>0</v>
      </c>
      <c r="G22" s="279">
        <f t="shared" si="1"/>
        <v>0</v>
      </c>
      <c r="H22" s="279">
        <f t="shared" si="1"/>
        <v>370467.49</v>
      </c>
      <c r="I22" s="279">
        <f t="shared" si="1"/>
        <v>0</v>
      </c>
    </row>
    <row r="23" spans="1:9" ht="15.75">
      <c r="A23" s="429"/>
      <c r="B23" s="431" t="s">
        <v>201</v>
      </c>
      <c r="C23" s="269"/>
      <c r="D23" s="269"/>
      <c r="E23" s="269"/>
      <c r="F23" s="269"/>
      <c r="G23" s="277"/>
      <c r="H23" s="277"/>
      <c r="I23" s="277"/>
    </row>
    <row r="24" spans="1:9" ht="15">
      <c r="A24" s="429"/>
      <c r="B24" s="411" t="s">
        <v>1066</v>
      </c>
      <c r="C24" s="269"/>
      <c r="D24" s="269"/>
      <c r="E24" s="269"/>
      <c r="F24" s="269"/>
      <c r="G24" s="277"/>
      <c r="H24" s="277"/>
      <c r="I24" s="277"/>
    </row>
    <row r="25" spans="1:9" ht="15">
      <c r="A25" s="429">
        <v>102200</v>
      </c>
      <c r="B25" s="411" t="s">
        <v>1206</v>
      </c>
      <c r="C25" s="269"/>
      <c r="D25" s="269"/>
      <c r="E25" s="269"/>
      <c r="F25" s="269"/>
      <c r="G25" s="277">
        <f>+'NET POSIT-NONMAJOR ENTERPR(79)'!H24</f>
        <v>0</v>
      </c>
      <c r="H25" s="277">
        <f>SUM(C25:G25)</f>
        <v>0</v>
      </c>
      <c r="I25" s="277">
        <f>+'COMB. NET POS-IN. SER.(82)'!F24</f>
        <v>0</v>
      </c>
    </row>
    <row r="26" spans="1:9" ht="15">
      <c r="A26" s="429">
        <v>102300</v>
      </c>
      <c r="B26" s="411" t="s">
        <v>1207</v>
      </c>
      <c r="C26" s="269"/>
      <c r="D26" s="269"/>
      <c r="E26" s="269"/>
      <c r="F26" s="269"/>
      <c r="G26" s="277">
        <f>+'NET POSIT-NONMAJOR ENTERPR(79)'!H25</f>
        <v>0</v>
      </c>
      <c r="H26" s="277">
        <f>SUM(C26:G26)</f>
        <v>0</v>
      </c>
      <c r="I26" s="277">
        <f>+'COMB. NET POS-IN. SER.(82)'!F25</f>
        <v>0</v>
      </c>
    </row>
    <row r="27" spans="1:9" ht="15">
      <c r="A27" s="429">
        <v>133000</v>
      </c>
      <c r="B27" s="411" t="s">
        <v>1209</v>
      </c>
      <c r="C27" s="269"/>
      <c r="D27" s="269"/>
      <c r="E27" s="269"/>
      <c r="F27" s="269"/>
      <c r="G27" s="277">
        <f>+'NET POSIT-NONMAJOR ENTERPR(79)'!H26</f>
        <v>0</v>
      </c>
      <c r="H27" s="277">
        <f>SUM(C27:G27)</f>
        <v>0</v>
      </c>
      <c r="I27" s="277">
        <f>+'COMB. NET POS-IN. SER.(82)'!F26</f>
        <v>0</v>
      </c>
    </row>
    <row r="28" spans="1:9" ht="15">
      <c r="A28" s="429">
        <v>170000</v>
      </c>
      <c r="B28" s="411" t="s">
        <v>180</v>
      </c>
      <c r="C28" s="269"/>
      <c r="D28" s="269"/>
      <c r="E28" s="269"/>
      <c r="F28" s="269"/>
      <c r="G28" s="277">
        <f>+'NET POSIT-NONMAJOR ENTERPR(79)'!H27</f>
        <v>0</v>
      </c>
      <c r="H28" s="277">
        <f>SUM(C28:G28)</f>
        <v>0</v>
      </c>
      <c r="I28" s="277">
        <f>+'COMB. NET POS-IN. SER.(82)'!F27</f>
        <v>0</v>
      </c>
    </row>
    <row r="29" spans="1:9" ht="15">
      <c r="A29" s="429">
        <v>180000</v>
      </c>
      <c r="B29" s="411" t="s">
        <v>659</v>
      </c>
      <c r="C29" s="269"/>
      <c r="D29" s="269"/>
      <c r="E29" s="269"/>
      <c r="F29" s="269"/>
      <c r="G29" s="277"/>
      <c r="H29" s="277"/>
      <c r="I29" s="277"/>
    </row>
    <row r="30" spans="1:9" ht="15">
      <c r="A30" s="429"/>
      <c r="B30" s="411" t="s">
        <v>654</v>
      </c>
      <c r="C30" s="269">
        <v>4900</v>
      </c>
      <c r="D30" s="269">
        <v>32280</v>
      </c>
      <c r="E30" s="269"/>
      <c r="F30" s="269"/>
      <c r="G30" s="277">
        <f>+'NET POSIT-NONMAJOR ENTERPR(79)'!H29</f>
        <v>0</v>
      </c>
      <c r="H30" s="277">
        <f t="shared" ref="H30:H36" si="2">SUM(C30:G30)</f>
        <v>37180</v>
      </c>
      <c r="I30" s="277">
        <f>+'COMB. NET POS-IN. SER.(82)'!F29</f>
        <v>0</v>
      </c>
    </row>
    <row r="31" spans="1:9" ht="15">
      <c r="A31" s="429"/>
      <c r="B31" s="411" t="s">
        <v>655</v>
      </c>
      <c r="C31" s="269"/>
      <c r="D31" s="269"/>
      <c r="E31" s="269"/>
      <c r="F31" s="269"/>
      <c r="G31" s="277">
        <f>+'NET POSIT-NONMAJOR ENTERPR(79)'!H30</f>
        <v>0</v>
      </c>
      <c r="H31" s="277">
        <f t="shared" si="2"/>
        <v>0</v>
      </c>
      <c r="I31" s="277">
        <f>+'COMB. NET POS-IN. SER.(82)'!F30</f>
        <v>0</v>
      </c>
    </row>
    <row r="32" spans="1:9" ht="15">
      <c r="A32" s="429"/>
      <c r="B32" s="411" t="s">
        <v>640</v>
      </c>
      <c r="C32" s="269">
        <v>4986.32</v>
      </c>
      <c r="D32" s="269"/>
      <c r="E32" s="269"/>
      <c r="F32" s="269"/>
      <c r="G32" s="277">
        <f>+'NET POSIT-NONMAJOR ENTERPR(79)'!H31</f>
        <v>0</v>
      </c>
      <c r="H32" s="277">
        <f t="shared" si="2"/>
        <v>4986.32</v>
      </c>
      <c r="I32" s="277">
        <f>+'COMB. NET POS-IN. SER.(82)'!F31</f>
        <v>0</v>
      </c>
    </row>
    <row r="33" spans="1:9" ht="15">
      <c r="A33" s="429"/>
      <c r="B33" s="411" t="s">
        <v>656</v>
      </c>
      <c r="C33" s="269"/>
      <c r="D33" s="269">
        <v>129852.52</v>
      </c>
      <c r="E33" s="269"/>
      <c r="F33" s="269"/>
      <c r="G33" s="277">
        <f>+'NET POSIT-NONMAJOR ENTERPR(79)'!H32</f>
        <v>0</v>
      </c>
      <c r="H33" s="277">
        <f t="shared" si="2"/>
        <v>129852.52</v>
      </c>
      <c r="I33" s="277">
        <f>+'COMB. NET POS-IN. SER.(82)'!F32</f>
        <v>0</v>
      </c>
    </row>
    <row r="34" spans="1:9" ht="15">
      <c r="A34" s="429"/>
      <c r="B34" s="411" t="s">
        <v>657</v>
      </c>
      <c r="C34" s="269">
        <v>26382.15</v>
      </c>
      <c r="D34" s="269">
        <v>32532.92</v>
      </c>
      <c r="E34" s="269">
        <v>140307.70000000001</v>
      </c>
      <c r="F34" s="269"/>
      <c r="G34" s="277">
        <f>+'NET POSIT-NONMAJOR ENTERPR(79)'!H33</f>
        <v>0</v>
      </c>
      <c r="H34" s="277">
        <f t="shared" si="2"/>
        <v>199222.77000000002</v>
      </c>
      <c r="I34" s="277">
        <f>+'COMB. NET POS-IN. SER.(82)'!F33</f>
        <v>0</v>
      </c>
    </row>
    <row r="35" spans="1:9" ht="15">
      <c r="A35" s="429"/>
      <c r="B35" s="411" t="s">
        <v>641</v>
      </c>
      <c r="C35" s="269">
        <v>587619.37</v>
      </c>
      <c r="D35" s="269"/>
      <c r="E35" s="269"/>
      <c r="F35" s="269"/>
      <c r="G35" s="277">
        <f>+'NET POSIT-NONMAJOR ENTERPR(79)'!H34</f>
        <v>0</v>
      </c>
      <c r="H35" s="277">
        <f t="shared" si="2"/>
        <v>587619.37</v>
      </c>
      <c r="I35" s="277">
        <f>+'COMB. NET POS-IN. SER.(82)'!F34</f>
        <v>0</v>
      </c>
    </row>
    <row r="36" spans="1:9" ht="15">
      <c r="A36" s="429"/>
      <c r="B36" s="411" t="s">
        <v>658</v>
      </c>
      <c r="C36" s="269">
        <v>-551255.42000000004</v>
      </c>
      <c r="D36" s="269">
        <v>-151081.81</v>
      </c>
      <c r="E36" s="269">
        <v>-138736.03</v>
      </c>
      <c r="F36" s="269"/>
      <c r="G36" s="277">
        <f>+'NET POSIT-NONMAJOR ENTERPR(79)'!H35</f>
        <v>0</v>
      </c>
      <c r="H36" s="277">
        <f t="shared" si="2"/>
        <v>-841073.26</v>
      </c>
      <c r="I36" s="277">
        <f>+'COMB. NET POS-IN. SER.(82)'!F35</f>
        <v>0</v>
      </c>
    </row>
    <row r="37" spans="1:9" ht="15.75" thickBot="1">
      <c r="A37" s="308"/>
      <c r="B37" s="411" t="s">
        <v>203</v>
      </c>
      <c r="C37" s="278">
        <f>+C30+C31+C32+C33+C34+C35+C36</f>
        <v>72632.419999999925</v>
      </c>
      <c r="D37" s="278">
        <f>+D30+D31+D32+D33+D34+D35+D36</f>
        <v>43583.630000000005</v>
      </c>
      <c r="E37" s="278">
        <f>+E30+E31+E32+E33+E34+E35+E36</f>
        <v>1571.6700000000128</v>
      </c>
      <c r="F37" s="278">
        <f>+F30+F31+F32+F33+F34+F35+F36</f>
        <v>0</v>
      </c>
      <c r="G37" s="278">
        <f>+'NET POSIT-NONMAJOR ENTERPR(79)'!H36</f>
        <v>0</v>
      </c>
      <c r="H37" s="277">
        <f>SUM(C37:G37)</f>
        <v>117787.71999999994</v>
      </c>
      <c r="I37" s="278">
        <f>+'COMB. NET POS-IN. SER.(82)'!F36</f>
        <v>0</v>
      </c>
    </row>
    <row r="38" spans="1:9" ht="16.5" thickBot="1">
      <c r="A38" s="429"/>
      <c r="B38" s="430" t="s">
        <v>819</v>
      </c>
      <c r="C38" s="279">
        <f>SUM(C25:C36)</f>
        <v>72632.419999999925</v>
      </c>
      <c r="D38" s="279">
        <f t="shared" ref="D38:I38" si="3">SUM(D25:D36)</f>
        <v>43583.630000000005</v>
      </c>
      <c r="E38" s="279">
        <f t="shared" si="3"/>
        <v>1571.6700000000128</v>
      </c>
      <c r="F38" s="279">
        <f t="shared" si="3"/>
        <v>0</v>
      </c>
      <c r="G38" s="279">
        <f t="shared" si="3"/>
        <v>0</v>
      </c>
      <c r="H38" s="279">
        <f t="shared" si="3"/>
        <v>117787.71999999997</v>
      </c>
      <c r="I38" s="279">
        <f t="shared" si="3"/>
        <v>0</v>
      </c>
    </row>
    <row r="39" spans="1:9" ht="16.5" thickBot="1">
      <c r="A39" s="429"/>
      <c r="B39" s="677" t="s">
        <v>1069</v>
      </c>
      <c r="C39" s="280">
        <f t="shared" ref="C39:I39" si="4">+C22+C38</f>
        <v>321071.47999999992</v>
      </c>
      <c r="D39" s="280">
        <f t="shared" si="4"/>
        <v>120966.53</v>
      </c>
      <c r="E39" s="280">
        <f t="shared" si="4"/>
        <v>46217.200000000012</v>
      </c>
      <c r="F39" s="280">
        <f t="shared" si="4"/>
        <v>0</v>
      </c>
      <c r="G39" s="280">
        <f t="shared" si="4"/>
        <v>0</v>
      </c>
      <c r="H39" s="280">
        <f t="shared" si="4"/>
        <v>488255.20999999996</v>
      </c>
      <c r="I39" s="280">
        <f t="shared" si="4"/>
        <v>0</v>
      </c>
    </row>
    <row r="40" spans="1:9" ht="16.5" thickTop="1">
      <c r="A40" s="429"/>
      <c r="B40" s="677"/>
      <c r="C40" s="307"/>
      <c r="D40" s="307"/>
      <c r="E40" s="307"/>
      <c r="F40" s="307"/>
      <c r="G40" s="307"/>
      <c r="H40" s="307"/>
      <c r="I40" s="307"/>
    </row>
    <row r="41" spans="1:9" ht="15.75">
      <c r="A41" s="429"/>
      <c r="B41" s="677" t="s">
        <v>1903</v>
      </c>
      <c r="C41" s="307"/>
      <c r="D41" s="307"/>
      <c r="E41" s="307"/>
      <c r="F41" s="307"/>
      <c r="G41" s="307"/>
      <c r="H41" s="307"/>
      <c r="I41" s="307"/>
    </row>
    <row r="42" spans="1:9" ht="15">
      <c r="A42" s="300">
        <v>199000</v>
      </c>
      <c r="B42" s="263" t="s">
        <v>1904</v>
      </c>
      <c r="C42" s="303"/>
      <c r="D42" s="303"/>
      <c r="E42" s="303"/>
      <c r="F42" s="303"/>
      <c r="G42" s="307">
        <f>'NET POSIT-NONMAJOR ENTERPR(79)'!H41</f>
        <v>0</v>
      </c>
      <c r="H42" s="277">
        <f t="shared" ref="H42:H43" si="5">SUM(C42:G42)</f>
        <v>0</v>
      </c>
      <c r="I42" s="307">
        <f>'COMB. NET POS-IN. SER.(82)'!F41</f>
        <v>0</v>
      </c>
    </row>
    <row r="43" spans="1:9" ht="15.75" thickBot="1">
      <c r="A43" s="300" t="s">
        <v>3031</v>
      </c>
      <c r="B43" s="263" t="s">
        <v>3032</v>
      </c>
      <c r="C43" s="271">
        <v>13010.71</v>
      </c>
      <c r="D43" s="271">
        <v>264.24</v>
      </c>
      <c r="E43" s="271">
        <v>6565.23</v>
      </c>
      <c r="F43" s="271"/>
      <c r="G43" s="278">
        <f>'NET POSIT-NONMAJOR ENTERPR(79)'!H42</f>
        <v>0</v>
      </c>
      <c r="H43" s="277">
        <f t="shared" si="5"/>
        <v>19840.18</v>
      </c>
      <c r="I43" s="278">
        <f>'COMB. NET POS-IN. SER.(82)'!F42</f>
        <v>0</v>
      </c>
    </row>
    <row r="44" spans="1:9" ht="16.5" thickBot="1">
      <c r="A44" s="429"/>
      <c r="B44" s="430" t="s">
        <v>1905</v>
      </c>
      <c r="C44" s="280">
        <f>SUM(C42:C43)</f>
        <v>13010.71</v>
      </c>
      <c r="D44" s="280">
        <f t="shared" ref="D44:I44" si="6">SUM(D42:D43)</f>
        <v>264.24</v>
      </c>
      <c r="E44" s="280">
        <f t="shared" si="6"/>
        <v>6565.23</v>
      </c>
      <c r="F44" s="280">
        <f t="shared" si="6"/>
        <v>0</v>
      </c>
      <c r="G44" s="280">
        <f t="shared" si="6"/>
        <v>0</v>
      </c>
      <c r="H44" s="280">
        <f t="shared" si="6"/>
        <v>19840.18</v>
      </c>
      <c r="I44" s="280">
        <f t="shared" si="6"/>
        <v>0</v>
      </c>
    </row>
    <row r="45" spans="1:9" ht="15.75" thickTop="1">
      <c r="A45" s="429"/>
      <c r="B45" s="411"/>
      <c r="C45" s="269"/>
      <c r="D45" s="269"/>
      <c r="E45" s="269"/>
      <c r="F45" s="269"/>
      <c r="G45" s="277"/>
      <c r="H45" s="277"/>
      <c r="I45" s="277"/>
    </row>
    <row r="46" spans="1:9" ht="15.75">
      <c r="A46" s="429"/>
      <c r="B46" s="431" t="s">
        <v>1070</v>
      </c>
      <c r="C46" s="269"/>
      <c r="D46" s="269"/>
      <c r="E46" s="269"/>
      <c r="F46" s="269"/>
      <c r="G46" s="277"/>
      <c r="H46" s="277"/>
      <c r="I46" s="277"/>
    </row>
    <row r="47" spans="1:9" ht="15.75">
      <c r="A47" s="429"/>
      <c r="B47" s="431" t="s">
        <v>204</v>
      </c>
      <c r="C47" s="269"/>
      <c r="D47" s="269"/>
      <c r="E47" s="269"/>
      <c r="F47" s="269"/>
      <c r="G47" s="277"/>
      <c r="H47" s="277"/>
      <c r="I47" s="277"/>
    </row>
    <row r="48" spans="1:9" ht="15">
      <c r="A48" s="429">
        <v>202100</v>
      </c>
      <c r="B48" s="411" t="s">
        <v>205</v>
      </c>
      <c r="C48" s="269">
        <v>1265</v>
      </c>
      <c r="D48" s="269"/>
      <c r="E48" s="269"/>
      <c r="F48" s="269"/>
      <c r="G48" s="277">
        <f>+'NET POSIT-NONMAJOR ENTERPR(79)'!H47</f>
        <v>0</v>
      </c>
      <c r="H48" s="277">
        <f>SUM(C48:G48)</f>
        <v>1265</v>
      </c>
      <c r="I48" s="277">
        <f>+'COMB. NET POS-IN. SER.(82)'!F47</f>
        <v>0</v>
      </c>
    </row>
    <row r="49" spans="1:9" ht="15">
      <c r="A49" s="429">
        <v>203100</v>
      </c>
      <c r="B49" s="411" t="s">
        <v>288</v>
      </c>
      <c r="C49" s="269"/>
      <c r="D49" s="269"/>
      <c r="E49" s="269"/>
      <c r="F49" s="269"/>
      <c r="G49" s="277">
        <f>+'NET POSIT-NONMAJOR ENTERPR(79)'!H48</f>
        <v>0</v>
      </c>
      <c r="H49" s="277">
        <f t="shared" ref="H49:H57" si="7">SUM(C49:G49)</f>
        <v>0</v>
      </c>
      <c r="I49" s="277">
        <f>+'COMB. NET POS-IN. SER.(82)'!F48</f>
        <v>0</v>
      </c>
    </row>
    <row r="50" spans="1:9" ht="15">
      <c r="A50" s="429">
        <v>204000</v>
      </c>
      <c r="B50" s="411" t="s">
        <v>814</v>
      </c>
      <c r="C50" s="269"/>
      <c r="D50" s="269"/>
      <c r="E50" s="269"/>
      <c r="F50" s="269"/>
      <c r="G50" s="277">
        <f>+'NET POSIT-NONMAJOR ENTERPR(79)'!H49</f>
        <v>0</v>
      </c>
      <c r="H50" s="277">
        <f t="shared" si="7"/>
        <v>0</v>
      </c>
      <c r="I50" s="277">
        <f>+'COMB. NET POS-IN. SER.(82)'!F49</f>
        <v>0</v>
      </c>
    </row>
    <row r="51" spans="1:9" ht="15">
      <c r="A51" s="429">
        <v>205200</v>
      </c>
      <c r="B51" s="411" t="s">
        <v>2723</v>
      </c>
      <c r="C51" s="269"/>
      <c r="D51" s="269"/>
      <c r="E51" s="269"/>
      <c r="F51" s="269"/>
      <c r="G51" s="277">
        <f>+'NET POSIT-NONMAJOR ENTERPR(79)'!H50</f>
        <v>0</v>
      </c>
      <c r="H51" s="277">
        <f t="shared" si="7"/>
        <v>0</v>
      </c>
      <c r="I51" s="277">
        <f>+'COMB. NET POS-IN. SER.(82)'!F50</f>
        <v>0</v>
      </c>
    </row>
    <row r="52" spans="1:9" ht="15">
      <c r="A52" s="429">
        <v>206100</v>
      </c>
      <c r="B52" s="411" t="s">
        <v>1180</v>
      </c>
      <c r="C52" s="269">
        <v>762.6</v>
      </c>
      <c r="D52" s="269">
        <v>-158.4</v>
      </c>
      <c r="E52" s="269">
        <v>464.79</v>
      </c>
      <c r="F52" s="269"/>
      <c r="G52" s="277">
        <f>+'NET POSIT-NONMAJOR ENTERPR(79)'!H51</f>
        <v>0</v>
      </c>
      <c r="H52" s="277">
        <f t="shared" si="7"/>
        <v>1068.99</v>
      </c>
      <c r="I52" s="277">
        <f>+'COMB. NET POS-IN. SER.(82)'!F51</f>
        <v>0</v>
      </c>
    </row>
    <row r="53" spans="1:9" ht="15">
      <c r="A53" s="429">
        <v>209100</v>
      </c>
      <c r="B53" s="411" t="s">
        <v>815</v>
      </c>
      <c r="C53" s="269"/>
      <c r="D53" s="269"/>
      <c r="E53" s="269"/>
      <c r="F53" s="269"/>
      <c r="G53" s="277">
        <f>+'NET POSIT-NONMAJOR ENTERPR(79)'!H52</f>
        <v>0</v>
      </c>
      <c r="H53" s="277">
        <f t="shared" si="7"/>
        <v>0</v>
      </c>
      <c r="I53" s="277">
        <f>+'COMB. NET POS-IN. SER.(82)'!F52</f>
        <v>0</v>
      </c>
    </row>
    <row r="54" spans="1:9" ht="15">
      <c r="A54" s="429">
        <v>211000</v>
      </c>
      <c r="B54" s="411" t="s">
        <v>1182</v>
      </c>
      <c r="C54" s="269"/>
      <c r="D54" s="269"/>
      <c r="E54" s="269"/>
      <c r="F54" s="269"/>
      <c r="G54" s="277">
        <f>+'NET POSIT-NONMAJOR ENTERPR(79)'!H53</f>
        <v>0</v>
      </c>
      <c r="H54" s="277">
        <f t="shared" si="7"/>
        <v>0</v>
      </c>
      <c r="I54" s="277">
        <f>+'COMB. NET POS-IN. SER.(82)'!F53</f>
        <v>0</v>
      </c>
    </row>
    <row r="55" spans="1:9" ht="15">
      <c r="A55" s="429">
        <v>212000</v>
      </c>
      <c r="B55" s="411" t="s">
        <v>1204</v>
      </c>
      <c r="C55" s="269"/>
      <c r="D55" s="269"/>
      <c r="E55" s="269"/>
      <c r="F55" s="269"/>
      <c r="G55" s="277">
        <f>+'NET POSIT-NONMAJOR ENTERPR(79)'!H54</f>
        <v>0</v>
      </c>
      <c r="H55" s="277">
        <f t="shared" si="7"/>
        <v>0</v>
      </c>
      <c r="I55" s="277">
        <f>+'COMB. NET POS-IN. SER.(82)'!F54</f>
        <v>0</v>
      </c>
    </row>
    <row r="56" spans="1:9" ht="15">
      <c r="A56" s="429">
        <v>214000</v>
      </c>
      <c r="B56" s="411" t="s">
        <v>811</v>
      </c>
      <c r="C56" s="303"/>
      <c r="D56" s="303"/>
      <c r="E56" s="303"/>
      <c r="F56" s="303"/>
      <c r="G56" s="307">
        <f>+'NET POSIT-NONMAJOR ENTERPR(79)'!H55</f>
        <v>0</v>
      </c>
      <c r="H56" s="277">
        <f t="shared" si="7"/>
        <v>0</v>
      </c>
      <c r="I56" s="307">
        <f>+'COMB. NET POS-IN. SER.(82)'!F55</f>
        <v>0</v>
      </c>
    </row>
    <row r="57" spans="1:9" ht="15.75" thickBot="1">
      <c r="A57" s="429">
        <v>216000</v>
      </c>
      <c r="B57" s="411" t="s">
        <v>2033</v>
      </c>
      <c r="C57" s="303"/>
      <c r="D57" s="303"/>
      <c r="E57" s="303"/>
      <c r="F57" s="303"/>
      <c r="G57" s="307">
        <f>'NET POSIT-NONMAJOR ENTERPR(79)'!H56</f>
        <v>0</v>
      </c>
      <c r="H57" s="277">
        <f t="shared" si="7"/>
        <v>0</v>
      </c>
      <c r="I57" s="307">
        <f>'COMB. NET POS-IN. SER.(82)'!F56</f>
        <v>0</v>
      </c>
    </row>
    <row r="58" spans="1:9" ht="16.5" thickBot="1">
      <c r="A58" s="429"/>
      <c r="B58" s="430" t="s">
        <v>817</v>
      </c>
      <c r="C58" s="279">
        <f t="shared" ref="C58:I58" si="8">SUM(C48:C57)</f>
        <v>2027.6</v>
      </c>
      <c r="D58" s="279">
        <f t="shared" si="8"/>
        <v>-158.4</v>
      </c>
      <c r="E58" s="279">
        <f t="shared" si="8"/>
        <v>464.79</v>
      </c>
      <c r="F58" s="279">
        <f t="shared" si="8"/>
        <v>0</v>
      </c>
      <c r="G58" s="279">
        <f t="shared" si="8"/>
        <v>0</v>
      </c>
      <c r="H58" s="279">
        <f t="shared" si="8"/>
        <v>2333.9899999999998</v>
      </c>
      <c r="I58" s="279">
        <f t="shared" si="8"/>
        <v>0</v>
      </c>
    </row>
    <row r="59" spans="1:9" ht="15.75">
      <c r="A59" s="429"/>
      <c r="B59" s="431" t="s">
        <v>1181</v>
      </c>
      <c r="C59" s="277"/>
      <c r="D59" s="277"/>
      <c r="E59" s="277"/>
      <c r="F59" s="277"/>
      <c r="G59" s="277"/>
      <c r="H59" s="277"/>
      <c r="I59" s="277"/>
    </row>
    <row r="60" spans="1:9" ht="15">
      <c r="A60" s="429">
        <v>231000</v>
      </c>
      <c r="B60" s="411" t="s">
        <v>812</v>
      </c>
      <c r="C60" s="269"/>
      <c r="D60" s="269"/>
      <c r="E60" s="269"/>
      <c r="F60" s="269"/>
      <c r="G60" s="277">
        <f>+'NET POSIT-NONMAJOR ENTERPR(79)'!H59</f>
        <v>0</v>
      </c>
      <c r="H60" s="277">
        <f t="shared" ref="H60:H67" si="9">SUM(C60:G60)</f>
        <v>0</v>
      </c>
      <c r="I60" s="277">
        <f>+'COMB. NET POS-IN. SER.(82)'!F59</f>
        <v>0</v>
      </c>
    </row>
    <row r="61" spans="1:9" ht="15">
      <c r="A61" s="429">
        <v>233000</v>
      </c>
      <c r="B61" s="411" t="s">
        <v>813</v>
      </c>
      <c r="C61" s="269"/>
      <c r="D61" s="269"/>
      <c r="E61" s="269"/>
      <c r="F61" s="269"/>
      <c r="G61" s="277">
        <f>+'NET POSIT-NONMAJOR ENTERPR(79)'!H60</f>
        <v>0</v>
      </c>
      <c r="H61" s="277">
        <f t="shared" si="9"/>
        <v>0</v>
      </c>
      <c r="I61" s="277">
        <f>+'COMB. NET POS-IN. SER.(82)'!F60</f>
        <v>0</v>
      </c>
    </row>
    <row r="62" spans="1:9" ht="15">
      <c r="A62" s="429">
        <v>234000</v>
      </c>
      <c r="B62" s="411" t="s">
        <v>288</v>
      </c>
      <c r="C62" s="269"/>
      <c r="D62" s="269"/>
      <c r="E62" s="269"/>
      <c r="F62" s="269"/>
      <c r="G62" s="277">
        <f>+'NET POSIT-NONMAJOR ENTERPR(79)'!H61</f>
        <v>0</v>
      </c>
      <c r="H62" s="277">
        <f t="shared" si="9"/>
        <v>0</v>
      </c>
      <c r="I62" s="277">
        <f>+'COMB. NET POS-IN. SER.(82)'!F61</f>
        <v>0</v>
      </c>
    </row>
    <row r="63" spans="1:9" ht="15">
      <c r="A63" s="429">
        <v>235000</v>
      </c>
      <c r="B63" s="411" t="s">
        <v>814</v>
      </c>
      <c r="C63" s="269"/>
      <c r="D63" s="269"/>
      <c r="E63" s="269"/>
      <c r="F63" s="269"/>
      <c r="G63" s="277">
        <f>+'NET POSIT-NONMAJOR ENTERPR(79)'!H62</f>
        <v>0</v>
      </c>
      <c r="H63" s="277">
        <f t="shared" si="9"/>
        <v>0</v>
      </c>
      <c r="I63" s="277">
        <f>+'COMB. NET POS-IN. SER.(82)'!F62</f>
        <v>0</v>
      </c>
    </row>
    <row r="64" spans="1:9" ht="15">
      <c r="A64" s="429">
        <v>236000</v>
      </c>
      <c r="B64" s="411" t="s">
        <v>816</v>
      </c>
      <c r="C64" s="269"/>
      <c r="D64" s="269"/>
      <c r="E64" s="269"/>
      <c r="F64" s="269"/>
      <c r="G64" s="277">
        <f>+'NET POSIT-NONMAJOR ENTERPR(79)'!H63</f>
        <v>0</v>
      </c>
      <c r="H64" s="277">
        <f t="shared" si="9"/>
        <v>0</v>
      </c>
      <c r="I64" s="277">
        <f>+'COMB. NET POS-IN. SER.(82)'!F63</f>
        <v>0</v>
      </c>
    </row>
    <row r="65" spans="1:9" ht="15">
      <c r="A65" s="429">
        <v>237000</v>
      </c>
      <c r="B65" s="411" t="s">
        <v>3479</v>
      </c>
      <c r="C65" s="269"/>
      <c r="D65" s="269"/>
      <c r="E65" s="269"/>
      <c r="F65" s="269"/>
      <c r="G65" s="277">
        <f>'NET POSIT-NONMAJOR ENTERPR(79)'!H64</f>
        <v>0</v>
      </c>
      <c r="H65" s="277">
        <f t="shared" si="9"/>
        <v>0</v>
      </c>
      <c r="I65" s="277">
        <f>'COMB. NET POS-IN. SER.(82)'!F64</f>
        <v>0</v>
      </c>
    </row>
    <row r="66" spans="1:9" ht="15">
      <c r="A66" s="429">
        <v>238000</v>
      </c>
      <c r="B66" s="411" t="s">
        <v>1423</v>
      </c>
      <c r="C66" s="269">
        <v>70632.44</v>
      </c>
      <c r="D66" s="269">
        <v>1434.53</v>
      </c>
      <c r="E66" s="269">
        <v>35641.29</v>
      </c>
      <c r="F66" s="269"/>
      <c r="G66" s="277">
        <f>'NET POSIT-NONMAJOR ENTERPR(79)'!H65</f>
        <v>0</v>
      </c>
      <c r="H66" s="277">
        <f>SUM(C66:G66)</f>
        <v>107708.26000000001</v>
      </c>
      <c r="I66" s="277">
        <f>'COMB. NET POS-IN. SER.(82)'!F65</f>
        <v>0</v>
      </c>
    </row>
    <row r="67" spans="1:9" ht="15.75" thickBot="1">
      <c r="A67" s="429">
        <v>239000</v>
      </c>
      <c r="B67" s="411" t="s">
        <v>815</v>
      </c>
      <c r="C67" s="271">
        <v>2843.53</v>
      </c>
      <c r="D67" s="271">
        <v>2843.53</v>
      </c>
      <c r="E67" s="271">
        <v>2843.53</v>
      </c>
      <c r="F67" s="271"/>
      <c r="G67" s="278">
        <f>+'NET POSIT-NONMAJOR ENTERPR(79)'!H66</f>
        <v>0</v>
      </c>
      <c r="H67" s="277">
        <f t="shared" si="9"/>
        <v>8530.59</v>
      </c>
      <c r="I67" s="278">
        <f>+'COMB. NET POS-IN. SER.(82)'!F66</f>
        <v>0</v>
      </c>
    </row>
    <row r="68" spans="1:9" ht="16.5" thickBot="1">
      <c r="A68" s="429"/>
      <c r="B68" s="430" t="s">
        <v>818</v>
      </c>
      <c r="C68" s="279">
        <f>SUM(C60:C67)</f>
        <v>73475.97</v>
      </c>
      <c r="D68" s="279">
        <f t="shared" ref="D68:I68" si="10">SUM(D60:D67)</f>
        <v>4278.0600000000004</v>
      </c>
      <c r="E68" s="279">
        <f t="shared" si="10"/>
        <v>38484.82</v>
      </c>
      <c r="F68" s="279">
        <f t="shared" si="10"/>
        <v>0</v>
      </c>
      <c r="G68" s="279">
        <f t="shared" si="10"/>
        <v>0</v>
      </c>
      <c r="H68" s="279">
        <f t="shared" si="10"/>
        <v>116238.85</v>
      </c>
      <c r="I68" s="279">
        <f t="shared" si="10"/>
        <v>0</v>
      </c>
    </row>
    <row r="69" spans="1:9" ht="15">
      <c r="A69" s="429"/>
      <c r="B69" s="411"/>
      <c r="C69" s="277"/>
      <c r="D69" s="277"/>
      <c r="E69" s="277"/>
      <c r="F69" s="277"/>
      <c r="G69" s="277"/>
      <c r="H69" s="277"/>
      <c r="I69" s="277"/>
    </row>
    <row r="70" spans="1:9" ht="16.5" thickBot="1">
      <c r="A70" s="429"/>
      <c r="B70" s="677" t="s">
        <v>1074</v>
      </c>
      <c r="C70" s="278">
        <f>+C58+C68</f>
        <v>75503.570000000007</v>
      </c>
      <c r="D70" s="278">
        <f t="shared" ref="D70:I70" si="11">+D58+D68</f>
        <v>4119.6600000000008</v>
      </c>
      <c r="E70" s="278">
        <f t="shared" si="11"/>
        <v>38949.61</v>
      </c>
      <c r="F70" s="278">
        <f t="shared" si="11"/>
        <v>0</v>
      </c>
      <c r="G70" s="278">
        <f t="shared" si="11"/>
        <v>0</v>
      </c>
      <c r="H70" s="278">
        <f t="shared" si="11"/>
        <v>118572.84000000001</v>
      </c>
      <c r="I70" s="278">
        <f t="shared" si="11"/>
        <v>0</v>
      </c>
    </row>
    <row r="71" spans="1:9" ht="15.75">
      <c r="A71" s="429"/>
      <c r="B71" s="677"/>
      <c r="C71" s="307"/>
      <c r="D71" s="307"/>
      <c r="E71" s="307"/>
      <c r="F71" s="307"/>
      <c r="G71" s="307"/>
      <c r="H71" s="307"/>
      <c r="I71" s="307"/>
    </row>
    <row r="72" spans="1:9" ht="15.75">
      <c r="A72" s="429"/>
      <c r="B72" s="677" t="s">
        <v>1906</v>
      </c>
      <c r="C72" s="307"/>
      <c r="D72" s="307"/>
      <c r="E72" s="307"/>
      <c r="F72" s="307"/>
      <c r="G72" s="307"/>
      <c r="H72" s="307"/>
      <c r="I72" s="307"/>
    </row>
    <row r="73" spans="1:9" ht="15">
      <c r="A73" s="300">
        <v>220000</v>
      </c>
      <c r="B73" s="263" t="s">
        <v>1908</v>
      </c>
      <c r="C73" s="303"/>
      <c r="D73" s="303"/>
      <c r="E73" s="303"/>
      <c r="F73" s="303"/>
      <c r="G73" s="307">
        <f>'NET POSIT-NONMAJOR ENTERPR(79)'!H72</f>
        <v>0</v>
      </c>
      <c r="H73" s="277">
        <f t="shared" ref="H73:H74" si="12">SUM(C73:G73)</f>
        <v>0</v>
      </c>
      <c r="I73" s="307">
        <f>'COMB. NET POS-IN. SER.(82)'!F72</f>
        <v>0</v>
      </c>
    </row>
    <row r="74" spans="1:9" ht="15.75" thickBot="1">
      <c r="A74" s="300" t="s">
        <v>2091</v>
      </c>
      <c r="B74" s="263" t="s">
        <v>1908</v>
      </c>
      <c r="C74" s="271">
        <v>233.8</v>
      </c>
      <c r="D74" s="271">
        <v>4.75</v>
      </c>
      <c r="E74" s="271">
        <v>117.98</v>
      </c>
      <c r="F74" s="271"/>
      <c r="G74" s="278">
        <f>'NET POSIT-NONMAJOR ENTERPR(79)'!H73</f>
        <v>0</v>
      </c>
      <c r="H74" s="277">
        <f t="shared" si="12"/>
        <v>356.53000000000003</v>
      </c>
      <c r="I74" s="278">
        <f>'COMB. NET POS-IN. SER.(82)'!F73</f>
        <v>0</v>
      </c>
    </row>
    <row r="75" spans="1:9" ht="16.5" thickBot="1">
      <c r="A75" s="301"/>
      <c r="B75" s="655" t="s">
        <v>1909</v>
      </c>
      <c r="C75" s="280">
        <f>SUM(C73:C74)</f>
        <v>233.8</v>
      </c>
      <c r="D75" s="280">
        <f t="shared" ref="D75:I75" si="13">SUM(D73:D74)</f>
        <v>4.75</v>
      </c>
      <c r="E75" s="280">
        <f t="shared" si="13"/>
        <v>117.98</v>
      </c>
      <c r="F75" s="280">
        <f t="shared" si="13"/>
        <v>0</v>
      </c>
      <c r="G75" s="280">
        <f t="shared" si="13"/>
        <v>0</v>
      </c>
      <c r="H75" s="280">
        <f t="shared" si="13"/>
        <v>356.53000000000003</v>
      </c>
      <c r="I75" s="280">
        <f t="shared" si="13"/>
        <v>0</v>
      </c>
    </row>
    <row r="76" spans="1:9" ht="16.5" thickTop="1">
      <c r="A76" s="301"/>
      <c r="B76" s="319"/>
      <c r="C76" s="277"/>
      <c r="D76" s="277"/>
      <c r="E76" s="277"/>
      <c r="F76" s="277"/>
      <c r="G76" s="277"/>
      <c r="H76" s="277"/>
      <c r="I76" s="277"/>
    </row>
    <row r="77" spans="1:9" ht="15.75">
      <c r="A77" s="301"/>
      <c r="B77" s="431" t="s">
        <v>1801</v>
      </c>
      <c r="C77" s="277"/>
      <c r="D77" s="277"/>
      <c r="E77" s="277"/>
      <c r="F77" s="277"/>
      <c r="G77" s="277"/>
      <c r="H77" s="277"/>
      <c r="I77" s="277"/>
    </row>
    <row r="78" spans="1:9" ht="15">
      <c r="A78" s="301"/>
      <c r="B78" s="411" t="s">
        <v>1857</v>
      </c>
      <c r="C78" s="277">
        <f>C37-C50-C60-C63-C51</f>
        <v>72632.419999999925</v>
      </c>
      <c r="D78" s="277">
        <f>D37-D50-D60-D63-D51</f>
        <v>43583.630000000005</v>
      </c>
      <c r="E78" s="277">
        <f>E37-E50-E60-E63-E51</f>
        <v>1571.6700000000128</v>
      </c>
      <c r="F78" s="277">
        <f>F37-F50-F60-F63-F51</f>
        <v>0</v>
      </c>
      <c r="G78" s="277">
        <f>+'NET POSIT-NONMAJOR ENTERPR(79)'!H77</f>
        <v>0</v>
      </c>
      <c r="H78" s="277">
        <f>SUM(C78:G78)</f>
        <v>117787.71999999994</v>
      </c>
      <c r="I78" s="277">
        <f>+'COMB. NET POS-IN. SER.(82)'!F77</f>
        <v>0</v>
      </c>
    </row>
    <row r="79" spans="1:9" ht="15">
      <c r="A79" s="301"/>
      <c r="B79" s="411" t="s">
        <v>1366</v>
      </c>
      <c r="C79" s="277"/>
      <c r="D79" s="277"/>
      <c r="E79" s="277"/>
      <c r="F79" s="277"/>
      <c r="G79" s="277"/>
      <c r="H79" s="277"/>
      <c r="I79" s="277"/>
    </row>
    <row r="80" spans="1:9" ht="15">
      <c r="A80" s="301"/>
      <c r="B80" s="263"/>
      <c r="C80" s="269"/>
      <c r="D80" s="269"/>
      <c r="E80" s="269"/>
      <c r="F80" s="269"/>
      <c r="G80" s="277">
        <f>+'NET POSIT-NONMAJOR ENTERPR(79)'!H79</f>
        <v>0</v>
      </c>
      <c r="H80" s="277">
        <f>SUM(C80:G80)</f>
        <v>0</v>
      </c>
      <c r="I80" s="277">
        <f>+'COMB. NET POS-IN. SER.(82)'!F79</f>
        <v>0</v>
      </c>
    </row>
    <row r="81" spans="1:9" ht="15">
      <c r="A81" s="301"/>
      <c r="B81" s="263"/>
      <c r="C81" s="269"/>
      <c r="D81" s="269"/>
      <c r="E81" s="269"/>
      <c r="F81" s="269"/>
      <c r="G81" s="277">
        <f>+'NET POSIT-NONMAJOR ENTERPR(79)'!H80</f>
        <v>0</v>
      </c>
      <c r="H81" s="277">
        <f>SUM(C81:G81)</f>
        <v>0</v>
      </c>
      <c r="I81" s="277">
        <f>+'COMB. NET POS-IN. SER.(82)'!F80</f>
        <v>0</v>
      </c>
    </row>
    <row r="82" spans="1:9" ht="15">
      <c r="A82" s="301"/>
      <c r="B82" s="263"/>
      <c r="C82" s="269"/>
      <c r="D82" s="269"/>
      <c r="E82" s="269"/>
      <c r="F82" s="269"/>
      <c r="G82" s="277">
        <f>+'NET POSIT-NONMAJOR ENTERPR(79)'!H81</f>
        <v>0</v>
      </c>
      <c r="H82" s="277">
        <f>SUM(C82:G82)</f>
        <v>0</v>
      </c>
      <c r="I82" s="277"/>
    </row>
    <row r="83" spans="1:9" ht="15">
      <c r="A83" s="301"/>
      <c r="B83" s="263"/>
      <c r="C83" s="269"/>
      <c r="D83" s="269"/>
      <c r="E83" s="269"/>
      <c r="F83" s="269"/>
      <c r="G83" s="277">
        <f>+'NET POSIT-NONMAJOR ENTERPR(79)'!H82</f>
        <v>0</v>
      </c>
      <c r="H83" s="277">
        <f>SUM(C83:G83)</f>
        <v>0</v>
      </c>
      <c r="I83" s="277"/>
    </row>
    <row r="84" spans="1:9" ht="15.75" thickBot="1">
      <c r="A84" s="301"/>
      <c r="B84" s="263" t="s">
        <v>1367</v>
      </c>
      <c r="C84" s="278">
        <f>C39+C44-C70-C75-C78-C80-C81-C82-C83</f>
        <v>185712.40000000002</v>
      </c>
      <c r="D84" s="278">
        <f t="shared" ref="D84:F84" si="14">D39+D44-D70-D75-D78-D80-D81-D82-D83</f>
        <v>73522.73</v>
      </c>
      <c r="E84" s="278">
        <f t="shared" si="14"/>
        <v>12143.169999999995</v>
      </c>
      <c r="F84" s="278">
        <f t="shared" si="14"/>
        <v>0</v>
      </c>
      <c r="G84" s="278">
        <f>+'NET POSIT-NONMAJOR ENTERPR(79)'!H83</f>
        <v>0</v>
      </c>
      <c r="H84" s="277">
        <f>SUM(C84:G84)</f>
        <v>271378.3</v>
      </c>
      <c r="I84" s="278">
        <f>+'COMB. NET POS-IN. SER.(82)'!F81</f>
        <v>0</v>
      </c>
    </row>
    <row r="85" spans="1:9" ht="16.5" thickBot="1">
      <c r="A85" s="301"/>
      <c r="B85" s="320" t="s">
        <v>1795</v>
      </c>
      <c r="C85" s="280">
        <f>SUM(C77:C84)</f>
        <v>258344.81999999995</v>
      </c>
      <c r="D85" s="280">
        <f t="shared" ref="D85:I85" si="15">SUM(D77:D84)</f>
        <v>117106.36</v>
      </c>
      <c r="E85" s="280">
        <f t="shared" si="15"/>
        <v>13714.840000000007</v>
      </c>
      <c r="F85" s="280">
        <f t="shared" si="15"/>
        <v>0</v>
      </c>
      <c r="G85" s="280">
        <f t="shared" si="15"/>
        <v>0</v>
      </c>
      <c r="H85" s="306">
        <f t="shared" si="15"/>
        <v>389166.0199999999</v>
      </c>
      <c r="I85" s="280">
        <f t="shared" si="15"/>
        <v>0</v>
      </c>
    </row>
    <row r="86" spans="1:9" ht="15.75" thickTop="1">
      <c r="A86" s="301"/>
      <c r="B86" s="534" t="s">
        <v>1556</v>
      </c>
      <c r="C86" s="535">
        <f>C85-'CHANGE NET POSITION-PROP.(19)'!C48</f>
        <v>0</v>
      </c>
      <c r="D86" s="535">
        <f>D85-'CHANGE NET POSITION-PROP.(19)'!D48</f>
        <v>0</v>
      </c>
      <c r="E86" s="535">
        <f>E85-'CHANGE NET POSITION-PROP.(19)'!E48</f>
        <v>0</v>
      </c>
      <c r="F86" s="535">
        <f>F85-'CHANGE NET POSITION-PROP.(19)'!F48</f>
        <v>0</v>
      </c>
      <c r="G86" s="552">
        <f>G85-'CHANGE NET POSITION-PROP.(19)'!G48</f>
        <v>0</v>
      </c>
      <c r="H86" s="411"/>
      <c r="I86" s="411"/>
    </row>
    <row r="87" spans="1:9" ht="15">
      <c r="A87" s="301"/>
      <c r="B87" s="263"/>
      <c r="C87" s="263"/>
      <c r="D87" s="263" t="s">
        <v>1802</v>
      </c>
      <c r="E87" s="263"/>
      <c r="F87" s="263"/>
      <c r="G87" s="411"/>
      <c r="H87" s="277"/>
      <c r="I87" s="411"/>
    </row>
    <row r="88" spans="1:9" ht="15">
      <c r="A88" s="301"/>
      <c r="B88" s="263"/>
      <c r="C88" s="263"/>
      <c r="D88" s="263" t="s">
        <v>121</v>
      </c>
      <c r="E88" s="263"/>
      <c r="F88" s="263"/>
      <c r="G88" s="411"/>
      <c r="H88" s="277"/>
      <c r="I88" s="411"/>
    </row>
    <row r="89" spans="1:9" ht="15.75" thickBot="1">
      <c r="A89" s="301"/>
      <c r="B89" s="263"/>
      <c r="C89" s="263"/>
      <c r="D89" s="263" t="s">
        <v>122</v>
      </c>
      <c r="E89" s="263"/>
      <c r="F89" s="263"/>
      <c r="G89" s="411"/>
      <c r="H89" s="278"/>
      <c r="I89" s="411"/>
    </row>
    <row r="90" spans="1:9" ht="16.5" thickBot="1">
      <c r="A90" s="301"/>
      <c r="B90" s="268"/>
      <c r="C90" s="263"/>
      <c r="D90" s="268" t="s">
        <v>1803</v>
      </c>
      <c r="E90" s="263"/>
      <c r="F90" s="263"/>
      <c r="G90" s="411"/>
      <c r="H90" s="280">
        <f>+H85+H89</f>
        <v>389166.0199999999</v>
      </c>
      <c r="I90" s="411"/>
    </row>
    <row r="91" spans="1:9" ht="16.5" thickTop="1">
      <c r="A91" s="1451" t="s">
        <v>1410</v>
      </c>
      <c r="B91" s="1451"/>
      <c r="C91" s="1451"/>
      <c r="D91" s="1451"/>
      <c r="E91" s="1451"/>
      <c r="F91" s="1451"/>
      <c r="G91" s="1451"/>
      <c r="H91" s="1451"/>
      <c r="I91" s="1451"/>
    </row>
    <row r="92" spans="1:9" ht="15">
      <c r="A92" s="301"/>
      <c r="B92" s="263"/>
      <c r="C92" s="263"/>
      <c r="D92" s="263"/>
      <c r="E92" s="263"/>
      <c r="F92" s="263"/>
      <c r="G92" s="263"/>
      <c r="H92" s="263"/>
      <c r="I92" s="263"/>
    </row>
    <row r="93" spans="1:9" ht="15">
      <c r="A93" s="301"/>
      <c r="B93" s="263"/>
      <c r="C93" s="263"/>
      <c r="D93" s="263"/>
      <c r="E93" s="263"/>
      <c r="F93" s="263"/>
      <c r="G93" s="263"/>
      <c r="H93" s="263"/>
      <c r="I93" s="263"/>
    </row>
    <row r="94" spans="1:9" ht="15">
      <c r="A94" s="301"/>
      <c r="B94" s="263"/>
      <c r="C94" s="263"/>
      <c r="D94" s="263"/>
      <c r="E94" s="263"/>
      <c r="F94" s="263"/>
      <c r="G94" s="263"/>
      <c r="H94" s="263"/>
      <c r="I94" s="263"/>
    </row>
    <row r="95" spans="1:9" ht="15">
      <c r="A95" s="301"/>
      <c r="B95" s="263"/>
      <c r="C95" s="263"/>
      <c r="D95" s="263"/>
      <c r="E95" s="263"/>
      <c r="F95" s="263"/>
      <c r="G95" s="263"/>
      <c r="H95" s="263"/>
      <c r="I95" s="263"/>
    </row>
    <row r="96" spans="1:9" ht="15">
      <c r="A96" s="301"/>
      <c r="B96" s="263"/>
      <c r="C96" s="263"/>
      <c r="D96" s="263"/>
      <c r="E96" s="263"/>
      <c r="F96" s="263"/>
      <c r="G96" s="263"/>
      <c r="H96" s="263"/>
      <c r="I96" s="263"/>
    </row>
    <row r="97" spans="1:9" ht="15">
      <c r="A97" s="301"/>
      <c r="B97" s="263"/>
      <c r="C97" s="263"/>
      <c r="D97" s="263"/>
      <c r="E97" s="263"/>
      <c r="F97" s="263"/>
      <c r="G97" s="263"/>
      <c r="H97" s="263"/>
      <c r="I97" s="263"/>
    </row>
    <row r="98" spans="1:9" ht="15">
      <c r="A98" s="301"/>
      <c r="B98" s="263"/>
      <c r="C98" s="263"/>
      <c r="D98" s="263"/>
      <c r="E98" s="263"/>
      <c r="F98" s="263"/>
      <c r="G98" s="263"/>
      <c r="H98" s="263"/>
      <c r="I98" s="263"/>
    </row>
    <row r="99" spans="1:9" ht="15">
      <c r="A99" s="301"/>
      <c r="B99" s="263"/>
      <c r="C99" s="263"/>
      <c r="D99" s="263"/>
      <c r="E99" s="263"/>
      <c r="F99" s="263"/>
      <c r="G99" s="263"/>
      <c r="H99" s="263"/>
      <c r="I99" s="263"/>
    </row>
    <row r="100" spans="1:9" ht="15">
      <c r="A100" s="301"/>
      <c r="B100" s="263"/>
      <c r="C100" s="263"/>
      <c r="D100" s="263"/>
      <c r="E100" s="263"/>
      <c r="F100" s="263"/>
      <c r="G100" s="263"/>
      <c r="H100" s="263"/>
      <c r="I100" s="263"/>
    </row>
    <row r="101" spans="1:9" ht="15">
      <c r="A101" s="301"/>
      <c r="B101" s="263"/>
      <c r="C101" s="263"/>
      <c r="D101" s="263"/>
      <c r="E101" s="263"/>
      <c r="F101" s="263"/>
      <c r="G101" s="263"/>
      <c r="H101" s="263"/>
      <c r="I101" s="263"/>
    </row>
    <row r="102" spans="1:9" ht="15">
      <c r="A102" s="301"/>
      <c r="B102" s="263"/>
      <c r="C102" s="263"/>
      <c r="D102" s="263"/>
      <c r="E102" s="263"/>
      <c r="F102" s="263"/>
      <c r="G102" s="263"/>
      <c r="H102" s="263"/>
      <c r="I102" s="263"/>
    </row>
    <row r="103" spans="1:9" ht="15">
      <c r="A103" s="301"/>
      <c r="B103" s="263"/>
      <c r="C103" s="263"/>
      <c r="D103" s="263"/>
      <c r="E103" s="263"/>
      <c r="F103" s="263"/>
      <c r="G103" s="263"/>
      <c r="H103" s="263"/>
      <c r="I103" s="263"/>
    </row>
    <row r="104" spans="1:9" ht="15">
      <c r="A104" s="301"/>
      <c r="B104" s="263"/>
      <c r="C104" s="263"/>
      <c r="D104" s="263"/>
      <c r="E104" s="263"/>
      <c r="F104" s="263"/>
      <c r="G104" s="263"/>
      <c r="H104" s="263"/>
      <c r="I104" s="263"/>
    </row>
    <row r="105" spans="1:9" ht="15">
      <c r="A105" s="301"/>
      <c r="B105" s="263"/>
      <c r="C105" s="263"/>
      <c r="D105" s="263"/>
      <c r="E105" s="263"/>
      <c r="F105" s="263"/>
      <c r="G105" s="263"/>
      <c r="H105" s="263"/>
      <c r="I105" s="263"/>
    </row>
    <row r="106" spans="1:9" ht="15">
      <c r="A106" s="301"/>
      <c r="B106" s="263"/>
      <c r="C106" s="263"/>
      <c r="D106" s="263"/>
      <c r="E106" s="263"/>
      <c r="F106" s="263"/>
      <c r="G106" s="263"/>
      <c r="H106" s="263"/>
      <c r="I106" s="263"/>
    </row>
    <row r="107" spans="1:9" ht="15">
      <c r="A107" s="301"/>
      <c r="B107" s="263"/>
      <c r="C107" s="263"/>
      <c r="D107" s="263"/>
      <c r="E107" s="263"/>
      <c r="F107" s="263"/>
      <c r="G107" s="263"/>
      <c r="H107" s="263"/>
      <c r="I107" s="263"/>
    </row>
    <row r="108" spans="1:9" ht="15">
      <c r="A108" s="301"/>
      <c r="B108" s="263"/>
      <c r="C108" s="263"/>
      <c r="D108" s="263"/>
      <c r="E108" s="263"/>
      <c r="F108" s="263"/>
      <c r="G108" s="263"/>
      <c r="H108" s="263"/>
      <c r="I108" s="263"/>
    </row>
    <row r="109" spans="1:9" ht="15">
      <c r="A109" s="301"/>
      <c r="B109" s="263"/>
      <c r="C109" s="263"/>
      <c r="D109" s="263"/>
      <c r="E109" s="263"/>
      <c r="F109" s="263"/>
      <c r="G109" s="263"/>
      <c r="H109" s="263"/>
      <c r="I109" s="263"/>
    </row>
    <row r="110" spans="1:9" ht="15">
      <c r="A110" s="301"/>
      <c r="B110" s="263"/>
      <c r="C110" s="263"/>
      <c r="D110" s="263"/>
      <c r="E110" s="263"/>
      <c r="F110" s="263"/>
      <c r="G110" s="263"/>
      <c r="H110" s="263"/>
      <c r="I110" s="263"/>
    </row>
    <row r="111" spans="1:9" ht="15">
      <c r="A111" s="301"/>
      <c r="B111" s="263"/>
      <c r="C111" s="263"/>
      <c r="D111" s="263"/>
      <c r="E111" s="263"/>
      <c r="F111" s="263"/>
      <c r="G111" s="263"/>
      <c r="H111" s="263"/>
      <c r="I111" s="263"/>
    </row>
    <row r="112" spans="1:9" ht="15">
      <c r="A112" s="301"/>
      <c r="B112" s="263"/>
      <c r="C112" s="263"/>
      <c r="D112" s="263"/>
      <c r="E112" s="263"/>
      <c r="F112" s="263"/>
      <c r="G112" s="263"/>
      <c r="H112" s="263"/>
      <c r="I112" s="263"/>
    </row>
    <row r="113" spans="1:9" ht="15">
      <c r="A113" s="301"/>
      <c r="B113" s="263"/>
      <c r="C113" s="263"/>
      <c r="D113" s="263"/>
      <c r="E113" s="263"/>
      <c r="F113" s="263"/>
      <c r="G113" s="263"/>
      <c r="H113" s="263"/>
      <c r="I113" s="263"/>
    </row>
    <row r="114" spans="1:9" ht="15">
      <c r="A114" s="301"/>
      <c r="B114" s="263"/>
      <c r="C114" s="263"/>
      <c r="D114" s="263"/>
      <c r="E114" s="263"/>
      <c r="F114" s="263"/>
      <c r="G114" s="263"/>
      <c r="H114" s="263"/>
      <c r="I114" s="263"/>
    </row>
    <row r="115" spans="1:9" ht="15">
      <c r="A115" s="301"/>
      <c r="B115" s="263"/>
      <c r="C115" s="263"/>
      <c r="D115" s="263"/>
      <c r="E115" s="263"/>
      <c r="F115" s="263"/>
      <c r="G115" s="263"/>
      <c r="H115" s="263"/>
      <c r="I115" s="263"/>
    </row>
    <row r="116" spans="1:9" ht="15">
      <c r="A116" s="301"/>
      <c r="B116" s="263"/>
      <c r="C116" s="263"/>
      <c r="D116" s="263"/>
      <c r="E116" s="263"/>
      <c r="F116" s="263"/>
      <c r="G116" s="263"/>
      <c r="H116" s="263"/>
      <c r="I116" s="263"/>
    </row>
    <row r="117" spans="1:9" ht="15">
      <c r="A117" s="301"/>
      <c r="B117" s="263"/>
      <c r="C117" s="263"/>
      <c r="D117" s="263"/>
      <c r="E117" s="263"/>
      <c r="F117" s="263"/>
      <c r="G117" s="263"/>
      <c r="H117" s="263"/>
      <c r="I117" s="263"/>
    </row>
    <row r="118" spans="1:9" ht="15">
      <c r="A118" s="301"/>
      <c r="B118" s="263"/>
      <c r="C118" s="263"/>
      <c r="D118" s="263"/>
      <c r="E118" s="263"/>
      <c r="F118" s="263"/>
      <c r="G118" s="263"/>
      <c r="H118" s="263"/>
      <c r="I118" s="263"/>
    </row>
    <row r="119" spans="1:9" ht="15">
      <c r="A119" s="301"/>
      <c r="B119" s="263"/>
      <c r="C119" s="263"/>
      <c r="D119" s="263"/>
      <c r="E119" s="263"/>
      <c r="F119" s="263"/>
      <c r="G119" s="263"/>
      <c r="H119" s="263"/>
      <c r="I119" s="263"/>
    </row>
    <row r="120" spans="1:9" ht="15">
      <c r="A120" s="301"/>
      <c r="B120" s="263"/>
      <c r="C120" s="263"/>
      <c r="D120" s="263"/>
      <c r="E120" s="263"/>
      <c r="F120" s="263"/>
      <c r="G120" s="263"/>
      <c r="H120" s="263"/>
      <c r="I120" s="263"/>
    </row>
    <row r="121" spans="1:9" ht="15">
      <c r="A121" s="301"/>
      <c r="B121" s="263"/>
      <c r="C121" s="263"/>
      <c r="D121" s="263"/>
      <c r="E121" s="263"/>
      <c r="F121" s="263"/>
      <c r="G121" s="263"/>
      <c r="H121" s="263"/>
      <c r="I121" s="263"/>
    </row>
    <row r="122" spans="1:9" ht="15">
      <c r="A122" s="301"/>
      <c r="B122" s="263"/>
      <c r="C122" s="263"/>
      <c r="D122" s="263"/>
      <c r="E122" s="263"/>
      <c r="F122" s="263"/>
      <c r="G122" s="263"/>
      <c r="H122" s="263"/>
      <c r="I122" s="263"/>
    </row>
    <row r="123" spans="1:9" ht="15">
      <c r="A123" s="301"/>
      <c r="B123" s="263"/>
      <c r="C123" s="263"/>
      <c r="D123" s="263"/>
      <c r="E123" s="263"/>
      <c r="F123" s="263"/>
      <c r="G123" s="263"/>
      <c r="H123" s="263"/>
      <c r="I123" s="263"/>
    </row>
    <row r="124" spans="1:9" ht="15">
      <c r="A124" s="301"/>
      <c r="B124" s="263"/>
      <c r="C124" s="263"/>
      <c r="D124" s="263"/>
      <c r="E124" s="263"/>
      <c r="F124" s="263"/>
      <c r="G124" s="263"/>
      <c r="H124" s="263"/>
      <c r="I124" s="263"/>
    </row>
    <row r="125" spans="1:9" ht="15">
      <c r="A125" s="301"/>
      <c r="B125" s="263"/>
      <c r="C125" s="263"/>
      <c r="D125" s="263"/>
      <c r="E125" s="263"/>
      <c r="F125" s="263"/>
      <c r="G125" s="263"/>
      <c r="H125" s="263"/>
      <c r="I125" s="263"/>
    </row>
    <row r="126" spans="1:9" ht="15">
      <c r="A126" s="301"/>
      <c r="B126" s="263"/>
      <c r="C126" s="263"/>
      <c r="D126" s="263"/>
      <c r="E126" s="263"/>
      <c r="F126" s="263"/>
      <c r="G126" s="263"/>
      <c r="H126" s="263"/>
      <c r="I126" s="263"/>
    </row>
    <row r="127" spans="1:9" ht="15">
      <c r="A127" s="301"/>
      <c r="B127" s="263"/>
      <c r="C127" s="263"/>
      <c r="D127" s="263"/>
      <c r="E127" s="263"/>
      <c r="F127" s="263"/>
      <c r="G127" s="263"/>
      <c r="H127" s="263"/>
      <c r="I127" s="263"/>
    </row>
    <row r="128" spans="1:9" ht="15">
      <c r="A128" s="301"/>
      <c r="B128" s="263"/>
      <c r="C128" s="263"/>
      <c r="D128" s="263"/>
      <c r="E128" s="263"/>
      <c r="F128" s="263"/>
      <c r="G128" s="263"/>
      <c r="H128" s="263"/>
      <c r="I128" s="263"/>
    </row>
    <row r="129" spans="1:9" ht="15">
      <c r="A129" s="301"/>
      <c r="B129" s="263"/>
      <c r="C129" s="263"/>
      <c r="D129" s="263"/>
      <c r="E129" s="263"/>
      <c r="F129" s="263"/>
      <c r="G129" s="263"/>
      <c r="H129" s="263"/>
      <c r="I129" s="263"/>
    </row>
    <row r="130" spans="1:9" ht="15">
      <c r="A130" s="301"/>
      <c r="B130" s="263"/>
      <c r="C130" s="263"/>
      <c r="D130" s="263"/>
      <c r="E130" s="263"/>
      <c r="F130" s="263"/>
      <c r="G130" s="263"/>
      <c r="H130" s="263"/>
      <c r="I130" s="263"/>
    </row>
    <row r="131" spans="1:9" ht="15">
      <c r="A131" s="301"/>
      <c r="B131" s="263"/>
      <c r="C131" s="263"/>
      <c r="D131" s="263"/>
      <c r="E131" s="263"/>
      <c r="F131" s="263"/>
      <c r="G131" s="263"/>
      <c r="H131" s="263"/>
      <c r="I131" s="263"/>
    </row>
    <row r="132" spans="1:9" ht="15">
      <c r="A132" s="301"/>
      <c r="B132" s="263"/>
      <c r="C132" s="263"/>
      <c r="D132" s="263"/>
      <c r="E132" s="263"/>
      <c r="F132" s="263"/>
      <c r="G132" s="263"/>
      <c r="H132" s="263"/>
      <c r="I132" s="263"/>
    </row>
    <row r="133" spans="1:9" ht="15">
      <c r="A133" s="301"/>
      <c r="B133" s="263"/>
      <c r="C133" s="263"/>
      <c r="D133" s="263"/>
      <c r="E133" s="263"/>
      <c r="F133" s="263"/>
      <c r="G133" s="263"/>
      <c r="H133" s="263"/>
      <c r="I133" s="263"/>
    </row>
    <row r="134" spans="1:9" ht="15">
      <c r="A134" s="301"/>
      <c r="B134" s="263"/>
      <c r="C134" s="263"/>
      <c r="D134" s="263"/>
      <c r="E134" s="263"/>
      <c r="F134" s="263"/>
      <c r="G134" s="263"/>
      <c r="H134" s="263"/>
      <c r="I134" s="263"/>
    </row>
    <row r="135" spans="1:9" ht="15">
      <c r="A135" s="301"/>
      <c r="B135" s="263"/>
      <c r="C135" s="263"/>
      <c r="D135" s="263"/>
      <c r="E135" s="263"/>
      <c r="F135" s="263"/>
      <c r="G135" s="263"/>
      <c r="H135" s="263"/>
      <c r="I135" s="263"/>
    </row>
    <row r="136" spans="1:9" ht="15">
      <c r="A136" s="301"/>
      <c r="B136" s="263"/>
      <c r="C136" s="263"/>
      <c r="D136" s="263"/>
      <c r="E136" s="263"/>
      <c r="F136" s="263"/>
      <c r="G136" s="263"/>
      <c r="H136" s="263"/>
      <c r="I136" s="263"/>
    </row>
    <row r="137" spans="1:9" ht="15">
      <c r="A137" s="301"/>
      <c r="B137" s="263"/>
      <c r="C137" s="263"/>
      <c r="D137" s="263"/>
      <c r="E137" s="263"/>
      <c r="F137" s="263"/>
      <c r="G137" s="263"/>
      <c r="H137" s="263"/>
      <c r="I137" s="263"/>
    </row>
    <row r="138" spans="1:9" ht="15">
      <c r="A138" s="301"/>
      <c r="B138" s="263"/>
      <c r="C138" s="263"/>
      <c r="D138" s="263"/>
      <c r="E138" s="263"/>
      <c r="F138" s="263"/>
      <c r="G138" s="263"/>
      <c r="H138" s="263"/>
      <c r="I138" s="263"/>
    </row>
    <row r="139" spans="1:9" ht="15">
      <c r="A139" s="301"/>
      <c r="B139" s="263"/>
      <c r="C139" s="263"/>
      <c r="D139" s="263"/>
      <c r="E139" s="263"/>
      <c r="F139" s="263"/>
      <c r="G139" s="263"/>
      <c r="H139" s="263"/>
      <c r="I139" s="263"/>
    </row>
    <row r="140" spans="1:9" ht="15">
      <c r="A140" s="301"/>
      <c r="B140" s="263"/>
      <c r="C140" s="263"/>
      <c r="D140" s="263"/>
      <c r="E140" s="263"/>
      <c r="F140" s="263"/>
      <c r="G140" s="263"/>
      <c r="H140" s="263"/>
      <c r="I140" s="263"/>
    </row>
    <row r="141" spans="1:9" ht="15">
      <c r="A141" s="301"/>
      <c r="B141" s="263"/>
      <c r="C141" s="263"/>
      <c r="D141" s="263"/>
      <c r="E141" s="263"/>
      <c r="F141" s="263"/>
      <c r="G141" s="263"/>
      <c r="H141" s="263"/>
      <c r="I141" s="263"/>
    </row>
    <row r="142" spans="1:9" ht="15">
      <c r="A142" s="263"/>
      <c r="B142" s="263"/>
      <c r="C142" s="263"/>
      <c r="D142" s="263"/>
      <c r="E142" s="263"/>
      <c r="F142" s="263"/>
      <c r="G142" s="263"/>
      <c r="H142" s="263"/>
      <c r="I142" s="263"/>
    </row>
    <row r="143" spans="1:9" ht="15">
      <c r="A143" s="263"/>
      <c r="B143" s="263"/>
      <c r="C143" s="263"/>
      <c r="D143" s="263"/>
      <c r="E143" s="263"/>
      <c r="F143" s="263"/>
      <c r="G143" s="263"/>
      <c r="H143" s="263"/>
      <c r="I143" s="263"/>
    </row>
    <row r="144" spans="1:9" ht="15">
      <c r="A144" s="263"/>
      <c r="B144" s="263"/>
      <c r="C144" s="263"/>
      <c r="D144" s="263"/>
      <c r="E144" s="263"/>
      <c r="F144" s="263"/>
      <c r="G144" s="263"/>
      <c r="H144" s="263"/>
      <c r="I144" s="263"/>
    </row>
    <row r="145" spans="1:9" ht="15">
      <c r="A145" s="263"/>
      <c r="B145" s="263"/>
      <c r="C145" s="263"/>
      <c r="D145" s="263"/>
      <c r="E145" s="263"/>
      <c r="F145" s="263"/>
      <c r="G145" s="263"/>
      <c r="H145" s="263"/>
      <c r="I145" s="263"/>
    </row>
    <row r="146" spans="1:9" ht="15">
      <c r="A146" s="263"/>
      <c r="B146" s="263"/>
      <c r="C146" s="263"/>
      <c r="D146" s="263"/>
      <c r="E146" s="263"/>
      <c r="F146" s="263"/>
      <c r="G146" s="263"/>
      <c r="H146" s="263"/>
      <c r="I146" s="263"/>
    </row>
    <row r="147" spans="1:9" ht="15">
      <c r="A147" s="263"/>
      <c r="B147" s="263"/>
      <c r="C147" s="263"/>
      <c r="D147" s="263"/>
      <c r="E147" s="263"/>
      <c r="F147" s="263"/>
      <c r="G147" s="263"/>
      <c r="H147" s="263"/>
      <c r="I147" s="263"/>
    </row>
    <row r="148" spans="1:9" ht="15">
      <c r="A148" s="263"/>
      <c r="B148" s="263"/>
      <c r="C148" s="263"/>
      <c r="D148" s="263"/>
      <c r="E148" s="263"/>
      <c r="F148" s="263"/>
      <c r="G148" s="263"/>
      <c r="H148" s="263"/>
      <c r="I148" s="263"/>
    </row>
    <row r="149" spans="1:9" ht="15">
      <c r="A149" s="263"/>
      <c r="B149" s="263"/>
      <c r="C149" s="263"/>
      <c r="D149" s="263"/>
      <c r="E149" s="263"/>
      <c r="F149" s="263"/>
      <c r="G149" s="263"/>
      <c r="H149" s="263"/>
      <c r="I149" s="263"/>
    </row>
    <row r="150" spans="1:9" ht="15">
      <c r="A150" s="263"/>
      <c r="B150" s="263"/>
      <c r="C150" s="263"/>
      <c r="D150" s="263"/>
      <c r="E150" s="263"/>
      <c r="F150" s="263"/>
      <c r="G150" s="263"/>
      <c r="H150" s="263"/>
      <c r="I150" s="263"/>
    </row>
    <row r="151" spans="1:9" ht="15">
      <c r="A151" s="263"/>
      <c r="B151" s="263"/>
      <c r="C151" s="263"/>
      <c r="D151" s="263"/>
      <c r="E151" s="263"/>
      <c r="F151" s="263"/>
      <c r="G151" s="263"/>
      <c r="H151" s="263"/>
      <c r="I151" s="263"/>
    </row>
    <row r="152" spans="1:9" ht="15">
      <c r="A152" s="263"/>
      <c r="B152" s="263"/>
      <c r="C152" s="263"/>
      <c r="D152" s="263"/>
      <c r="E152" s="263"/>
      <c r="F152" s="263"/>
      <c r="G152" s="263"/>
      <c r="H152" s="263"/>
      <c r="I152" s="263"/>
    </row>
    <row r="153" spans="1:9" ht="15">
      <c r="A153" s="263"/>
      <c r="B153" s="263"/>
      <c r="C153" s="263"/>
      <c r="D153" s="263"/>
      <c r="E153" s="263"/>
      <c r="F153" s="263"/>
      <c r="G153" s="263"/>
      <c r="H153" s="263"/>
      <c r="I153" s="263"/>
    </row>
    <row r="154" spans="1:9" ht="15">
      <c r="A154" s="263"/>
      <c r="B154" s="263"/>
      <c r="C154" s="263"/>
      <c r="D154" s="263"/>
      <c r="E154" s="263"/>
      <c r="F154" s="263"/>
      <c r="G154" s="263"/>
      <c r="H154" s="263"/>
      <c r="I154" s="263"/>
    </row>
    <row r="155" spans="1:9" ht="15">
      <c r="A155" s="263"/>
      <c r="B155" s="263"/>
      <c r="C155" s="263"/>
      <c r="D155" s="263"/>
      <c r="E155" s="263"/>
      <c r="F155" s="263"/>
      <c r="G155" s="263"/>
      <c r="H155" s="263"/>
      <c r="I155" s="263"/>
    </row>
    <row r="156" spans="1:9" ht="15">
      <c r="A156" s="263"/>
      <c r="B156" s="263"/>
      <c r="C156" s="263"/>
      <c r="D156" s="263"/>
      <c r="E156" s="263"/>
      <c r="F156" s="263"/>
      <c r="G156" s="263"/>
      <c r="H156" s="263"/>
      <c r="I156" s="263"/>
    </row>
    <row r="157" spans="1:9" ht="15">
      <c r="A157" s="263"/>
      <c r="B157" s="263"/>
      <c r="C157" s="263"/>
      <c r="D157" s="263"/>
      <c r="E157" s="263"/>
      <c r="F157" s="263"/>
      <c r="G157" s="263"/>
      <c r="H157" s="263"/>
      <c r="I157" s="263"/>
    </row>
    <row r="158" spans="1:9" ht="15">
      <c r="A158" s="263"/>
      <c r="B158" s="263"/>
      <c r="C158" s="263"/>
      <c r="D158" s="263"/>
      <c r="E158" s="263"/>
      <c r="F158" s="263"/>
      <c r="G158" s="263"/>
      <c r="H158" s="263"/>
      <c r="I158" s="263"/>
    </row>
    <row r="159" spans="1:9" ht="15">
      <c r="A159" s="263"/>
      <c r="B159" s="263"/>
      <c r="C159" s="263"/>
      <c r="D159" s="263"/>
      <c r="E159" s="263"/>
      <c r="F159" s="263"/>
      <c r="G159" s="263"/>
      <c r="H159" s="263"/>
      <c r="I159" s="263"/>
    </row>
    <row r="160" spans="1:9" ht="15">
      <c r="A160" s="263"/>
      <c r="B160" s="263"/>
      <c r="C160" s="263"/>
      <c r="D160" s="263"/>
      <c r="E160" s="263"/>
      <c r="F160" s="263"/>
      <c r="G160" s="263"/>
      <c r="H160" s="263"/>
      <c r="I160" s="263"/>
    </row>
    <row r="161" spans="1:9" ht="15">
      <c r="A161" s="263"/>
      <c r="B161" s="263"/>
      <c r="C161" s="263"/>
      <c r="D161" s="263"/>
      <c r="E161" s="263"/>
      <c r="F161" s="263"/>
      <c r="G161" s="263"/>
      <c r="H161" s="263"/>
      <c r="I161" s="263"/>
    </row>
    <row r="162" spans="1:9" ht="15">
      <c r="A162" s="263"/>
      <c r="B162" s="263"/>
      <c r="C162" s="263"/>
      <c r="D162" s="263"/>
      <c r="E162" s="263"/>
      <c r="F162" s="263"/>
      <c r="G162" s="263"/>
      <c r="H162" s="263"/>
      <c r="I162" s="263"/>
    </row>
    <row r="163" spans="1:9" ht="15">
      <c r="A163" s="263"/>
      <c r="B163" s="263"/>
      <c r="C163" s="263"/>
      <c r="D163" s="263"/>
      <c r="E163" s="263"/>
      <c r="F163" s="263"/>
      <c r="G163" s="263"/>
      <c r="H163" s="263"/>
      <c r="I163" s="263"/>
    </row>
    <row r="164" spans="1:9" ht="15">
      <c r="A164" s="263"/>
      <c r="B164" s="263"/>
      <c r="C164" s="263"/>
      <c r="D164" s="263"/>
      <c r="E164" s="263"/>
      <c r="F164" s="263"/>
      <c r="G164" s="263"/>
      <c r="H164" s="263"/>
      <c r="I164" s="263"/>
    </row>
    <row r="165" spans="1:9" ht="15">
      <c r="A165" s="263"/>
      <c r="B165" s="263"/>
      <c r="C165" s="263"/>
      <c r="D165" s="263"/>
      <c r="E165" s="263"/>
      <c r="F165" s="263"/>
      <c r="G165" s="263"/>
      <c r="H165" s="263"/>
      <c r="I165" s="263"/>
    </row>
    <row r="166" spans="1:9" ht="15">
      <c r="A166" s="263"/>
      <c r="B166" s="263"/>
      <c r="C166" s="263"/>
      <c r="D166" s="263"/>
      <c r="E166" s="263"/>
      <c r="F166" s="263"/>
      <c r="G166" s="263"/>
      <c r="H166" s="263"/>
      <c r="I166" s="263"/>
    </row>
    <row r="167" spans="1:9" ht="15">
      <c r="A167" s="263"/>
      <c r="B167" s="263"/>
      <c r="C167" s="263"/>
      <c r="D167" s="263"/>
      <c r="E167" s="263"/>
      <c r="F167" s="263"/>
      <c r="G167" s="263"/>
      <c r="H167" s="263"/>
      <c r="I167" s="263"/>
    </row>
    <row r="168" spans="1:9" ht="15">
      <c r="A168" s="263"/>
      <c r="B168" s="263"/>
      <c r="C168" s="263"/>
      <c r="D168" s="263"/>
      <c r="E168" s="263"/>
      <c r="F168" s="263"/>
      <c r="G168" s="263"/>
      <c r="H168" s="263"/>
      <c r="I168" s="263"/>
    </row>
    <row r="169" spans="1:9" ht="15">
      <c r="A169" s="263"/>
      <c r="B169" s="263"/>
      <c r="C169" s="263"/>
      <c r="D169" s="263"/>
      <c r="E169" s="263"/>
      <c r="F169" s="263"/>
      <c r="G169" s="263"/>
      <c r="H169" s="263"/>
      <c r="I169" s="263"/>
    </row>
    <row r="170" spans="1:9" ht="15">
      <c r="A170" s="263"/>
      <c r="B170" s="263"/>
      <c r="C170" s="263"/>
      <c r="D170" s="263"/>
      <c r="E170" s="263"/>
      <c r="F170" s="263"/>
      <c r="G170" s="263"/>
      <c r="H170" s="263"/>
      <c r="I170" s="263"/>
    </row>
    <row r="171" spans="1:9" ht="15">
      <c r="A171" s="263"/>
      <c r="B171" s="263"/>
      <c r="C171" s="263"/>
      <c r="D171" s="263"/>
      <c r="E171" s="263"/>
      <c r="F171" s="263"/>
      <c r="G171" s="263"/>
      <c r="H171" s="263"/>
      <c r="I171" s="263"/>
    </row>
    <row r="172" spans="1:9" ht="15">
      <c r="A172" s="263"/>
      <c r="B172" s="263"/>
      <c r="C172" s="263"/>
      <c r="D172" s="263"/>
      <c r="E172" s="263"/>
      <c r="F172" s="263"/>
      <c r="G172" s="263"/>
      <c r="H172" s="263"/>
      <c r="I172" s="263"/>
    </row>
    <row r="173" spans="1:9" ht="15">
      <c r="A173" s="263"/>
      <c r="B173" s="263"/>
      <c r="C173" s="263"/>
      <c r="D173" s="263"/>
      <c r="E173" s="263"/>
      <c r="F173" s="263"/>
      <c r="G173" s="263"/>
      <c r="H173" s="263"/>
      <c r="I173" s="263"/>
    </row>
    <row r="174" spans="1:9" ht="15">
      <c r="A174" s="263"/>
      <c r="B174" s="263"/>
      <c r="C174" s="263"/>
      <c r="D174" s="263"/>
      <c r="E174" s="263"/>
      <c r="F174" s="263"/>
      <c r="G174" s="263"/>
      <c r="H174" s="263"/>
      <c r="I174" s="263"/>
    </row>
    <row r="175" spans="1:9" ht="15">
      <c r="A175" s="263"/>
      <c r="B175" s="263"/>
      <c r="C175" s="263"/>
      <c r="D175" s="263"/>
      <c r="E175" s="263"/>
      <c r="F175" s="263"/>
      <c r="G175" s="263"/>
      <c r="H175" s="263"/>
      <c r="I175" s="263"/>
    </row>
    <row r="176" spans="1:9" ht="15">
      <c r="A176" s="263"/>
      <c r="B176" s="263"/>
      <c r="C176" s="263"/>
      <c r="D176" s="263"/>
      <c r="E176" s="263"/>
      <c r="F176" s="263"/>
      <c r="G176" s="263"/>
      <c r="H176" s="263"/>
      <c r="I176" s="263"/>
    </row>
  </sheetData>
  <sheetProtection algorithmName="SHA-512" hashValue="vF8eNjtHG76LjZVtQzaMtr7pcg2dQ/pfORIYd+m3GIIz4rrpAIYvZTTHvo5L26ynF4R9ikL1OJaMV/qQzlFi4Q==" saltValue="0qj66qBc/udKgsJ1nyrSiw==" spinCount="100000" sheet="1" objects="1" scenarios="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1">
    <mergeCell ref="A91:I91"/>
  </mergeCells>
  <phoneticPr fontId="0" type="noConversion"/>
  <printOptions horizontalCentered="1" verticalCentered="1" gridLines="1"/>
  <pageMargins left="0.25" right="0.25" top="0.25" bottom="0.25" header="0.5" footer="0.5"/>
  <pageSetup scale="52" orientation="portrait" horizontalDpi="360" verticalDpi="360"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J87"/>
  <sheetViews>
    <sheetView zoomScale="90" zoomScaleNormal="90" workbookViewId="0">
      <pane xSplit="2" ySplit="10" topLeftCell="C30" activePane="bottomRight" state="frozen"/>
      <selection activeCell="A53" sqref="A53:K53"/>
      <selection pane="topRight" activeCell="A53" sqref="A53:K53"/>
      <selection pane="bottomLeft" activeCell="A53" sqref="A53:K53"/>
      <selection pane="bottomRight" activeCell="C25" sqref="C25"/>
    </sheetView>
  </sheetViews>
  <sheetFormatPr defaultColWidth="8.85546875" defaultRowHeight="12.75"/>
  <cols>
    <col min="1" max="1" width="12.7109375" style="261" customWidth="1"/>
    <col min="2" max="2" width="55.7109375" style="261" customWidth="1"/>
    <col min="3" max="9" width="18.7109375" style="261" customWidth="1"/>
    <col min="10" max="16384" width="8.85546875" style="261"/>
  </cols>
  <sheetData>
    <row r="1" spans="1:10" ht="18">
      <c r="A1" s="699"/>
      <c r="B1" s="866" t="str">
        <f>+'GW-STATEMENT NET POSITION(13)'!A1</f>
        <v>TOWN OF BROADUS</v>
      </c>
      <c r="C1" s="699"/>
      <c r="D1" s="699"/>
      <c r="E1" s="699"/>
      <c r="F1" s="699"/>
      <c r="G1" s="699"/>
      <c r="H1" s="699"/>
      <c r="I1" s="699"/>
    </row>
    <row r="2" spans="1:10" ht="18">
      <c r="A2" s="276"/>
      <c r="B2" s="259" t="s">
        <v>1804</v>
      </c>
      <c r="C2" s="276"/>
      <c r="D2" s="276"/>
      <c r="E2" s="276"/>
      <c r="F2" s="276"/>
      <c r="G2" s="276"/>
      <c r="H2" s="276"/>
      <c r="I2" s="276"/>
    </row>
    <row r="3" spans="1:10" ht="18">
      <c r="A3" s="276"/>
      <c r="B3" s="259" t="s">
        <v>193</v>
      </c>
      <c r="C3" s="276"/>
      <c r="D3" s="276"/>
      <c r="E3" s="276"/>
      <c r="F3" s="276"/>
      <c r="G3" s="276"/>
      <c r="H3" s="276"/>
      <c r="I3" s="276"/>
    </row>
    <row r="4" spans="1:10" ht="18">
      <c r="A4" s="699"/>
      <c r="B4" s="867" t="str">
        <f>+'GW-STATEMENT OF ACTIVITIES(14)'!B3</f>
        <v>FISCAL YEAR ENDING JUNE 30, 2017</v>
      </c>
      <c r="C4" s="699"/>
      <c r="D4" s="699"/>
      <c r="E4" s="699"/>
      <c r="F4" s="699"/>
      <c r="G4" s="699"/>
      <c r="H4" s="699"/>
      <c r="I4" s="699"/>
    </row>
    <row r="5" spans="1:10" ht="18">
      <c r="B5" s="262"/>
      <c r="G5" s="308"/>
      <c r="H5" s="308"/>
      <c r="I5" s="430" t="s">
        <v>1056</v>
      </c>
    </row>
    <row r="6" spans="1:10" ht="18.75" thickBot="1">
      <c r="B6" s="262"/>
      <c r="C6" s="264" t="s">
        <v>197</v>
      </c>
      <c r="D6" s="318"/>
      <c r="E6" s="318"/>
      <c r="F6" s="318"/>
      <c r="G6" s="689"/>
      <c r="H6" s="689"/>
      <c r="I6" s="676" t="s">
        <v>1059</v>
      </c>
    </row>
    <row r="7" spans="1:10">
      <c r="G7" s="308"/>
      <c r="H7" s="308"/>
      <c r="I7" s="308"/>
    </row>
    <row r="8" spans="1:10" ht="16.5" thickBot="1">
      <c r="A8" s="263"/>
      <c r="B8" s="263"/>
      <c r="C8" s="264" t="s">
        <v>821</v>
      </c>
      <c r="D8" s="265"/>
      <c r="E8" s="265"/>
      <c r="F8" s="265"/>
      <c r="G8" s="430" t="s">
        <v>194</v>
      </c>
      <c r="H8" s="411"/>
      <c r="I8" s="411"/>
    </row>
    <row r="9" spans="1:10" ht="15.75">
      <c r="A9" s="430" t="s">
        <v>177</v>
      </c>
      <c r="B9" s="430"/>
      <c r="C9" s="844" t="str">
        <f>'NET POSITION-PROPRIETARY(18)'!C9</f>
        <v>Fund #5210</v>
      </c>
      <c r="D9" s="844" t="str">
        <f>'NET POSITION-PROPRIETARY(18)'!D9</f>
        <v>Fund #5310</v>
      </c>
      <c r="E9" s="844" t="str">
        <f>'NET POSITION-PROPRIETARY(18)'!E9</f>
        <v>Fund #5410</v>
      </c>
      <c r="F9" s="844" t="str">
        <f>'NET POSITION-PROPRIETARY(18)'!F9</f>
        <v>Fund #</v>
      </c>
      <c r="G9" s="844" t="s">
        <v>195</v>
      </c>
      <c r="H9" s="411"/>
      <c r="I9" s="844" t="s">
        <v>198</v>
      </c>
    </row>
    <row r="10" spans="1:10" ht="16.5" thickBot="1">
      <c r="A10" s="676" t="s">
        <v>178</v>
      </c>
      <c r="B10" s="676" t="s">
        <v>179</v>
      </c>
      <c r="C10" s="676" t="str">
        <f>'NET POSITION-PROPRIETARY(18)'!C10</f>
        <v>WATER</v>
      </c>
      <c r="D10" s="676" t="str">
        <f>'NET POSITION-PROPRIETARY(18)'!D10</f>
        <v>SEWER</v>
      </c>
      <c r="E10" s="676" t="str">
        <f>'NET POSITION-PROPRIETARY(18)'!E10</f>
        <v>SOLID WASTE</v>
      </c>
      <c r="F10" s="676" t="str">
        <f>'NET POSITION-PROPRIETARY(18)'!F10</f>
        <v>Name</v>
      </c>
      <c r="G10" s="676" t="s">
        <v>1203</v>
      </c>
      <c r="H10" s="676" t="s">
        <v>196</v>
      </c>
      <c r="I10" s="676" t="s">
        <v>199</v>
      </c>
    </row>
    <row r="11" spans="1:10" ht="24.95" customHeight="1">
      <c r="A11" s="429"/>
      <c r="B11" s="431" t="s">
        <v>822</v>
      </c>
      <c r="C11" s="326"/>
      <c r="D11" s="326"/>
      <c r="E11" s="326"/>
      <c r="F11" s="326"/>
      <c r="G11" s="326"/>
      <c r="H11" s="326"/>
      <c r="I11" s="326"/>
    </row>
    <row r="12" spans="1:10" ht="24.95" customHeight="1">
      <c r="A12" s="429">
        <v>340000</v>
      </c>
      <c r="B12" s="411" t="s">
        <v>823</v>
      </c>
      <c r="C12" s="269">
        <v>168442.11</v>
      </c>
      <c r="D12" s="269">
        <v>49646.54</v>
      </c>
      <c r="E12" s="269">
        <v>45772</v>
      </c>
      <c r="F12" s="269"/>
      <c r="G12" s="277">
        <f>+'CHG. IN NP-NONMAJOR ENTERPR(80)'!H12</f>
        <v>0</v>
      </c>
      <c r="H12" s="277">
        <f>SUM(C12:G12)</f>
        <v>263860.65000000002</v>
      </c>
      <c r="I12" s="277">
        <f>+'COMB. CHGE IN NP IN. SERV.(83)'!G12</f>
        <v>0</v>
      </c>
    </row>
    <row r="13" spans="1:10" ht="24.95" customHeight="1">
      <c r="A13" s="429">
        <v>360000</v>
      </c>
      <c r="B13" s="411" t="s">
        <v>824</v>
      </c>
      <c r="C13" s="269"/>
      <c r="D13" s="269"/>
      <c r="E13" s="269"/>
      <c r="F13" s="269"/>
      <c r="G13" s="277">
        <f>+'CHG. IN NP-NONMAJOR ENTERPR(80)'!H13</f>
        <v>0</v>
      </c>
      <c r="H13" s="277">
        <f>SUM(C13:G13)</f>
        <v>0</v>
      </c>
      <c r="I13" s="277">
        <f>+'COMB. CHGE IN NP IN. SERV.(83)'!G13</f>
        <v>0</v>
      </c>
    </row>
    <row r="14" spans="1:10" ht="24.95" customHeight="1">
      <c r="A14" s="429">
        <v>363000</v>
      </c>
      <c r="B14" s="411" t="s">
        <v>825</v>
      </c>
      <c r="C14" s="269"/>
      <c r="D14" s="269"/>
      <c r="E14" s="269"/>
      <c r="F14" s="269"/>
      <c r="G14" s="277">
        <f>+'CHG. IN NP-NONMAJOR ENTERPR(80)'!H14</f>
        <v>0</v>
      </c>
      <c r="H14" s="277">
        <f>SUM(C14:G14)</f>
        <v>0</v>
      </c>
      <c r="I14" s="277">
        <f>+'COMB. CHGE IN NP IN. SERV.(83)'!G14</f>
        <v>0</v>
      </c>
    </row>
    <row r="15" spans="1:10" ht="24.95" customHeight="1" thickBot="1">
      <c r="A15" s="429"/>
      <c r="B15" s="411"/>
      <c r="C15" s="271"/>
      <c r="D15" s="271"/>
      <c r="E15" s="271"/>
      <c r="F15" s="271"/>
      <c r="G15" s="278">
        <f>+'CHG. IN NP-NONMAJOR ENTERPR(80)'!H15</f>
        <v>0</v>
      </c>
      <c r="H15" s="278">
        <f>SUM(C15:G15)</f>
        <v>0</v>
      </c>
      <c r="I15" s="278"/>
    </row>
    <row r="16" spans="1:10" ht="24.95" customHeight="1" thickBot="1">
      <c r="A16" s="429"/>
      <c r="B16" s="430" t="s">
        <v>826</v>
      </c>
      <c r="C16" s="278">
        <f>SUM(C12:C15)</f>
        <v>168442.11</v>
      </c>
      <c r="D16" s="278">
        <f t="shared" ref="D16:I16" si="0">SUM(D12:D15)</f>
        <v>49646.54</v>
      </c>
      <c r="E16" s="278">
        <f t="shared" si="0"/>
        <v>45772</v>
      </c>
      <c r="F16" s="278">
        <f t="shared" si="0"/>
        <v>0</v>
      </c>
      <c r="G16" s="278">
        <f t="shared" si="0"/>
        <v>0</v>
      </c>
      <c r="H16" s="278">
        <f t="shared" si="0"/>
        <v>263860.65000000002</v>
      </c>
      <c r="I16" s="278">
        <f t="shared" si="0"/>
        <v>0</v>
      </c>
      <c r="J16" s="308"/>
    </row>
    <row r="17" spans="1:10" ht="24.95" customHeight="1">
      <c r="A17" s="429"/>
      <c r="B17" s="411"/>
      <c r="C17" s="277"/>
      <c r="D17" s="277"/>
      <c r="E17" s="277"/>
      <c r="F17" s="277"/>
      <c r="G17" s="277"/>
      <c r="H17" s="277"/>
      <c r="I17" s="277"/>
      <c r="J17" s="308"/>
    </row>
    <row r="18" spans="1:10" ht="24.95" customHeight="1">
      <c r="A18" s="429"/>
      <c r="B18" s="431" t="s">
        <v>827</v>
      </c>
      <c r="C18" s="277"/>
      <c r="D18" s="277"/>
      <c r="E18" s="277"/>
      <c r="F18" s="277"/>
      <c r="G18" s="277"/>
      <c r="H18" s="277"/>
      <c r="I18" s="277"/>
      <c r="J18" s="308"/>
    </row>
    <row r="19" spans="1:10" ht="24.95" customHeight="1">
      <c r="A19" s="429">
        <v>100</v>
      </c>
      <c r="B19" s="411" t="s">
        <v>828</v>
      </c>
      <c r="C19" s="269">
        <v>87616.46</v>
      </c>
      <c r="D19" s="269">
        <v>8927.2199999999993</v>
      </c>
      <c r="E19" s="269">
        <v>49642.87</v>
      </c>
      <c r="F19" s="269"/>
      <c r="G19" s="277">
        <f>+'CHG. IN NP-NONMAJOR ENTERPR(80)'!H19</f>
        <v>0</v>
      </c>
      <c r="H19" s="277">
        <f t="shared" ref="H19:H26" si="1">SUM(C19:G19)</f>
        <v>146186.55000000002</v>
      </c>
      <c r="I19" s="277">
        <f>+'COMB. CHGE IN NP IN. SERV.(83)'!G19</f>
        <v>0</v>
      </c>
    </row>
    <row r="20" spans="1:10" ht="24.95" customHeight="1">
      <c r="A20" s="429">
        <v>200</v>
      </c>
      <c r="B20" s="411" t="s">
        <v>829</v>
      </c>
      <c r="C20" s="269">
        <v>16538.66</v>
      </c>
      <c r="D20" s="269">
        <v>5796.78</v>
      </c>
      <c r="E20" s="269">
        <v>3743.38</v>
      </c>
      <c r="F20" s="269"/>
      <c r="G20" s="277">
        <f>+'CHG. IN NP-NONMAJOR ENTERPR(80)'!H20</f>
        <v>0</v>
      </c>
      <c r="H20" s="277">
        <f t="shared" si="1"/>
        <v>26078.82</v>
      </c>
      <c r="I20" s="277">
        <f>+'COMB. CHGE IN NP IN. SERV.(83)'!G20</f>
        <v>0</v>
      </c>
    </row>
    <row r="21" spans="1:10" ht="24.95" customHeight="1">
      <c r="A21" s="429">
        <v>300</v>
      </c>
      <c r="B21" s="411" t="s">
        <v>830</v>
      </c>
      <c r="C21" s="269">
        <v>19317.21</v>
      </c>
      <c r="D21" s="269">
        <v>10389.629999999999</v>
      </c>
      <c r="E21" s="269">
        <v>4423.0600000000004</v>
      </c>
      <c r="F21" s="269"/>
      <c r="G21" s="277">
        <f>+'CHG. IN NP-NONMAJOR ENTERPR(80)'!H21</f>
        <v>0</v>
      </c>
      <c r="H21" s="277">
        <f t="shared" si="1"/>
        <v>34129.899999999994</v>
      </c>
      <c r="I21" s="277">
        <f>+'COMB. CHGE IN NP IN. SERV.(83)'!G21</f>
        <v>0</v>
      </c>
    </row>
    <row r="22" spans="1:10" ht="24.95" customHeight="1">
      <c r="A22" s="429">
        <v>400</v>
      </c>
      <c r="B22" s="411" t="s">
        <v>831</v>
      </c>
      <c r="C22" s="269"/>
      <c r="D22" s="269"/>
      <c r="E22" s="269"/>
      <c r="F22" s="269"/>
      <c r="G22" s="277">
        <f>+'CHG. IN NP-NONMAJOR ENTERPR(80)'!H22</f>
        <v>0</v>
      </c>
      <c r="H22" s="277">
        <f t="shared" si="1"/>
        <v>0</v>
      </c>
      <c r="I22" s="277">
        <f>+'COMB. CHGE IN NP IN. SERV.(83)'!G22</f>
        <v>0</v>
      </c>
    </row>
    <row r="23" spans="1:10" ht="24.95" customHeight="1">
      <c r="A23" s="429">
        <v>500</v>
      </c>
      <c r="B23" s="411" t="s">
        <v>832</v>
      </c>
      <c r="C23" s="269"/>
      <c r="D23" s="269"/>
      <c r="E23" s="269"/>
      <c r="F23" s="269"/>
      <c r="G23" s="277">
        <f>+'CHG. IN NP-NONMAJOR ENTERPR(80)'!H23</f>
        <v>0</v>
      </c>
      <c r="H23" s="277">
        <f t="shared" si="1"/>
        <v>0</v>
      </c>
      <c r="I23" s="277">
        <f>+'COMB. CHGE IN NP IN. SERV.(83)'!G23</f>
        <v>0</v>
      </c>
    </row>
    <row r="24" spans="1:10" ht="24.95" customHeight="1">
      <c r="A24" s="429">
        <v>810</v>
      </c>
      <c r="B24" s="411" t="s">
        <v>833</v>
      </c>
      <c r="C24" s="269"/>
      <c r="D24" s="269"/>
      <c r="E24" s="269"/>
      <c r="F24" s="269"/>
      <c r="G24" s="277">
        <f>+'CHG. IN NP-NONMAJOR ENTERPR(80)'!H24</f>
        <v>0</v>
      </c>
      <c r="H24" s="277">
        <f t="shared" si="1"/>
        <v>0</v>
      </c>
      <c r="I24" s="277">
        <f>+'COMB. CHGE IN NP IN. SERV.(83)'!G24</f>
        <v>0</v>
      </c>
    </row>
    <row r="25" spans="1:10" ht="24.95" customHeight="1">
      <c r="A25" s="429">
        <v>830</v>
      </c>
      <c r="B25" s="411" t="s">
        <v>834</v>
      </c>
      <c r="C25" s="269">
        <v>5906.23</v>
      </c>
      <c r="D25" s="269">
        <v>2671.69</v>
      </c>
      <c r="E25" s="269">
        <v>1489</v>
      </c>
      <c r="F25" s="269"/>
      <c r="G25" s="277">
        <f>+'CHG. IN NP-NONMAJOR ENTERPR(80)'!H25</f>
        <v>0</v>
      </c>
      <c r="H25" s="277">
        <f t="shared" si="1"/>
        <v>10066.92</v>
      </c>
      <c r="I25" s="277">
        <f>+'COMB. CHGE IN NP IN. SERV.(83)'!G25</f>
        <v>0</v>
      </c>
    </row>
    <row r="26" spans="1:10" ht="24.95" customHeight="1" thickBot="1">
      <c r="A26" s="429"/>
      <c r="B26" s="411"/>
      <c r="C26" s="271"/>
      <c r="D26" s="271"/>
      <c r="E26" s="271"/>
      <c r="F26" s="271"/>
      <c r="G26" s="278">
        <f>+'CHG. IN NP-NONMAJOR ENTERPR(80)'!H26</f>
        <v>0</v>
      </c>
      <c r="H26" s="278">
        <f t="shared" si="1"/>
        <v>0</v>
      </c>
      <c r="I26" s="278"/>
    </row>
    <row r="27" spans="1:10" ht="24.95" customHeight="1" thickBot="1">
      <c r="A27" s="429"/>
      <c r="B27" s="430" t="s">
        <v>363</v>
      </c>
      <c r="C27" s="278">
        <f>SUM(C18:C26)</f>
        <v>129378.56000000001</v>
      </c>
      <c r="D27" s="278">
        <f t="shared" ref="D27:I27" si="2">SUM(D18:D26)</f>
        <v>27785.319999999996</v>
      </c>
      <c r="E27" s="278">
        <f t="shared" si="2"/>
        <v>59298.31</v>
      </c>
      <c r="F27" s="278">
        <f t="shared" si="2"/>
        <v>0</v>
      </c>
      <c r="G27" s="278">
        <f t="shared" si="2"/>
        <v>0</v>
      </c>
      <c r="H27" s="278">
        <f t="shared" si="2"/>
        <v>216462.19000000003</v>
      </c>
      <c r="I27" s="278">
        <f t="shared" si="2"/>
        <v>0</v>
      </c>
    </row>
    <row r="28" spans="1:10" ht="24.95" customHeight="1" thickBot="1">
      <c r="A28" s="429"/>
      <c r="B28" s="411" t="s">
        <v>1232</v>
      </c>
      <c r="C28" s="278">
        <f>+C16-C27</f>
        <v>39063.549999999974</v>
      </c>
      <c r="D28" s="278">
        <f t="shared" ref="D28:I28" si="3">+D16-D27</f>
        <v>21861.220000000005</v>
      </c>
      <c r="E28" s="278">
        <f t="shared" si="3"/>
        <v>-13526.309999999998</v>
      </c>
      <c r="F28" s="278">
        <f t="shared" si="3"/>
        <v>0</v>
      </c>
      <c r="G28" s="278">
        <f t="shared" si="3"/>
        <v>0</v>
      </c>
      <c r="H28" s="278">
        <f t="shared" si="3"/>
        <v>47398.459999999992</v>
      </c>
      <c r="I28" s="278">
        <f t="shared" si="3"/>
        <v>0</v>
      </c>
    </row>
    <row r="29" spans="1:10" ht="24.95" customHeight="1">
      <c r="A29" s="429"/>
      <c r="B29" s="431" t="s">
        <v>835</v>
      </c>
      <c r="C29" s="269"/>
      <c r="D29" s="269"/>
      <c r="E29" s="269"/>
      <c r="F29" s="269"/>
      <c r="G29" s="277"/>
      <c r="H29" s="277"/>
      <c r="I29" s="277"/>
    </row>
    <row r="30" spans="1:10" ht="24.95" customHeight="1">
      <c r="A30" s="429">
        <v>310000</v>
      </c>
      <c r="B30" s="411" t="s">
        <v>836</v>
      </c>
      <c r="C30" s="269"/>
      <c r="D30" s="269"/>
      <c r="E30" s="269"/>
      <c r="F30" s="269"/>
      <c r="G30" s="277">
        <f>+'CHG. IN NP-NONMAJOR ENTERPR(80)'!H30</f>
        <v>0</v>
      </c>
      <c r="H30" s="277">
        <f t="shared" ref="H30:H35" si="4">SUM(C30:G30)</f>
        <v>0</v>
      </c>
      <c r="I30" s="277">
        <f>+'COMB. CHGE IN NP IN. SERV.(83)'!G30</f>
        <v>0</v>
      </c>
    </row>
    <row r="31" spans="1:10" ht="24.95" customHeight="1">
      <c r="A31" s="429">
        <v>320000</v>
      </c>
      <c r="B31" s="411" t="s">
        <v>837</v>
      </c>
      <c r="C31" s="269"/>
      <c r="D31" s="269"/>
      <c r="E31" s="269"/>
      <c r="F31" s="269"/>
      <c r="G31" s="277">
        <f>+'CHG. IN NP-NONMAJOR ENTERPR(80)'!H31</f>
        <v>0</v>
      </c>
      <c r="H31" s="277">
        <f t="shared" si="4"/>
        <v>0</v>
      </c>
      <c r="I31" s="277">
        <f>+'COMB. CHGE IN NP IN. SERV.(83)'!G31</f>
        <v>0</v>
      </c>
    </row>
    <row r="32" spans="1:10" ht="24.95" customHeight="1">
      <c r="A32" s="429">
        <v>330000</v>
      </c>
      <c r="B32" s="411" t="s">
        <v>1235</v>
      </c>
      <c r="C32" s="269">
        <v>1309.6600000000001</v>
      </c>
      <c r="D32" s="269">
        <v>11039.6</v>
      </c>
      <c r="E32" s="269">
        <v>660.84</v>
      </c>
      <c r="F32" s="269"/>
      <c r="G32" s="277">
        <f>+'CHG. IN NP-NONMAJOR ENTERPR(80)'!H32</f>
        <v>0</v>
      </c>
      <c r="H32" s="277">
        <f t="shared" si="4"/>
        <v>13010.1</v>
      </c>
      <c r="I32" s="277">
        <f>+'COMB. CHGE IN NP IN. SERV.(83)'!G32</f>
        <v>0</v>
      </c>
    </row>
    <row r="33" spans="1:9" ht="24.95" customHeight="1">
      <c r="A33" s="429">
        <v>371000</v>
      </c>
      <c r="B33" s="411" t="s">
        <v>1236</v>
      </c>
      <c r="C33" s="269">
        <v>295.60000000000002</v>
      </c>
      <c r="D33" s="269">
        <v>86.04</v>
      </c>
      <c r="E33" s="269">
        <v>57.12</v>
      </c>
      <c r="F33" s="269"/>
      <c r="G33" s="277">
        <f>+'CHG. IN NP-NONMAJOR ENTERPR(80)'!H33</f>
        <v>0</v>
      </c>
      <c r="H33" s="277">
        <f t="shared" si="4"/>
        <v>438.76000000000005</v>
      </c>
      <c r="I33" s="277">
        <f>+'COMB. CHGE IN NP IN. SERV.(83)'!G33</f>
        <v>0</v>
      </c>
    </row>
    <row r="34" spans="1:9" ht="24.95" customHeight="1">
      <c r="A34" s="429">
        <v>382030</v>
      </c>
      <c r="B34" s="411" t="s">
        <v>1784</v>
      </c>
      <c r="C34" s="269"/>
      <c r="D34" s="269"/>
      <c r="E34" s="269"/>
      <c r="F34" s="269"/>
      <c r="G34" s="277">
        <f>+'CHG. IN NP-NONMAJOR ENTERPR(80)'!H34</f>
        <v>0</v>
      </c>
      <c r="H34" s="277">
        <f t="shared" si="4"/>
        <v>0</v>
      </c>
      <c r="I34" s="277">
        <f>+'COMB. CHGE IN NP IN. SERV.(83)'!G34</f>
        <v>0</v>
      </c>
    </row>
    <row r="35" spans="1:9" ht="24.95" customHeight="1">
      <c r="A35" s="429">
        <v>490000</v>
      </c>
      <c r="B35" s="411" t="s">
        <v>1785</v>
      </c>
      <c r="C35" s="269"/>
      <c r="D35" s="269"/>
      <c r="E35" s="269"/>
      <c r="F35" s="269"/>
      <c r="G35" s="277">
        <f>+'CHG. IN NP-NONMAJOR ENTERPR(80)'!H35</f>
        <v>0</v>
      </c>
      <c r="H35" s="277">
        <f t="shared" si="4"/>
        <v>0</v>
      </c>
      <c r="I35" s="277">
        <f>+'COMB. CHGE IN NP IN. SERV.(83)'!G35</f>
        <v>0</v>
      </c>
    </row>
    <row r="36" spans="1:9" ht="24.95" customHeight="1">
      <c r="A36" s="429">
        <v>384000</v>
      </c>
      <c r="B36" s="411" t="s">
        <v>1759</v>
      </c>
      <c r="C36" s="269"/>
      <c r="D36" s="269"/>
      <c r="E36" s="269"/>
      <c r="F36" s="269"/>
      <c r="G36" s="277">
        <f>+'CHG. IN NP-NONMAJOR ENTERPR(80)'!H36</f>
        <v>0</v>
      </c>
      <c r="H36" s="277">
        <f>SUM(C36:G36)</f>
        <v>0</v>
      </c>
      <c r="I36" s="277">
        <f>+'COMB. CHGE IN NP IN. SERV.(83)'!G36</f>
        <v>0</v>
      </c>
    </row>
    <row r="37" spans="1:9" ht="24.95" customHeight="1">
      <c r="A37" s="429">
        <v>385000</v>
      </c>
      <c r="B37" s="411" t="s">
        <v>1760</v>
      </c>
      <c r="C37" s="269"/>
      <c r="D37" s="269">
        <v>900</v>
      </c>
      <c r="E37" s="269"/>
      <c r="F37" s="269"/>
      <c r="G37" s="277">
        <f>+'CHG. IN NP-NONMAJOR ENTERPR(80)'!H37</f>
        <v>0</v>
      </c>
      <c r="H37" s="277">
        <f>SUM(C37:G37)</f>
        <v>900</v>
      </c>
      <c r="I37" s="277">
        <f>+'COMB. CHGE IN NP IN. SERV.(83)'!G37</f>
        <v>0</v>
      </c>
    </row>
    <row r="38" spans="1:9" ht="24.95" customHeight="1">
      <c r="A38" s="429">
        <v>524000</v>
      </c>
      <c r="B38" s="411" t="s">
        <v>1761</v>
      </c>
      <c r="C38" s="269"/>
      <c r="D38" s="269"/>
      <c r="E38" s="269"/>
      <c r="F38" s="269"/>
      <c r="G38" s="277">
        <f>+'CHG. IN NP-NONMAJOR ENTERPR(80)'!H38</f>
        <v>0</v>
      </c>
      <c r="H38" s="277">
        <f>SUM(C38:G38)</f>
        <v>0</v>
      </c>
      <c r="I38" s="277">
        <f>+'COMB. CHGE IN NP IN. SERV.(83)'!G38</f>
        <v>0</v>
      </c>
    </row>
    <row r="39" spans="1:9" ht="24.95" customHeight="1" thickBot="1">
      <c r="A39" s="429">
        <v>525000</v>
      </c>
      <c r="B39" s="411" t="s">
        <v>1762</v>
      </c>
      <c r="C39" s="271"/>
      <c r="D39" s="271"/>
      <c r="E39" s="271"/>
      <c r="F39" s="271"/>
      <c r="G39" s="278">
        <f>+'CHG. IN NP-NONMAJOR ENTERPR(80)'!H39</f>
        <v>0</v>
      </c>
      <c r="H39" s="278">
        <f>SUM(C39:G39)</f>
        <v>0</v>
      </c>
      <c r="I39" s="278">
        <f>+'COMB. CHGE IN NP IN. SERV.(83)'!G39</f>
        <v>0</v>
      </c>
    </row>
    <row r="40" spans="1:9" ht="24.95" customHeight="1" thickBot="1">
      <c r="A40" s="429"/>
      <c r="B40" s="430" t="s">
        <v>1115</v>
      </c>
      <c r="C40" s="278">
        <f>SUM(C29:C39)</f>
        <v>1605.2600000000002</v>
      </c>
      <c r="D40" s="278">
        <f t="shared" ref="D40:I40" si="5">SUM(D29:D39)</f>
        <v>12025.640000000001</v>
      </c>
      <c r="E40" s="278">
        <f t="shared" si="5"/>
        <v>717.96</v>
      </c>
      <c r="F40" s="278">
        <f t="shared" si="5"/>
        <v>0</v>
      </c>
      <c r="G40" s="278">
        <f t="shared" si="5"/>
        <v>0</v>
      </c>
      <c r="H40" s="278">
        <f t="shared" si="5"/>
        <v>14348.86</v>
      </c>
      <c r="I40" s="278">
        <f t="shared" si="5"/>
        <v>0</v>
      </c>
    </row>
    <row r="41" spans="1:9" ht="24.95" customHeight="1">
      <c r="A41" s="429"/>
      <c r="B41" s="411" t="s">
        <v>13</v>
      </c>
      <c r="C41" s="306">
        <f>+C28+C40</f>
        <v>40668.809999999976</v>
      </c>
      <c r="D41" s="306">
        <f t="shared" ref="D41:I41" si="6">+D28+D40</f>
        <v>33886.860000000008</v>
      </c>
      <c r="E41" s="306">
        <f t="shared" si="6"/>
        <v>-12808.349999999999</v>
      </c>
      <c r="F41" s="306">
        <f t="shared" si="6"/>
        <v>0</v>
      </c>
      <c r="G41" s="306">
        <f t="shared" si="6"/>
        <v>0</v>
      </c>
      <c r="H41" s="306">
        <f t="shared" si="6"/>
        <v>61747.319999999992</v>
      </c>
      <c r="I41" s="306">
        <f t="shared" si="6"/>
        <v>0</v>
      </c>
    </row>
    <row r="42" spans="1:9" ht="24.95" customHeight="1">
      <c r="A42" s="429"/>
      <c r="B42" s="411" t="s">
        <v>848</v>
      </c>
      <c r="C42" s="269"/>
      <c r="D42" s="269"/>
      <c r="E42" s="269"/>
      <c r="F42" s="269"/>
      <c r="G42" s="277">
        <f>+'CHG. IN NP-NONMAJOR ENTERPR(80)'!H42</f>
        <v>0</v>
      </c>
      <c r="H42" s="277">
        <f>SUM(C42:G42)</f>
        <v>0</v>
      </c>
      <c r="I42" s="277">
        <f>+'COMB. CHGE IN NP IN. SERV.(83)'!G42</f>
        <v>0</v>
      </c>
    </row>
    <row r="43" spans="1:9" ht="24.95" customHeight="1" thickBot="1">
      <c r="A43" s="429"/>
      <c r="B43" s="411" t="s">
        <v>476</v>
      </c>
      <c r="C43" s="271"/>
      <c r="D43" s="271"/>
      <c r="E43" s="271"/>
      <c r="F43" s="271"/>
      <c r="G43" s="278">
        <f>+'CHG. IN NP-NONMAJOR ENTERPR(80)'!H43</f>
        <v>0</v>
      </c>
      <c r="H43" s="278">
        <f>SUM(C43:G43)</f>
        <v>0</v>
      </c>
      <c r="I43" s="278">
        <f>+'COMB. CHGE IN NP IN. SERV.(83)'!G43</f>
        <v>0</v>
      </c>
    </row>
    <row r="44" spans="1:9" ht="24.95" customHeight="1">
      <c r="A44" s="429"/>
      <c r="B44" s="411" t="s">
        <v>1805</v>
      </c>
      <c r="C44" s="277">
        <f>+C41+C42+C43</f>
        <v>40668.809999999976</v>
      </c>
      <c r="D44" s="277">
        <f t="shared" ref="D44:I44" si="7">+D41+D42+D43</f>
        <v>33886.860000000008</v>
      </c>
      <c r="E44" s="277">
        <f t="shared" si="7"/>
        <v>-12808.349999999999</v>
      </c>
      <c r="F44" s="277">
        <f t="shared" si="7"/>
        <v>0</v>
      </c>
      <c r="G44" s="277">
        <f t="shared" si="7"/>
        <v>0</v>
      </c>
      <c r="H44" s="277">
        <f t="shared" si="7"/>
        <v>61747.319999999992</v>
      </c>
      <c r="I44" s="277">
        <f t="shared" si="7"/>
        <v>0</v>
      </c>
    </row>
    <row r="45" spans="1:9" ht="24.95" customHeight="1">
      <c r="A45" s="429"/>
      <c r="B45" s="411" t="str">
        <f>+'GW-STATEMENT OF ACTIVITIES(14)'!C58</f>
        <v>Total net position - July 1, 2016 as previously reported</v>
      </c>
      <c r="C45" s="303">
        <v>217676.01</v>
      </c>
      <c r="D45" s="303">
        <v>83219.5</v>
      </c>
      <c r="E45" s="303">
        <v>26523.19</v>
      </c>
      <c r="F45" s="303"/>
      <c r="G45" s="307">
        <f>+'CHG. IN NP-NONMAJOR ENTERPR(80)'!H45</f>
        <v>0</v>
      </c>
      <c r="H45" s="277">
        <f>SUM(C45:G45)</f>
        <v>327418.7</v>
      </c>
      <c r="I45" s="307">
        <f>+'COMB. CHGE IN NP IN. SERV.(83)'!G45</f>
        <v>0</v>
      </c>
    </row>
    <row r="46" spans="1:9" ht="24.95" customHeight="1" thickBot="1">
      <c r="A46" s="429"/>
      <c r="B46" s="411" t="s">
        <v>699</v>
      </c>
      <c r="C46" s="271"/>
      <c r="D46" s="271"/>
      <c r="E46" s="271"/>
      <c r="F46" s="271"/>
      <c r="G46" s="278">
        <f>+'CHG. IN NP-NONMAJOR ENTERPR(80)'!H46</f>
        <v>0</v>
      </c>
      <c r="H46" s="278">
        <f>SUM(C46:G46)</f>
        <v>0</v>
      </c>
      <c r="I46" s="278">
        <f>+'COMB. CHGE IN NP IN. SERV.(83)'!G46</f>
        <v>0</v>
      </c>
    </row>
    <row r="47" spans="1:9" ht="24.95" customHeight="1" thickBot="1">
      <c r="A47" s="429"/>
      <c r="B47" s="411" t="str">
        <f>+'GW-STATEMENT OF ACTIVITIES(14)'!C60</f>
        <v>Total net position - July 1, 2016 as restated</v>
      </c>
      <c r="C47" s="307">
        <f>+C45+C46</f>
        <v>217676.01</v>
      </c>
      <c r="D47" s="307">
        <f t="shared" ref="D47:I47" si="8">+D45+D46</f>
        <v>83219.5</v>
      </c>
      <c r="E47" s="307">
        <f t="shared" si="8"/>
        <v>26523.19</v>
      </c>
      <c r="F47" s="307">
        <f t="shared" si="8"/>
        <v>0</v>
      </c>
      <c r="G47" s="307">
        <f t="shared" si="8"/>
        <v>0</v>
      </c>
      <c r="H47" s="307">
        <f t="shared" si="8"/>
        <v>327418.7</v>
      </c>
      <c r="I47" s="307">
        <f t="shared" si="8"/>
        <v>0</v>
      </c>
    </row>
    <row r="48" spans="1:9" ht="24.95" customHeight="1" thickBot="1">
      <c r="A48" s="429"/>
      <c r="B48" s="326" t="str">
        <f>+'GW-STATEMENT OF ACTIVITIES(14)'!C61</f>
        <v>Total net position - June 30, 2017</v>
      </c>
      <c r="C48" s="280">
        <f>+C44+C47</f>
        <v>258344.81999999998</v>
      </c>
      <c r="D48" s="280">
        <f t="shared" ref="D48:I48" si="9">+D44+D47</f>
        <v>117106.36000000002</v>
      </c>
      <c r="E48" s="280">
        <f t="shared" si="9"/>
        <v>13714.84</v>
      </c>
      <c r="F48" s="280">
        <f t="shared" si="9"/>
        <v>0</v>
      </c>
      <c r="G48" s="280">
        <f t="shared" si="9"/>
        <v>0</v>
      </c>
      <c r="H48" s="306">
        <f t="shared" si="9"/>
        <v>389166.02</v>
      </c>
      <c r="I48" s="280">
        <f t="shared" si="9"/>
        <v>0</v>
      </c>
    </row>
    <row r="49" spans="1:9" ht="24.95" customHeight="1" thickTop="1">
      <c r="A49" s="301"/>
      <c r="B49" s="263"/>
      <c r="C49" s="263"/>
      <c r="D49" s="263"/>
      <c r="E49" s="263"/>
      <c r="F49" s="263"/>
      <c r="G49" s="263"/>
      <c r="H49" s="263"/>
      <c r="I49" s="263"/>
    </row>
    <row r="50" spans="1:9" ht="24.95" customHeight="1">
      <c r="A50" s="301"/>
      <c r="B50" s="263"/>
      <c r="C50" s="263"/>
      <c r="D50" s="263" t="s">
        <v>123</v>
      </c>
      <c r="E50" s="263"/>
      <c r="F50" s="263"/>
      <c r="G50" s="263"/>
      <c r="H50" s="263"/>
      <c r="I50" s="263"/>
    </row>
    <row r="51" spans="1:9" ht="24.95" customHeight="1">
      <c r="A51" s="301"/>
      <c r="B51" s="263"/>
      <c r="C51" s="263"/>
      <c r="D51" s="263" t="s">
        <v>880</v>
      </c>
      <c r="E51" s="263"/>
      <c r="F51" s="263"/>
      <c r="G51" s="263"/>
      <c r="H51" s="263"/>
      <c r="I51" s="263"/>
    </row>
    <row r="52" spans="1:9" ht="24.95" customHeight="1">
      <c r="A52" s="301"/>
      <c r="B52" s="263"/>
      <c r="C52" s="263"/>
      <c r="D52" s="263" t="s">
        <v>881</v>
      </c>
      <c r="E52" s="263"/>
      <c r="F52" s="263"/>
      <c r="G52" s="263"/>
      <c r="H52" s="321"/>
      <c r="I52" s="263"/>
    </row>
    <row r="53" spans="1:9" ht="24.95" customHeight="1" thickBot="1">
      <c r="A53" s="301"/>
      <c r="B53" s="263"/>
      <c r="C53" s="263"/>
      <c r="D53" s="268" t="s">
        <v>1850</v>
      </c>
      <c r="E53" s="263"/>
      <c r="F53" s="263"/>
      <c r="G53" s="263"/>
      <c r="H53" s="323">
        <f>+H44+H52</f>
        <v>61747.319999999992</v>
      </c>
      <c r="I53" s="263"/>
    </row>
    <row r="54" spans="1:9" ht="24.95" customHeight="1" thickTop="1">
      <c r="A54" s="301"/>
      <c r="B54" s="263"/>
      <c r="C54" s="263"/>
      <c r="D54" s="263"/>
      <c r="E54" s="263"/>
      <c r="F54" s="263"/>
      <c r="G54" s="263"/>
      <c r="H54" s="263"/>
      <c r="I54" s="263"/>
    </row>
    <row r="55" spans="1:9" ht="24.95" customHeight="1">
      <c r="A55" s="301"/>
      <c r="B55" s="263"/>
      <c r="C55" s="263"/>
      <c r="D55" s="263"/>
      <c r="E55" s="263"/>
      <c r="F55" s="263"/>
      <c r="G55" s="263"/>
      <c r="H55" s="263"/>
      <c r="I55" s="263"/>
    </row>
    <row r="56" spans="1:9" ht="24.95" customHeight="1">
      <c r="A56" s="301"/>
      <c r="B56" s="263"/>
      <c r="C56" s="263"/>
      <c r="D56" s="263"/>
      <c r="E56" s="263"/>
      <c r="F56" s="263"/>
      <c r="G56" s="263"/>
      <c r="H56" s="263"/>
      <c r="I56" s="263"/>
    </row>
    <row r="57" spans="1:9" ht="24.95" customHeight="1">
      <c r="A57" s="322" t="s">
        <v>1411</v>
      </c>
      <c r="B57" s="282"/>
      <c r="C57" s="282"/>
      <c r="D57" s="282"/>
      <c r="E57" s="282"/>
      <c r="F57" s="282"/>
      <c r="G57" s="282"/>
      <c r="H57" s="282"/>
      <c r="I57" s="282"/>
    </row>
    <row r="58" spans="1:9" ht="15">
      <c r="A58" s="301"/>
      <c r="B58" s="263"/>
      <c r="C58" s="263"/>
      <c r="D58" s="263"/>
      <c r="E58" s="263"/>
      <c r="F58" s="263"/>
      <c r="G58" s="263"/>
      <c r="H58" s="263"/>
      <c r="I58" s="263"/>
    </row>
    <row r="59" spans="1:9" ht="15">
      <c r="A59" s="301"/>
      <c r="B59" s="263"/>
      <c r="C59" s="263"/>
      <c r="D59" s="263"/>
      <c r="E59" s="263"/>
      <c r="F59" s="263"/>
      <c r="G59" s="263"/>
      <c r="H59" s="263"/>
      <c r="I59" s="263"/>
    </row>
    <row r="60" spans="1:9" ht="15">
      <c r="A60" s="301"/>
      <c r="B60" s="263"/>
      <c r="C60" s="263"/>
      <c r="D60" s="263"/>
      <c r="E60" s="263"/>
      <c r="F60" s="263"/>
      <c r="G60" s="263"/>
      <c r="H60" s="263"/>
      <c r="I60" s="263"/>
    </row>
    <row r="61" spans="1:9" ht="15">
      <c r="A61" s="301"/>
      <c r="B61" s="263"/>
      <c r="C61" s="263"/>
      <c r="D61" s="263"/>
      <c r="E61" s="263"/>
      <c r="F61" s="263"/>
      <c r="G61" s="263"/>
      <c r="H61" s="263"/>
      <c r="I61" s="263"/>
    </row>
    <row r="62" spans="1:9" ht="15">
      <c r="A62" s="301"/>
      <c r="B62" s="263"/>
      <c r="C62" s="263"/>
      <c r="D62" s="263"/>
      <c r="E62" s="263"/>
      <c r="F62" s="263"/>
      <c r="G62" s="263"/>
      <c r="H62" s="263"/>
      <c r="I62" s="263"/>
    </row>
    <row r="63" spans="1:9" ht="15">
      <c r="A63" s="301"/>
      <c r="B63" s="263"/>
      <c r="C63" s="263"/>
      <c r="D63" s="263"/>
      <c r="E63" s="263"/>
      <c r="F63" s="263"/>
      <c r="G63" s="263"/>
      <c r="H63" s="263"/>
      <c r="I63" s="263"/>
    </row>
    <row r="64" spans="1:9" ht="15">
      <c r="A64" s="301"/>
      <c r="B64" s="263"/>
      <c r="C64" s="263"/>
      <c r="D64" s="263"/>
      <c r="E64" s="263"/>
      <c r="F64" s="263"/>
      <c r="G64" s="263"/>
      <c r="H64" s="263"/>
      <c r="I64" s="263"/>
    </row>
    <row r="65" spans="1:9" ht="15">
      <c r="A65" s="301"/>
      <c r="B65" s="263"/>
      <c r="C65" s="263"/>
      <c r="D65" s="263"/>
      <c r="E65" s="263"/>
      <c r="F65" s="263"/>
      <c r="G65" s="263"/>
      <c r="H65" s="263"/>
      <c r="I65" s="263"/>
    </row>
    <row r="66" spans="1:9" ht="15">
      <c r="A66" s="301"/>
      <c r="B66" s="263"/>
      <c r="C66" s="263"/>
      <c r="D66" s="263"/>
      <c r="E66" s="263"/>
      <c r="F66" s="263"/>
      <c r="G66" s="263"/>
      <c r="H66" s="263"/>
      <c r="I66" s="263"/>
    </row>
    <row r="67" spans="1:9" ht="15">
      <c r="A67" s="301"/>
      <c r="B67" s="263"/>
      <c r="C67" s="263"/>
      <c r="D67" s="263"/>
      <c r="E67" s="263"/>
      <c r="F67" s="263"/>
      <c r="G67" s="263"/>
      <c r="H67" s="263"/>
      <c r="I67" s="263"/>
    </row>
    <row r="68" spans="1:9" ht="15">
      <c r="A68" s="301"/>
      <c r="B68" s="263"/>
      <c r="C68" s="263"/>
      <c r="D68" s="263"/>
      <c r="E68" s="263"/>
      <c r="F68" s="263"/>
      <c r="G68" s="263"/>
      <c r="H68" s="263"/>
      <c r="I68" s="263"/>
    </row>
    <row r="69" spans="1:9" ht="15">
      <c r="A69" s="301"/>
      <c r="B69" s="263"/>
      <c r="C69" s="263"/>
      <c r="D69" s="263"/>
      <c r="E69" s="263"/>
      <c r="F69" s="263"/>
      <c r="G69" s="263"/>
      <c r="H69" s="263"/>
      <c r="I69" s="263"/>
    </row>
    <row r="70" spans="1:9" ht="15">
      <c r="A70" s="301"/>
      <c r="B70" s="263"/>
      <c r="C70" s="263"/>
      <c r="D70" s="263"/>
      <c r="E70" s="263"/>
      <c r="F70" s="263"/>
      <c r="G70" s="263"/>
      <c r="H70" s="263"/>
      <c r="I70" s="263"/>
    </row>
    <row r="71" spans="1:9" ht="15">
      <c r="A71" s="301"/>
      <c r="B71" s="263"/>
      <c r="C71" s="263"/>
      <c r="D71" s="263"/>
      <c r="E71" s="263"/>
      <c r="F71" s="263"/>
      <c r="G71" s="263"/>
      <c r="H71" s="263"/>
      <c r="I71" s="263"/>
    </row>
    <row r="72" spans="1:9" ht="15">
      <c r="A72" s="301"/>
      <c r="B72" s="263"/>
      <c r="C72" s="263"/>
      <c r="D72" s="263"/>
      <c r="E72" s="263"/>
      <c r="F72" s="263"/>
      <c r="G72" s="263"/>
      <c r="H72" s="263"/>
      <c r="I72" s="263"/>
    </row>
    <row r="73" spans="1:9" ht="15">
      <c r="A73" s="301"/>
      <c r="B73" s="263"/>
      <c r="C73" s="263"/>
      <c r="D73" s="263"/>
      <c r="E73" s="263"/>
      <c r="F73" s="263"/>
      <c r="G73" s="263"/>
      <c r="H73" s="263"/>
      <c r="I73" s="263"/>
    </row>
    <row r="74" spans="1:9" ht="15">
      <c r="A74" s="301"/>
      <c r="B74" s="263"/>
      <c r="C74" s="263"/>
      <c r="D74" s="263"/>
      <c r="E74" s="263"/>
      <c r="F74" s="263"/>
      <c r="G74" s="263"/>
      <c r="H74" s="263"/>
      <c r="I74" s="263"/>
    </row>
    <row r="75" spans="1:9" ht="15">
      <c r="A75" s="301"/>
      <c r="B75" s="263"/>
      <c r="C75" s="263"/>
      <c r="D75" s="263"/>
      <c r="E75" s="263"/>
      <c r="F75" s="263"/>
      <c r="G75" s="263"/>
      <c r="H75" s="263"/>
      <c r="I75" s="263"/>
    </row>
    <row r="76" spans="1:9" ht="15">
      <c r="A76" s="301"/>
      <c r="B76" s="263"/>
      <c r="C76" s="263"/>
      <c r="D76" s="263"/>
      <c r="E76" s="263"/>
      <c r="F76" s="263"/>
      <c r="G76" s="263"/>
      <c r="H76" s="263"/>
      <c r="I76" s="263"/>
    </row>
    <row r="77" spans="1:9" ht="15">
      <c r="A77" s="301"/>
      <c r="B77" s="263"/>
      <c r="C77" s="263"/>
      <c r="D77" s="263"/>
      <c r="E77" s="263"/>
      <c r="F77" s="263"/>
      <c r="G77" s="263"/>
      <c r="H77" s="263"/>
      <c r="I77" s="263"/>
    </row>
    <row r="78" spans="1:9" ht="15">
      <c r="A78" s="301"/>
      <c r="B78" s="263"/>
      <c r="C78" s="263"/>
      <c r="D78" s="263"/>
      <c r="E78" s="263"/>
      <c r="F78" s="263"/>
      <c r="G78" s="263"/>
      <c r="H78" s="263"/>
      <c r="I78" s="263"/>
    </row>
    <row r="79" spans="1:9" ht="15">
      <c r="A79" s="263"/>
      <c r="B79" s="263"/>
      <c r="C79" s="263"/>
      <c r="D79" s="263"/>
      <c r="E79" s="263"/>
      <c r="F79" s="263"/>
      <c r="G79" s="263"/>
      <c r="H79" s="263"/>
      <c r="I79" s="263"/>
    </row>
    <row r="80" spans="1:9" ht="15">
      <c r="A80" s="263"/>
      <c r="B80" s="263"/>
      <c r="C80" s="263"/>
      <c r="D80" s="263"/>
      <c r="E80" s="263"/>
      <c r="F80" s="263"/>
      <c r="G80" s="263"/>
      <c r="H80" s="263"/>
      <c r="I80" s="263"/>
    </row>
    <row r="81" spans="1:9" ht="15">
      <c r="A81" s="263"/>
      <c r="B81" s="263"/>
      <c r="C81" s="263"/>
      <c r="D81" s="263"/>
      <c r="E81" s="263"/>
      <c r="F81" s="263"/>
      <c r="G81" s="263"/>
      <c r="H81" s="263"/>
      <c r="I81" s="263"/>
    </row>
    <row r="82" spans="1:9" ht="15">
      <c r="A82" s="263"/>
      <c r="B82" s="263"/>
      <c r="C82" s="263"/>
      <c r="D82" s="263"/>
      <c r="E82" s="263"/>
      <c r="F82" s="263"/>
      <c r="G82" s="263"/>
      <c r="H82" s="263"/>
      <c r="I82" s="263"/>
    </row>
    <row r="83" spans="1:9" ht="15">
      <c r="A83" s="263"/>
      <c r="B83" s="263"/>
      <c r="C83" s="263"/>
      <c r="D83" s="263"/>
      <c r="E83" s="263"/>
      <c r="F83" s="263"/>
      <c r="G83" s="263"/>
      <c r="H83" s="263"/>
      <c r="I83" s="263"/>
    </row>
    <row r="84" spans="1:9" ht="15">
      <c r="A84" s="263"/>
      <c r="B84" s="263"/>
      <c r="C84" s="263"/>
      <c r="D84" s="263"/>
      <c r="E84" s="263"/>
      <c r="F84" s="263"/>
      <c r="G84" s="263"/>
      <c r="H84" s="263"/>
      <c r="I84" s="263"/>
    </row>
    <row r="85" spans="1:9" ht="15">
      <c r="A85" s="263"/>
      <c r="B85" s="263"/>
      <c r="C85" s="263"/>
      <c r="D85" s="263"/>
      <c r="E85" s="263"/>
      <c r="F85" s="263"/>
      <c r="G85" s="263"/>
      <c r="H85" s="263"/>
      <c r="I85" s="263"/>
    </row>
    <row r="86" spans="1:9" ht="15">
      <c r="A86" s="263"/>
      <c r="B86" s="263"/>
      <c r="C86" s="263"/>
      <c r="D86" s="263"/>
      <c r="E86" s="263"/>
      <c r="F86" s="263"/>
      <c r="G86" s="263"/>
      <c r="H86" s="263"/>
      <c r="I86" s="263"/>
    </row>
    <row r="87" spans="1:9" ht="15">
      <c r="A87" s="263"/>
      <c r="B87" s="263"/>
      <c r="C87" s="263"/>
      <c r="D87" s="263"/>
      <c r="E87" s="263"/>
      <c r="F87" s="263"/>
      <c r="G87" s="263"/>
      <c r="H87" s="263"/>
      <c r="I87" s="263"/>
    </row>
  </sheetData>
  <sheetProtection password="D950" sheet="1" scenarios="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phoneticPr fontId="0" type="noConversion"/>
  <printOptions horizontalCentered="1" verticalCentered="1" gridLines="1"/>
  <pageMargins left="0" right="0" top="0.52" bottom="0.51" header="0.5" footer="0.5"/>
  <pageSetup scale="52" orientation="portrait"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H75"/>
  <sheetViews>
    <sheetView workbookViewId="0">
      <pane xSplit="1" ySplit="11" topLeftCell="B25" activePane="bottomRight" state="frozen"/>
      <selection activeCell="A53" sqref="A53:K53"/>
      <selection pane="topRight" activeCell="A53" sqref="A53:K53"/>
      <selection pane="bottomLeft" activeCell="A53" sqref="A53:K53"/>
      <selection pane="bottomRight" activeCell="E34" sqref="E34"/>
    </sheetView>
  </sheetViews>
  <sheetFormatPr defaultColWidth="8.85546875" defaultRowHeight="12.75"/>
  <cols>
    <col min="1" max="1" width="55.7109375" style="261" customWidth="1"/>
    <col min="2" max="8" width="20.7109375" style="261" customWidth="1"/>
    <col min="9" max="16384" width="8.85546875" style="261"/>
  </cols>
  <sheetData>
    <row r="1" spans="1:8" ht="18">
      <c r="A1" s="866" t="str">
        <f>+'GW-STATEMENT NET POSITION(13)'!A1</f>
        <v>TOWN OF BROADUS</v>
      </c>
      <c r="B1" s="699"/>
      <c r="C1" s="699"/>
      <c r="D1" s="699"/>
      <c r="E1" s="699"/>
      <c r="F1" s="699"/>
      <c r="G1" s="699"/>
      <c r="H1" s="276"/>
    </row>
    <row r="2" spans="1:8" ht="18">
      <c r="A2" s="866" t="s">
        <v>42</v>
      </c>
      <c r="B2" s="699"/>
      <c r="C2" s="699"/>
      <c r="D2" s="699"/>
      <c r="E2" s="699"/>
      <c r="F2" s="699"/>
      <c r="G2" s="699"/>
      <c r="H2" s="276"/>
    </row>
    <row r="3" spans="1:8" ht="18">
      <c r="A3" s="866" t="s">
        <v>193</v>
      </c>
      <c r="B3" s="699"/>
      <c r="C3" s="699"/>
      <c r="D3" s="699"/>
      <c r="E3" s="699"/>
      <c r="F3" s="699"/>
      <c r="G3" s="699"/>
      <c r="H3" s="276"/>
    </row>
    <row r="4" spans="1:8" ht="18">
      <c r="A4" s="867" t="str">
        <f>+'GW-STATEMENT OF ACTIVITIES(14)'!B3</f>
        <v>FISCAL YEAR ENDING JUNE 30, 2017</v>
      </c>
      <c r="B4" s="699"/>
      <c r="C4" s="699"/>
      <c r="D4" s="699"/>
      <c r="E4" s="699"/>
      <c r="F4" s="699"/>
      <c r="G4" s="699"/>
      <c r="H4" s="276"/>
    </row>
    <row r="5" spans="1:8" ht="18">
      <c r="A5" s="262"/>
      <c r="H5" s="266" t="s">
        <v>1056</v>
      </c>
    </row>
    <row r="6" spans="1:8" ht="18.75" thickBot="1">
      <c r="A6" s="262"/>
      <c r="B6" s="264" t="s">
        <v>197</v>
      </c>
      <c r="C6" s="318"/>
      <c r="D6" s="318"/>
      <c r="E6" s="318"/>
      <c r="F6" s="318"/>
      <c r="G6" s="318"/>
      <c r="H6" s="267" t="s">
        <v>1059</v>
      </c>
    </row>
    <row r="8" spans="1:8" ht="16.5" thickBot="1">
      <c r="A8" s="263"/>
      <c r="B8" s="264" t="s">
        <v>821</v>
      </c>
      <c r="C8" s="265"/>
      <c r="D8" s="265"/>
      <c r="E8" s="265"/>
      <c r="F8" s="266" t="s">
        <v>194</v>
      </c>
      <c r="G8" s="263"/>
      <c r="H8" s="263"/>
    </row>
    <row r="9" spans="1:8" ht="15.75">
      <c r="A9" s="266"/>
      <c r="B9" s="266" t="str">
        <f>'NET POSITION-PROPRIETARY(18)'!C9</f>
        <v>Fund #5210</v>
      </c>
      <c r="C9" s="266" t="str">
        <f>'NET POSITION-PROPRIETARY(18)'!D9</f>
        <v>Fund #5310</v>
      </c>
      <c r="D9" s="266" t="str">
        <f>'NET POSITION-PROPRIETARY(18)'!E9</f>
        <v>Fund #5410</v>
      </c>
      <c r="E9" s="266" t="str">
        <f>'NET POSITION-PROPRIETARY(18)'!F9</f>
        <v>Fund #</v>
      </c>
      <c r="F9" s="266" t="s">
        <v>195</v>
      </c>
      <c r="G9" s="263"/>
      <c r="H9" s="266" t="s">
        <v>198</v>
      </c>
    </row>
    <row r="10" spans="1:8" ht="16.5" thickBot="1">
      <c r="A10" s="267" t="s">
        <v>179</v>
      </c>
      <c r="B10" s="267" t="str">
        <f>'NET POSITION-PROPRIETARY(18)'!C10</f>
        <v>WATER</v>
      </c>
      <c r="C10" s="267" t="str">
        <f>'NET POSITION-PROPRIETARY(18)'!D10</f>
        <v>SEWER</v>
      </c>
      <c r="D10" s="267" t="str">
        <f>'NET POSITION-PROPRIETARY(18)'!E10</f>
        <v>SOLID WASTE</v>
      </c>
      <c r="E10" s="267" t="str">
        <f>'NET POSITION-PROPRIETARY(18)'!F10</f>
        <v>Name</v>
      </c>
      <c r="F10" s="267" t="s">
        <v>1203</v>
      </c>
      <c r="G10" s="267" t="s">
        <v>196</v>
      </c>
      <c r="H10" s="267" t="s">
        <v>199</v>
      </c>
    </row>
    <row r="11" spans="1:8" ht="20.100000000000001" customHeight="1">
      <c r="A11" s="268" t="s">
        <v>48</v>
      </c>
      <c r="B11" s="288"/>
      <c r="C11" s="288"/>
      <c r="D11" s="288"/>
      <c r="E11" s="288"/>
      <c r="F11" s="326"/>
      <c r="G11" s="326"/>
      <c r="H11" s="326"/>
    </row>
    <row r="12" spans="1:8" ht="20.100000000000001" customHeight="1">
      <c r="A12" s="263" t="s">
        <v>43</v>
      </c>
      <c r="B12" s="269">
        <f>'CHANGE NET POSITION-PROP.(19)'!C16</f>
        <v>168442.11</v>
      </c>
      <c r="C12" s="269">
        <f>'CHANGE NET POSITION-PROP.(19)'!D16</f>
        <v>49646.54</v>
      </c>
      <c r="D12" s="269">
        <f>'CHANGE NET POSITION-PROP.(19)'!E16</f>
        <v>45772</v>
      </c>
      <c r="E12" s="269">
        <f>'CHANGE NET POSITION-PROP.(19)'!F16</f>
        <v>0</v>
      </c>
      <c r="F12" s="277">
        <f>+'NONMAJOR ENTERPR. CASH FLOW(81)'!F10</f>
        <v>0</v>
      </c>
      <c r="G12" s="277">
        <f>SUM(B12:F12)</f>
        <v>263860.65000000002</v>
      </c>
      <c r="H12" s="277">
        <f>+'ST. OF CASH FLOWS-INT.SER.(84)'!E10</f>
        <v>0</v>
      </c>
    </row>
    <row r="13" spans="1:8" ht="20.100000000000001" customHeight="1">
      <c r="A13" s="263" t="s">
        <v>44</v>
      </c>
      <c r="B13" s="269">
        <f>-'CHANGE NET POSITION-PROP.(19)'!C20-'CHANGE NET POSITION-PROP.(19)'!C21-'CHANGE NET POSITION-PROP.(19)'!C22-'CHANGE NET POSITION-PROP.(19)'!C23-'CHANGE NET POSITION-PROP.(19)'!C24</f>
        <v>-35855.869999999995</v>
      </c>
      <c r="C13" s="269">
        <f>-'CHANGE NET POSITION-PROP.(19)'!D20-'CHANGE NET POSITION-PROP.(19)'!D21-'CHANGE NET POSITION-PROP.(19)'!D22-'CHANGE NET POSITION-PROP.(19)'!D23-'CHANGE NET POSITION-PROP.(19)'!D24</f>
        <v>-16186.41</v>
      </c>
      <c r="D13" s="269">
        <f>-'CHANGE NET POSITION-PROP.(19)'!E20-'CHANGE NET POSITION-PROP.(19)'!E21-'CHANGE NET POSITION-PROP.(19)'!E22-'CHANGE NET POSITION-PROP.(19)'!E23-'CHANGE NET POSITION-PROP.(19)'!E24</f>
        <v>-8166.4400000000005</v>
      </c>
      <c r="E13" s="269">
        <f>-'CHANGE NET POSITION-PROP.(19)'!F20-'CHANGE NET POSITION-PROP.(19)'!F21-'CHANGE NET POSITION-PROP.(19)'!F22-'CHANGE NET POSITION-PROP.(19)'!F23-'CHANGE NET POSITION-PROP.(19)'!F24</f>
        <v>0</v>
      </c>
      <c r="F13" s="277">
        <f>+'NONMAJOR ENTERPR. CASH FLOW(81)'!F11</f>
        <v>0</v>
      </c>
      <c r="G13" s="277">
        <f>SUM(B13:F13)</f>
        <v>-60208.72</v>
      </c>
      <c r="H13" s="277">
        <f>+'ST. OF CASH FLOWS-INT.SER.(84)'!E11</f>
        <v>0</v>
      </c>
    </row>
    <row r="14" spans="1:8" ht="20.100000000000001" customHeight="1">
      <c r="A14" s="263" t="s">
        <v>45</v>
      </c>
      <c r="B14" s="269">
        <f>-'CHANGE NET POSITION-PROP.(19)'!C19</f>
        <v>-87616.46</v>
      </c>
      <c r="C14" s="269">
        <f>-'CHANGE NET POSITION-PROP.(19)'!D19</f>
        <v>-8927.2199999999993</v>
      </c>
      <c r="D14" s="269">
        <f>-'CHANGE NET POSITION-PROP.(19)'!E19</f>
        <v>-49642.87</v>
      </c>
      <c r="E14" s="269">
        <f>-'CHANGE NET POSITION-PROP.(19)'!F19</f>
        <v>0</v>
      </c>
      <c r="F14" s="277">
        <f>+'NONMAJOR ENTERPR. CASH FLOW(81)'!F12</f>
        <v>0</v>
      </c>
      <c r="G14" s="277">
        <f>SUM(B14:F14)</f>
        <v>-146186.55000000002</v>
      </c>
      <c r="H14" s="277">
        <f>+'ST. OF CASH FLOWS-INT.SER.(84)'!E12</f>
        <v>0</v>
      </c>
    </row>
    <row r="15" spans="1:8" ht="20.100000000000001" customHeight="1">
      <c r="A15" s="263" t="s">
        <v>46</v>
      </c>
      <c r="B15" s="269">
        <v>9239.36</v>
      </c>
      <c r="C15" s="269">
        <v>-349.1</v>
      </c>
      <c r="D15" s="269">
        <v>1054.71</v>
      </c>
      <c r="E15" s="269"/>
      <c r="F15" s="277">
        <f>+'NONMAJOR ENTERPR. CASH FLOW(81)'!F13</f>
        <v>0</v>
      </c>
      <c r="G15" s="277">
        <f>SUM(B15:F15)</f>
        <v>9944.9700000000012</v>
      </c>
      <c r="H15" s="277">
        <f>+'ST. OF CASH FLOWS-INT.SER.(84)'!E13</f>
        <v>0</v>
      </c>
    </row>
    <row r="16" spans="1:8" ht="20.100000000000001" customHeight="1" thickBot="1">
      <c r="A16" s="317" t="s">
        <v>47</v>
      </c>
      <c r="B16" s="271">
        <v>-5906.23</v>
      </c>
      <c r="C16" s="271">
        <v>-2671.69</v>
      </c>
      <c r="D16" s="271">
        <v>-1489</v>
      </c>
      <c r="E16" s="271"/>
      <c r="F16" s="278">
        <f>+'NONMAJOR ENTERPR. CASH FLOW(81)'!F14</f>
        <v>0</v>
      </c>
      <c r="G16" s="278">
        <f>SUM(B16:F16)</f>
        <v>-10066.92</v>
      </c>
      <c r="H16" s="278">
        <f>+'ST. OF CASH FLOWS-INT.SER.(84)'!E14</f>
        <v>0</v>
      </c>
    </row>
    <row r="17" spans="1:8" ht="20.100000000000001" customHeight="1" thickBot="1">
      <c r="A17" s="263" t="s">
        <v>857</v>
      </c>
      <c r="B17" s="278">
        <f>SUM(B11:B16)</f>
        <v>48302.909999999989</v>
      </c>
      <c r="C17" s="278">
        <f t="shared" ref="C17:H17" si="0">SUM(C11:C16)</f>
        <v>21512.120000000006</v>
      </c>
      <c r="D17" s="278">
        <f t="shared" si="0"/>
        <v>-12471.600000000006</v>
      </c>
      <c r="E17" s="278">
        <f t="shared" si="0"/>
        <v>0</v>
      </c>
      <c r="F17" s="278">
        <f t="shared" si="0"/>
        <v>0</v>
      </c>
      <c r="G17" s="278">
        <f t="shared" si="0"/>
        <v>57343.430000000008</v>
      </c>
      <c r="H17" s="278">
        <f t="shared" si="0"/>
        <v>0</v>
      </c>
    </row>
    <row r="18" spans="1:8" ht="30" customHeight="1">
      <c r="A18" s="324" t="s">
        <v>49</v>
      </c>
      <c r="B18" s="269"/>
      <c r="C18" s="269"/>
      <c r="D18" s="269"/>
      <c r="E18" s="269"/>
      <c r="F18" s="277"/>
      <c r="G18" s="277"/>
      <c r="H18" s="277"/>
    </row>
    <row r="19" spans="1:8" ht="20.100000000000001" customHeight="1">
      <c r="A19" s="263" t="s">
        <v>50</v>
      </c>
      <c r="B19" s="269">
        <v>-5143.5</v>
      </c>
      <c r="C19" s="269">
        <v>-150.57</v>
      </c>
      <c r="D19" s="269">
        <f>'CHANGE NET POSITION-PROP.(19)'!E43</f>
        <v>0</v>
      </c>
      <c r="E19" s="269">
        <f>'CHANGE NET POSITION-PROP.(19)'!F43</f>
        <v>0</v>
      </c>
      <c r="F19" s="277">
        <f>+'NONMAJOR ENTERPR. CASH FLOW(81)'!F17</f>
        <v>0</v>
      </c>
      <c r="G19" s="277">
        <f>SUM(B19:F19)</f>
        <v>-5294.07</v>
      </c>
      <c r="H19" s="277">
        <f>+'ST. OF CASH FLOWS-INT.SER.(84)'!E17</f>
        <v>0</v>
      </c>
    </row>
    <row r="20" spans="1:8" ht="20.100000000000001" customHeight="1">
      <c r="A20" s="263" t="s">
        <v>51</v>
      </c>
      <c r="B20" s="269"/>
      <c r="C20" s="269"/>
      <c r="D20" s="269">
        <v>-530.97</v>
      </c>
      <c r="E20" s="269"/>
      <c r="F20" s="277">
        <f>+'NONMAJOR ENTERPR. CASH FLOW(81)'!F18</f>
        <v>0</v>
      </c>
      <c r="G20" s="277">
        <f>SUM(B20:F20)</f>
        <v>-530.97</v>
      </c>
      <c r="H20" s="277">
        <f>+'ST. OF CASH FLOWS-INT.SER.(84)'!E18</f>
        <v>0</v>
      </c>
    </row>
    <row r="21" spans="1:8" ht="20.100000000000001" customHeight="1" thickBot="1">
      <c r="A21" s="263" t="s">
        <v>473</v>
      </c>
      <c r="B21" s="271">
        <f>'CHANGE NET POSITION-PROP.(19)'!C32</f>
        <v>1309.6600000000001</v>
      </c>
      <c r="C21" s="271">
        <f>'CHANGE NET POSITION-PROP.(19)'!D32</f>
        <v>11039.6</v>
      </c>
      <c r="D21" s="271">
        <f>'CHANGE NET POSITION-PROP.(19)'!E32</f>
        <v>660.84</v>
      </c>
      <c r="E21" s="271">
        <f>'CHANGE NET POSITION-PROP.(19)'!F32</f>
        <v>0</v>
      </c>
      <c r="F21" s="278">
        <f>+'NONMAJOR ENTERPR. CASH FLOW(81)'!F19</f>
        <v>0</v>
      </c>
      <c r="G21" s="278">
        <f>SUM(B21:F21)</f>
        <v>13010.1</v>
      </c>
      <c r="H21" s="278">
        <f>+'ST. OF CASH FLOWS-INT.SER.(84)'!E19</f>
        <v>0</v>
      </c>
    </row>
    <row r="22" spans="1:8" ht="30" customHeight="1" thickBot="1">
      <c r="A22" s="325" t="s">
        <v>52</v>
      </c>
      <c r="B22" s="278">
        <f>SUM(B18:B21)</f>
        <v>-3833.84</v>
      </c>
      <c r="C22" s="278">
        <f t="shared" ref="C22:H22" si="1">SUM(C18:C21)</f>
        <v>10889.03</v>
      </c>
      <c r="D22" s="278">
        <f t="shared" si="1"/>
        <v>129.87</v>
      </c>
      <c r="E22" s="278">
        <f t="shared" si="1"/>
        <v>0</v>
      </c>
      <c r="F22" s="278">
        <f t="shared" si="1"/>
        <v>0</v>
      </c>
      <c r="G22" s="278">
        <f t="shared" si="1"/>
        <v>7185.06</v>
      </c>
      <c r="H22" s="278">
        <f t="shared" si="1"/>
        <v>0</v>
      </c>
    </row>
    <row r="23" spans="1:8" ht="30" customHeight="1">
      <c r="A23" s="324" t="s">
        <v>854</v>
      </c>
      <c r="B23" s="269"/>
      <c r="C23" s="269"/>
      <c r="D23" s="269"/>
      <c r="E23" s="269"/>
      <c r="F23" s="277"/>
      <c r="G23" s="277"/>
      <c r="H23" s="277"/>
    </row>
    <row r="24" spans="1:8" ht="20.100000000000001" customHeight="1">
      <c r="A24" s="263" t="s">
        <v>53</v>
      </c>
      <c r="B24" s="269">
        <v>11240.17</v>
      </c>
      <c r="C24" s="269"/>
      <c r="D24" s="269">
        <v>21161.3</v>
      </c>
      <c r="E24" s="269"/>
      <c r="F24" s="277">
        <f>+'NONMAJOR ENTERPR. CASH FLOW(81)'!F22</f>
        <v>0</v>
      </c>
      <c r="G24" s="277">
        <f t="shared" ref="G24:G30" si="2">SUM(B24:F24)</f>
        <v>32401.47</v>
      </c>
      <c r="H24" s="277">
        <f>+'ST. OF CASH FLOWS-INT.SER.(84)'!E22</f>
        <v>0</v>
      </c>
    </row>
    <row r="25" spans="1:8" ht="20.100000000000001" customHeight="1">
      <c r="A25" s="263" t="s">
        <v>54</v>
      </c>
      <c r="B25" s="269">
        <v>-14593.79</v>
      </c>
      <c r="C25" s="269">
        <f>'CHANGE NET POSITION-PROP.(19)'!D42</f>
        <v>0</v>
      </c>
      <c r="D25" s="269">
        <f>'CHANGE NET POSITION-PROP.(19)'!E42</f>
        <v>0</v>
      </c>
      <c r="E25" s="269">
        <f>'CHANGE NET POSITION-PROP.(19)'!F42</f>
        <v>0</v>
      </c>
      <c r="F25" s="277">
        <f>+'NONMAJOR ENTERPR. CASH FLOW(81)'!F23</f>
        <v>0</v>
      </c>
      <c r="G25" s="277">
        <f t="shared" si="2"/>
        <v>-14593.79</v>
      </c>
      <c r="H25" s="277">
        <f>+'ST. OF CASH FLOWS-INT.SER.(84)'!E23</f>
        <v>0</v>
      </c>
    </row>
    <row r="26" spans="1:8" ht="20.100000000000001" customHeight="1">
      <c r="A26" s="263" t="s">
        <v>55</v>
      </c>
      <c r="B26" s="269"/>
      <c r="C26" s="269"/>
      <c r="D26" s="269">
        <v>-6283.82</v>
      </c>
      <c r="E26" s="269"/>
      <c r="F26" s="277">
        <f>+'NONMAJOR ENTERPR. CASH FLOW(81)'!F24</f>
        <v>0</v>
      </c>
      <c r="G26" s="277">
        <f t="shared" si="2"/>
        <v>-6283.82</v>
      </c>
      <c r="H26" s="327">
        <f>+'ST. OF CASH FLOWS-INT.SER.(84)'!E24</f>
        <v>0</v>
      </c>
    </row>
    <row r="27" spans="1:8" ht="20.100000000000001" customHeight="1">
      <c r="A27" s="317" t="s">
        <v>1786</v>
      </c>
      <c r="B27" s="269"/>
      <c r="C27" s="269"/>
      <c r="D27" s="269"/>
      <c r="E27" s="269"/>
      <c r="F27" s="277">
        <f>+'NONMAJOR ENTERPR. CASH FLOW(81)'!F25</f>
        <v>0</v>
      </c>
      <c r="G27" s="277">
        <f t="shared" si="2"/>
        <v>0</v>
      </c>
      <c r="H27" s="327">
        <f>+'ST. OF CASH FLOWS-INT.SER.(84)'!E25</f>
        <v>0</v>
      </c>
    </row>
    <row r="28" spans="1:8" ht="20.100000000000001" customHeight="1">
      <c r="A28" s="263" t="s">
        <v>1787</v>
      </c>
      <c r="B28" s="303">
        <f>'CHANGE NET POSITION-PROP.(19)'!C35</f>
        <v>0</v>
      </c>
      <c r="C28" s="303">
        <f>'CHANGE NET POSITION-PROP.(19)'!D35</f>
        <v>0</v>
      </c>
      <c r="D28" s="303">
        <f>'CHANGE NET POSITION-PROP.(19)'!E35</f>
        <v>0</v>
      </c>
      <c r="E28" s="303">
        <f>'CHANGE NET POSITION-PROP.(19)'!F35</f>
        <v>0</v>
      </c>
      <c r="F28" s="307">
        <f>+'NONMAJOR ENTERPR. CASH FLOW(81)'!F26</f>
        <v>0</v>
      </c>
      <c r="G28" s="277">
        <f t="shared" si="2"/>
        <v>0</v>
      </c>
      <c r="H28" s="307">
        <f>+'ST. OF CASH FLOWS-INT.SER.(84)'!E26</f>
        <v>0</v>
      </c>
    </row>
    <row r="29" spans="1:8" ht="20.100000000000001" customHeight="1">
      <c r="A29" s="263" t="s">
        <v>57</v>
      </c>
      <c r="B29" s="269"/>
      <c r="C29" s="269">
        <v>-1863.26</v>
      </c>
      <c r="D29" s="269"/>
      <c r="E29" s="269"/>
      <c r="F29" s="277">
        <f>+'NONMAJOR ENTERPR. CASH FLOW(81)'!F27</f>
        <v>0</v>
      </c>
      <c r="G29" s="277">
        <f t="shared" si="2"/>
        <v>-1863.26</v>
      </c>
      <c r="H29" s="277">
        <f>+'ST. OF CASH FLOWS-INT.SER.(84)'!E27</f>
        <v>0</v>
      </c>
    </row>
    <row r="30" spans="1:8" ht="20.100000000000001" customHeight="1" thickBot="1">
      <c r="A30" s="263" t="s">
        <v>58</v>
      </c>
      <c r="B30" s="271"/>
      <c r="C30" s="271">
        <v>-7298.36</v>
      </c>
      <c r="D30" s="271"/>
      <c r="E30" s="271"/>
      <c r="F30" s="278">
        <f>+'NONMAJOR ENTERPR. CASH FLOW(81)'!F28</f>
        <v>0</v>
      </c>
      <c r="G30" s="278">
        <f t="shared" si="2"/>
        <v>-7298.36</v>
      </c>
      <c r="H30" s="278">
        <f>+'ST. OF CASH FLOWS-INT.SER.(84)'!E28</f>
        <v>0</v>
      </c>
    </row>
    <row r="31" spans="1:8" ht="30" customHeight="1" thickBot="1">
      <c r="A31" s="325" t="s">
        <v>52</v>
      </c>
      <c r="B31" s="278">
        <f>SUM(B23:B30)</f>
        <v>-3353.6200000000008</v>
      </c>
      <c r="C31" s="278">
        <f t="shared" ref="C31:H31" si="3">SUM(C23:C30)</f>
        <v>-9161.619999999999</v>
      </c>
      <c r="D31" s="278">
        <f t="shared" si="3"/>
        <v>14877.48</v>
      </c>
      <c r="E31" s="278">
        <f t="shared" si="3"/>
        <v>0</v>
      </c>
      <c r="F31" s="278">
        <f t="shared" si="3"/>
        <v>0</v>
      </c>
      <c r="G31" s="278">
        <f t="shared" si="3"/>
        <v>2362.2400000000007</v>
      </c>
      <c r="H31" s="278">
        <f t="shared" si="3"/>
        <v>0</v>
      </c>
    </row>
    <row r="32" spans="1:8" ht="20.100000000000001" customHeight="1">
      <c r="A32" s="268" t="s">
        <v>59</v>
      </c>
      <c r="B32" s="269"/>
      <c r="C32" s="269"/>
      <c r="D32" s="269"/>
      <c r="E32" s="269"/>
      <c r="F32" s="277"/>
      <c r="G32" s="277"/>
      <c r="H32" s="277"/>
    </row>
    <row r="33" spans="1:8" ht="20.100000000000001" customHeight="1">
      <c r="A33" s="263" t="s">
        <v>60</v>
      </c>
      <c r="B33" s="269"/>
      <c r="C33" s="269"/>
      <c r="D33" s="269"/>
      <c r="E33" s="269"/>
      <c r="F33" s="277">
        <f>+'NONMAJOR ENTERPR. CASH FLOW(81)'!F31</f>
        <v>0</v>
      </c>
      <c r="G33" s="277">
        <f>SUM(B33:F33)</f>
        <v>0</v>
      </c>
      <c r="H33" s="277">
        <f>+'ST. OF CASH FLOWS-INT.SER.(84)'!E31</f>
        <v>0</v>
      </c>
    </row>
    <row r="34" spans="1:8" ht="20.100000000000001" customHeight="1">
      <c r="A34" s="263" t="s">
        <v>1788</v>
      </c>
      <c r="B34" s="269">
        <v>40000</v>
      </c>
      <c r="C34" s="269">
        <v>12000</v>
      </c>
      <c r="D34" s="269">
        <v>6000</v>
      </c>
      <c r="E34" s="269"/>
      <c r="F34" s="277">
        <f>+'NONMAJOR ENTERPR. CASH FLOW(81)'!F32</f>
        <v>0</v>
      </c>
      <c r="G34" s="277">
        <f>SUM(B34:F34)</f>
        <v>58000</v>
      </c>
      <c r="H34" s="277">
        <f>+'ST. OF CASH FLOWS-INT.SER.(84)'!E32</f>
        <v>0</v>
      </c>
    </row>
    <row r="35" spans="1:8" ht="20.100000000000001" customHeight="1" thickBot="1">
      <c r="A35" s="263" t="s">
        <v>867</v>
      </c>
      <c r="B35" s="271">
        <f>'CHANGE NET POSITION-PROP.(19)'!C33</f>
        <v>295.60000000000002</v>
      </c>
      <c r="C35" s="271">
        <f>'CHANGE NET POSITION-PROP.(19)'!D33</f>
        <v>86.04</v>
      </c>
      <c r="D35" s="271">
        <f>'CHANGE NET POSITION-PROP.(19)'!E33</f>
        <v>57.12</v>
      </c>
      <c r="E35" s="271">
        <f>'CHANGE NET POSITION-PROP.(19)'!F33</f>
        <v>0</v>
      </c>
      <c r="F35" s="278">
        <f>+'NONMAJOR ENTERPR. CASH FLOW(81)'!F33</f>
        <v>0</v>
      </c>
      <c r="G35" s="278">
        <f>SUM(B35:F35)</f>
        <v>438.76000000000005</v>
      </c>
      <c r="H35" s="278">
        <f>+'ST. OF CASH FLOWS-INT.SER.(84)'!E33</f>
        <v>0</v>
      </c>
    </row>
    <row r="36" spans="1:8" ht="20.100000000000001" customHeight="1" thickBot="1">
      <c r="A36" s="300" t="s">
        <v>868</v>
      </c>
      <c r="B36" s="278">
        <f>SUM(B32:B35)</f>
        <v>40295.599999999999</v>
      </c>
      <c r="C36" s="278">
        <f t="shared" ref="C36:H36" si="4">SUM(C32:C35)</f>
        <v>12086.04</v>
      </c>
      <c r="D36" s="278">
        <f t="shared" si="4"/>
        <v>6057.12</v>
      </c>
      <c r="E36" s="278">
        <f t="shared" si="4"/>
        <v>0</v>
      </c>
      <c r="F36" s="278">
        <f t="shared" si="4"/>
        <v>0</v>
      </c>
      <c r="G36" s="278">
        <f t="shared" si="4"/>
        <v>58438.76</v>
      </c>
      <c r="H36" s="278">
        <f t="shared" si="4"/>
        <v>0</v>
      </c>
    </row>
    <row r="37" spans="1:8" ht="20.100000000000001" customHeight="1">
      <c r="A37" s="300" t="s">
        <v>856</v>
      </c>
      <c r="B37" s="307">
        <f>+B17+B22+B31+B36</f>
        <v>81411.049999999988</v>
      </c>
      <c r="C37" s="307">
        <f t="shared" ref="C37:H37" si="5">+C17+C22+C31+C36</f>
        <v>35325.570000000007</v>
      </c>
      <c r="D37" s="307">
        <f t="shared" si="5"/>
        <v>8592.8699999999953</v>
      </c>
      <c r="E37" s="307">
        <f t="shared" si="5"/>
        <v>0</v>
      </c>
      <c r="F37" s="307">
        <f t="shared" si="5"/>
        <v>0</v>
      </c>
      <c r="G37" s="307">
        <f t="shared" si="5"/>
        <v>125329.49000000002</v>
      </c>
      <c r="H37" s="307">
        <f t="shared" si="5"/>
        <v>0</v>
      </c>
    </row>
    <row r="38" spans="1:8" ht="20.100000000000001" customHeight="1" thickBot="1">
      <c r="A38" s="263" t="s">
        <v>3250</v>
      </c>
      <c r="B38" s="271">
        <v>142583.37</v>
      </c>
      <c r="C38" s="271">
        <v>35706.76</v>
      </c>
      <c r="D38" s="271">
        <v>30691.08</v>
      </c>
      <c r="E38" s="271"/>
      <c r="F38" s="278">
        <f>+'NONMAJOR ENTERPR. CASH FLOW(81)'!F36</f>
        <v>0</v>
      </c>
      <c r="G38" s="278">
        <f>SUM(B38:F38)</f>
        <v>208981.21000000002</v>
      </c>
      <c r="H38" s="278">
        <f>+'ST. OF CASH FLOWS-INT.SER.(84)'!E36</f>
        <v>0</v>
      </c>
    </row>
    <row r="39" spans="1:8" ht="20.100000000000001" customHeight="1" thickBot="1">
      <c r="A39" s="263" t="s">
        <v>3251</v>
      </c>
      <c r="B39" s="280">
        <f>+B37+B38</f>
        <v>223994.41999999998</v>
      </c>
      <c r="C39" s="280">
        <f t="shared" ref="C39:H39" si="6">+C37+C38</f>
        <v>71032.330000000016</v>
      </c>
      <c r="D39" s="280">
        <f t="shared" si="6"/>
        <v>39283.949999999997</v>
      </c>
      <c r="E39" s="280">
        <f t="shared" si="6"/>
        <v>0</v>
      </c>
      <c r="F39" s="280">
        <f t="shared" si="6"/>
        <v>0</v>
      </c>
      <c r="G39" s="280">
        <f t="shared" si="6"/>
        <v>334310.70000000007</v>
      </c>
      <c r="H39" s="280">
        <f t="shared" si="6"/>
        <v>0</v>
      </c>
    </row>
    <row r="40" spans="1:8" ht="20.100000000000001" customHeight="1" thickTop="1">
      <c r="A40" s="263"/>
      <c r="B40" s="269"/>
      <c r="C40" s="269"/>
      <c r="D40" s="269"/>
      <c r="E40" s="269"/>
      <c r="F40" s="277"/>
      <c r="G40" s="277"/>
      <c r="H40" s="277"/>
    </row>
    <row r="41" spans="1:8" ht="30" customHeight="1">
      <c r="A41" s="312" t="s">
        <v>611</v>
      </c>
      <c r="B41" s="269"/>
      <c r="C41" s="269"/>
      <c r="D41" s="269"/>
      <c r="E41" s="269"/>
      <c r="F41" s="277"/>
      <c r="G41" s="277"/>
      <c r="H41" s="277"/>
    </row>
    <row r="42" spans="1:8" ht="20.100000000000001" customHeight="1">
      <c r="A42" s="263" t="s">
        <v>612</v>
      </c>
      <c r="B42" s="277">
        <f>'CHANGE NET POSITION-PROP.(19)'!C28</f>
        <v>39063.549999999974</v>
      </c>
      <c r="C42" s="277">
        <f>'CHANGE NET POSITION-PROP.(19)'!D28</f>
        <v>21861.220000000005</v>
      </c>
      <c r="D42" s="277">
        <f>'CHANGE NET POSITION-PROP.(19)'!E28</f>
        <v>-13526.309999999998</v>
      </c>
      <c r="E42" s="277">
        <f>'CHANGE NET POSITION-PROP.(19)'!F28</f>
        <v>0</v>
      </c>
      <c r="F42" s="277">
        <f>+'NONMAJOR ENTERPR. CASH FLOW(81)'!F40</f>
        <v>0</v>
      </c>
      <c r="G42" s="277">
        <f>SUM(B42:F42)</f>
        <v>47398.459999999977</v>
      </c>
      <c r="H42" s="277">
        <f>+'ST. OF CASH FLOWS-INT.SER.(84)'!E40</f>
        <v>0</v>
      </c>
    </row>
    <row r="43" spans="1:8" ht="30" customHeight="1">
      <c r="A43" s="270" t="s">
        <v>613</v>
      </c>
      <c r="B43" s="269"/>
      <c r="C43" s="269"/>
      <c r="D43" s="269"/>
      <c r="E43" s="269"/>
      <c r="F43" s="277"/>
      <c r="G43" s="277"/>
      <c r="H43" s="277"/>
    </row>
    <row r="44" spans="1:8" ht="20.100000000000001" customHeight="1">
      <c r="A44" s="263" t="s">
        <v>614</v>
      </c>
      <c r="B44" s="269">
        <f>'CHANGE NET POSITION-PROP.(19)'!C25</f>
        <v>5906.23</v>
      </c>
      <c r="C44" s="269">
        <f>'CHANGE NET POSITION-PROP.(19)'!D25</f>
        <v>2671.69</v>
      </c>
      <c r="D44" s="269">
        <f>'CHANGE NET POSITION-PROP.(19)'!E25</f>
        <v>1489</v>
      </c>
      <c r="E44" s="269">
        <f>'CHANGE NET POSITION-PROP.(19)'!F25</f>
        <v>0</v>
      </c>
      <c r="F44" s="277">
        <f>+'NONMAJOR ENTERPR. CASH FLOW(81)'!F42</f>
        <v>0</v>
      </c>
      <c r="G44" s="277">
        <f t="shared" ref="G44:G55" si="7">SUM(B44:F44)</f>
        <v>10066.92</v>
      </c>
      <c r="H44" s="277">
        <f>+'ST. OF CASH FLOWS-INT.SER.(84)'!E42</f>
        <v>0</v>
      </c>
    </row>
    <row r="45" spans="1:8" ht="20.100000000000001" customHeight="1">
      <c r="A45" s="263" t="s">
        <v>615</v>
      </c>
      <c r="B45" s="269">
        <v>3026.98</v>
      </c>
      <c r="C45" s="269">
        <v>-115.24</v>
      </c>
      <c r="D45" s="269">
        <v>-442.63</v>
      </c>
      <c r="E45" s="269"/>
      <c r="F45" s="277">
        <f>+'NONMAJOR ENTERPR. CASH FLOW(81)'!F43</f>
        <v>0</v>
      </c>
      <c r="G45" s="277">
        <f t="shared" si="7"/>
        <v>2469.11</v>
      </c>
      <c r="H45" s="277">
        <f>+'ST. OF CASH FLOWS-INT.SER.(84)'!E43</f>
        <v>0</v>
      </c>
    </row>
    <row r="46" spans="1:8" ht="20.100000000000001" customHeight="1">
      <c r="A46" s="263" t="s">
        <v>616</v>
      </c>
      <c r="B46" s="269"/>
      <c r="C46" s="269"/>
      <c r="D46" s="269"/>
      <c r="E46" s="269"/>
      <c r="F46" s="277">
        <f>+'NONMAJOR ENTERPR. CASH FLOW(81)'!F44</f>
        <v>0</v>
      </c>
      <c r="G46" s="277">
        <f t="shared" si="7"/>
        <v>0</v>
      </c>
      <c r="H46" s="277">
        <f>+'ST. OF CASH FLOWS-INT.SER.(84)'!E44</f>
        <v>0</v>
      </c>
    </row>
    <row r="47" spans="1:8" ht="20.100000000000001" customHeight="1">
      <c r="A47" s="263" t="s">
        <v>3509</v>
      </c>
      <c r="B47" s="269"/>
      <c r="C47" s="269"/>
      <c r="D47" s="269"/>
      <c r="E47" s="269"/>
      <c r="F47" s="277">
        <f>+'NONMAJOR ENTERPR. CASH FLOW(81)'!F45</f>
        <v>0</v>
      </c>
      <c r="G47" s="277">
        <f t="shared" si="7"/>
        <v>0</v>
      </c>
      <c r="H47" s="277">
        <f>+'ST. OF CASH FLOWS-INT.SER.(84)'!E45</f>
        <v>0</v>
      </c>
    </row>
    <row r="48" spans="1:8" ht="20.100000000000001" customHeight="1">
      <c r="A48" s="263" t="s">
        <v>617</v>
      </c>
      <c r="B48" s="269"/>
      <c r="C48" s="269"/>
      <c r="D48" s="269"/>
      <c r="E48" s="269"/>
      <c r="F48" s="277">
        <f>+'NONMAJOR ENTERPR. CASH FLOW(81)'!F46</f>
        <v>0</v>
      </c>
      <c r="G48" s="277">
        <f t="shared" si="7"/>
        <v>0</v>
      </c>
      <c r="H48" s="277">
        <f>+'ST. OF CASH FLOWS-INT.SER.(84)'!E46</f>
        <v>0</v>
      </c>
    </row>
    <row r="49" spans="1:8" ht="20.100000000000001" customHeight="1">
      <c r="A49" s="263" t="s">
        <v>618</v>
      </c>
      <c r="B49" s="269"/>
      <c r="C49" s="269"/>
      <c r="D49" s="269"/>
      <c r="E49" s="269"/>
      <c r="F49" s="277">
        <f>+'NONMAJOR ENTERPR. CASH FLOW(81)'!F47</f>
        <v>0</v>
      </c>
      <c r="G49" s="277">
        <f t="shared" si="7"/>
        <v>0</v>
      </c>
      <c r="H49" s="277">
        <f>+'ST. OF CASH FLOWS-INT.SER.(84)'!E47</f>
        <v>0</v>
      </c>
    </row>
    <row r="50" spans="1:8" ht="20.100000000000001" customHeight="1">
      <c r="A50" s="263" t="s">
        <v>619</v>
      </c>
      <c r="B50" s="269"/>
      <c r="C50" s="269"/>
      <c r="D50" s="269"/>
      <c r="E50" s="269"/>
      <c r="F50" s="277">
        <f>+'NONMAJOR ENTERPR. CASH FLOW(81)'!F48</f>
        <v>0</v>
      </c>
      <c r="G50" s="277">
        <f t="shared" si="7"/>
        <v>0</v>
      </c>
      <c r="H50" s="277">
        <f>+'ST. OF CASH FLOWS-INT.SER.(84)'!E48</f>
        <v>0</v>
      </c>
    </row>
    <row r="51" spans="1:8" ht="20.100000000000001" customHeight="1">
      <c r="A51" s="263" t="s">
        <v>620</v>
      </c>
      <c r="B51" s="269"/>
      <c r="C51" s="269"/>
      <c r="D51" s="269"/>
      <c r="E51" s="269"/>
      <c r="F51" s="277">
        <f>+'NONMAJOR ENTERPR. CASH FLOW(81)'!F49</f>
        <v>0</v>
      </c>
      <c r="G51" s="277">
        <f t="shared" si="7"/>
        <v>0</v>
      </c>
      <c r="H51" s="277">
        <f>+'ST. OF CASH FLOWS-INT.SER.(84)'!E49</f>
        <v>0</v>
      </c>
    </row>
    <row r="52" spans="1:8" ht="20.100000000000001" customHeight="1">
      <c r="A52" s="263" t="s">
        <v>621</v>
      </c>
      <c r="B52" s="269"/>
      <c r="C52" s="269">
        <v>-2290.6999999999998</v>
      </c>
      <c r="D52" s="269"/>
      <c r="E52" s="269"/>
      <c r="F52" s="277">
        <f>+'NONMAJOR ENTERPR. CASH FLOW(81)'!F50</f>
        <v>0</v>
      </c>
      <c r="G52" s="277">
        <f t="shared" si="7"/>
        <v>-2290.6999999999998</v>
      </c>
      <c r="H52" s="277">
        <f>+'ST. OF CASH FLOWS-INT.SER.(84)'!E50</f>
        <v>0</v>
      </c>
    </row>
    <row r="53" spans="1:8" ht="20.100000000000001" customHeight="1">
      <c r="A53" s="263" t="s">
        <v>622</v>
      </c>
      <c r="B53" s="269">
        <v>-456.45</v>
      </c>
      <c r="C53" s="269">
        <v>-456.45</v>
      </c>
      <c r="D53" s="269">
        <v>-456.45</v>
      </c>
      <c r="E53" s="269"/>
      <c r="F53" s="277">
        <f>+'NONMAJOR ENTERPR. CASH FLOW(81)'!F51</f>
        <v>0</v>
      </c>
      <c r="G53" s="277">
        <f t="shared" si="7"/>
        <v>-1369.35</v>
      </c>
      <c r="H53" s="277">
        <f>+'ST. OF CASH FLOWS-INT.SER.(84)'!E51</f>
        <v>0</v>
      </c>
    </row>
    <row r="54" spans="1:8" ht="20.100000000000001" customHeight="1">
      <c r="A54" s="263" t="s">
        <v>623</v>
      </c>
      <c r="B54" s="269">
        <v>762.6</v>
      </c>
      <c r="C54" s="269">
        <v>-158.4</v>
      </c>
      <c r="D54" s="269">
        <v>464.79</v>
      </c>
      <c r="E54" s="269"/>
      <c r="F54" s="277">
        <f>+'NONMAJOR ENTERPR. CASH FLOW(81)'!F52</f>
        <v>0</v>
      </c>
      <c r="G54" s="277">
        <f t="shared" si="7"/>
        <v>1068.99</v>
      </c>
      <c r="H54" s="277">
        <f>+'ST. OF CASH FLOWS-INT.SER.(84)'!E52</f>
        <v>0</v>
      </c>
    </row>
    <row r="55" spans="1:8" ht="20.100000000000001" customHeight="1" thickBot="1">
      <c r="A55" s="263" t="s">
        <v>3510</v>
      </c>
      <c r="B55" s="271"/>
      <c r="C55" s="271"/>
      <c r="D55" s="271"/>
      <c r="E55" s="271"/>
      <c r="F55" s="278">
        <f>+'NONMAJOR ENTERPR. CASH FLOW(81)'!F53</f>
        <v>0</v>
      </c>
      <c r="G55" s="278">
        <f t="shared" si="7"/>
        <v>0</v>
      </c>
      <c r="H55" s="278">
        <f>+'ST. OF CASH FLOWS-INT.SER.(84)'!E53</f>
        <v>0</v>
      </c>
    </row>
    <row r="56" spans="1:8" ht="20.100000000000001" customHeight="1" thickBot="1">
      <c r="A56" s="263" t="s">
        <v>650</v>
      </c>
      <c r="B56" s="280">
        <f t="shared" ref="B56:H56" si="8">SUM(B44:B55)</f>
        <v>9239.3599999999988</v>
      </c>
      <c r="C56" s="280">
        <f t="shared" si="8"/>
        <v>-349.09999999999957</v>
      </c>
      <c r="D56" s="280">
        <f t="shared" si="8"/>
        <v>1054.7099999999998</v>
      </c>
      <c r="E56" s="280">
        <f t="shared" si="8"/>
        <v>0</v>
      </c>
      <c r="F56" s="280">
        <f t="shared" si="8"/>
        <v>0</v>
      </c>
      <c r="G56" s="280">
        <f t="shared" si="8"/>
        <v>9944.9700000000012</v>
      </c>
      <c r="H56" s="279">
        <f t="shared" si="8"/>
        <v>0</v>
      </c>
    </row>
    <row r="57" spans="1:8" ht="20.100000000000001" customHeight="1" thickTop="1" thickBot="1">
      <c r="A57" s="263" t="s">
        <v>855</v>
      </c>
      <c r="B57" s="280">
        <f t="shared" ref="B57:H57" si="9">+B42+B56</f>
        <v>48302.909999999974</v>
      </c>
      <c r="C57" s="280">
        <f t="shared" si="9"/>
        <v>21512.120000000006</v>
      </c>
      <c r="D57" s="280">
        <f t="shared" si="9"/>
        <v>-12471.599999999999</v>
      </c>
      <c r="E57" s="280">
        <f t="shared" si="9"/>
        <v>0</v>
      </c>
      <c r="F57" s="280">
        <f t="shared" si="9"/>
        <v>0</v>
      </c>
      <c r="G57" s="280">
        <f t="shared" si="9"/>
        <v>57343.429999999978</v>
      </c>
      <c r="H57" s="299">
        <f t="shared" si="9"/>
        <v>0</v>
      </c>
    </row>
    <row r="58" spans="1:8" ht="20.100000000000001" customHeight="1" thickTop="1">
      <c r="A58" s="263"/>
      <c r="B58" s="269"/>
      <c r="C58" s="269"/>
      <c r="D58" s="269"/>
      <c r="E58" s="269"/>
      <c r="F58" s="277"/>
      <c r="G58" s="277"/>
      <c r="H58" s="277"/>
    </row>
    <row r="59" spans="1:8" ht="20.100000000000001" customHeight="1">
      <c r="A59" s="268" t="s">
        <v>858</v>
      </c>
      <c r="B59" s="269"/>
      <c r="C59" s="269"/>
      <c r="D59" s="269"/>
      <c r="E59" s="269"/>
      <c r="F59" s="277"/>
      <c r="G59" s="277"/>
      <c r="H59" s="277"/>
    </row>
    <row r="60" spans="1:8" ht="20.100000000000001" customHeight="1">
      <c r="A60" s="263" t="s">
        <v>859</v>
      </c>
      <c r="B60" s="269"/>
      <c r="C60" s="269"/>
      <c r="D60" s="269"/>
      <c r="E60" s="269"/>
      <c r="F60" s="277">
        <f>+'NONMAJOR ENTERPR. CASH FLOW(81)'!F58</f>
        <v>0</v>
      </c>
      <c r="G60" s="277">
        <f>SUM(B60:F60)</f>
        <v>0</v>
      </c>
      <c r="H60" s="277">
        <f>+'ST. OF CASH FLOWS-INT.SER.(84)'!E58</f>
        <v>0</v>
      </c>
    </row>
    <row r="61" spans="1:8" ht="20.100000000000001" customHeight="1">
      <c r="A61" s="263" t="s">
        <v>860</v>
      </c>
      <c r="B61" s="269"/>
      <c r="C61" s="269"/>
      <c r="D61" s="269"/>
      <c r="E61" s="269"/>
      <c r="F61" s="277">
        <f>+'NONMAJOR ENTERPR. CASH FLOW(81)'!F59</f>
        <v>0</v>
      </c>
      <c r="G61" s="277">
        <f>SUM(B61:F61)</f>
        <v>0</v>
      </c>
      <c r="H61" s="277">
        <f>+'ST. OF CASH FLOWS-INT.SER.(84)'!E59</f>
        <v>0</v>
      </c>
    </row>
    <row r="62" spans="1:8" ht="20.100000000000001" customHeight="1">
      <c r="A62" s="263" t="s">
        <v>861</v>
      </c>
      <c r="B62" s="269"/>
      <c r="C62" s="269"/>
      <c r="D62" s="269"/>
      <c r="E62" s="269"/>
      <c r="F62" s="277">
        <f>+'NONMAJOR ENTERPR. CASH FLOW(81)'!F60</f>
        <v>0</v>
      </c>
      <c r="G62" s="277">
        <f>SUM(B62:F62)</f>
        <v>0</v>
      </c>
      <c r="H62" s="277">
        <f>+'ST. OF CASH FLOWS-INT.SER.(84)'!E60</f>
        <v>0</v>
      </c>
    </row>
    <row r="63" spans="1:8" ht="20.100000000000001" customHeight="1">
      <c r="A63" s="263" t="s">
        <v>862</v>
      </c>
      <c r="B63" s="269"/>
      <c r="C63" s="269"/>
      <c r="D63" s="269"/>
      <c r="E63" s="269"/>
      <c r="F63" s="277">
        <f>+'NONMAJOR ENTERPR. CASH FLOW(81)'!F61</f>
        <v>0</v>
      </c>
      <c r="G63" s="277">
        <f>SUM(B63:F63)</f>
        <v>0</v>
      </c>
      <c r="H63" s="277">
        <f>+'ST. OF CASH FLOWS-INT.SER.(84)'!E61</f>
        <v>0</v>
      </c>
    </row>
    <row r="64" spans="1:8" ht="20.100000000000001" customHeight="1">
      <c r="A64" s="263" t="s">
        <v>863</v>
      </c>
      <c r="B64" s="269"/>
      <c r="C64" s="269"/>
      <c r="D64" s="269"/>
      <c r="E64" s="269"/>
      <c r="F64" s="277">
        <f>+'NONMAJOR ENTERPR. CASH FLOW(81)'!F62</f>
        <v>0</v>
      </c>
      <c r="G64" s="277">
        <f>SUM(B64:F64)</f>
        <v>0</v>
      </c>
      <c r="H64" s="277">
        <f>+'ST. OF CASH FLOWS-INT.SER.(84)'!E62</f>
        <v>0</v>
      </c>
    </row>
    <row r="65" spans="1:8" ht="20.100000000000001" customHeight="1">
      <c r="A65" s="263"/>
      <c r="B65" s="288"/>
      <c r="C65" s="288"/>
      <c r="D65" s="288"/>
      <c r="E65" s="288"/>
      <c r="F65" s="288"/>
      <c r="G65" s="288"/>
      <c r="H65" s="288"/>
    </row>
    <row r="66" spans="1:8" ht="20.100000000000001" customHeight="1">
      <c r="A66" s="274" t="s">
        <v>1412</v>
      </c>
      <c r="B66" s="282"/>
      <c r="C66" s="282"/>
      <c r="D66" s="282"/>
      <c r="E66" s="282"/>
      <c r="F66" s="282"/>
      <c r="G66" s="282"/>
      <c r="H66" s="282"/>
    </row>
    <row r="67" spans="1:8" ht="20.100000000000001" customHeight="1">
      <c r="A67" s="263"/>
      <c r="B67" s="263"/>
      <c r="C67" s="263"/>
      <c r="D67" s="263"/>
      <c r="E67" s="263"/>
      <c r="F67" s="263"/>
      <c r="G67" s="263"/>
      <c r="H67" s="263"/>
    </row>
    <row r="68" spans="1:8" ht="20.100000000000001" customHeight="1">
      <c r="A68" s="263"/>
      <c r="B68" s="263"/>
      <c r="C68" s="263"/>
      <c r="D68" s="263"/>
      <c r="E68" s="263"/>
      <c r="F68" s="263"/>
      <c r="G68" s="263"/>
      <c r="H68" s="263"/>
    </row>
    <row r="69" spans="1:8" ht="20.100000000000001" customHeight="1">
      <c r="A69" s="263"/>
      <c r="B69" s="263"/>
      <c r="C69" s="263"/>
      <c r="D69" s="263"/>
      <c r="E69" s="263"/>
      <c r="F69" s="263"/>
      <c r="G69" s="263"/>
      <c r="H69" s="263"/>
    </row>
    <row r="70" spans="1:8" ht="20.100000000000001" customHeight="1">
      <c r="A70" s="263"/>
      <c r="B70" s="263"/>
      <c r="C70" s="263"/>
      <c r="D70" s="263"/>
      <c r="E70" s="263"/>
      <c r="F70" s="263"/>
      <c r="G70" s="263"/>
      <c r="H70" s="263"/>
    </row>
    <row r="71" spans="1:8" ht="15">
      <c r="A71" s="263"/>
      <c r="B71" s="263"/>
      <c r="C71" s="263"/>
      <c r="D71" s="263"/>
      <c r="E71" s="263"/>
      <c r="F71" s="263"/>
      <c r="G71" s="263"/>
      <c r="H71" s="263"/>
    </row>
    <row r="72" spans="1:8" ht="15">
      <c r="A72" s="263"/>
      <c r="B72" s="263"/>
      <c r="C72" s="263"/>
      <c r="D72" s="263"/>
      <c r="E72" s="263"/>
      <c r="F72" s="263"/>
      <c r="G72" s="263"/>
      <c r="H72" s="263"/>
    </row>
    <row r="73" spans="1:8" ht="15">
      <c r="A73" s="263"/>
      <c r="B73" s="263"/>
      <c r="C73" s="263"/>
      <c r="D73" s="263"/>
      <c r="E73" s="263"/>
      <c r="F73" s="263"/>
      <c r="G73" s="263"/>
      <c r="H73" s="263"/>
    </row>
    <row r="74" spans="1:8" ht="15">
      <c r="A74" s="263"/>
      <c r="B74" s="263"/>
      <c r="C74" s="263"/>
      <c r="D74" s="263"/>
      <c r="E74" s="263"/>
      <c r="F74" s="263"/>
      <c r="G74" s="263"/>
      <c r="H74" s="263"/>
    </row>
    <row r="75" spans="1:8" ht="15">
      <c r="A75" s="263"/>
      <c r="B75" s="263"/>
      <c r="C75" s="263"/>
      <c r="D75" s="263"/>
      <c r="E75" s="263"/>
      <c r="F75" s="263"/>
      <c r="G75" s="263"/>
      <c r="H75" s="263"/>
    </row>
  </sheetData>
  <sheetProtection password="D950" sheet="1" scenarios="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1"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G131"/>
  <sheetViews>
    <sheetView zoomScaleNormal="100" workbookViewId="0">
      <pane xSplit="3" ySplit="11" topLeftCell="D29" activePane="bottomRight" state="frozen"/>
      <selection activeCell="A53" sqref="A53:K53"/>
      <selection pane="topRight" activeCell="A53" sqref="A53:K53"/>
      <selection pane="bottomLeft" activeCell="A53" sqref="A53:K53"/>
      <selection pane="bottomRight" activeCell="E1" sqref="E1"/>
    </sheetView>
  </sheetViews>
  <sheetFormatPr defaultColWidth="8.85546875" defaultRowHeight="12.75"/>
  <cols>
    <col min="1" max="1" width="4.7109375" style="261" customWidth="1"/>
    <col min="2" max="2" width="12.7109375" style="261" customWidth="1"/>
    <col min="3" max="3" width="60.7109375" style="261" customWidth="1"/>
    <col min="4" max="7" width="20.7109375" style="261" customWidth="1"/>
    <col min="8" max="16384" width="8.85546875" style="261"/>
  </cols>
  <sheetData>
    <row r="1" spans="1:7" ht="24" customHeight="1">
      <c r="A1" s="308"/>
      <c r="B1" s="699"/>
      <c r="C1" s="866" t="str">
        <f>+'GW-STATEMENT NET POSITION(13)'!A1</f>
        <v>TOWN OF BROADUS</v>
      </c>
      <c r="D1" s="699"/>
      <c r="E1" s="699"/>
      <c r="F1" s="699"/>
      <c r="G1" s="699"/>
    </row>
    <row r="2" spans="1:7" ht="24" customHeight="1">
      <c r="A2" s="308"/>
      <c r="B2" s="699"/>
      <c r="C2" s="866" t="s">
        <v>1806</v>
      </c>
      <c r="D2" s="699"/>
      <c r="E2" s="699"/>
      <c r="F2" s="699"/>
      <c r="G2" s="699"/>
    </row>
    <row r="3" spans="1:7" ht="24" customHeight="1">
      <c r="A3" s="308"/>
      <c r="B3" s="699"/>
      <c r="C3" s="866" t="s">
        <v>849</v>
      </c>
      <c r="D3" s="699"/>
      <c r="E3" s="699"/>
      <c r="F3" s="699"/>
      <c r="G3" s="699"/>
    </row>
    <row r="4" spans="1:7" ht="24" customHeight="1">
      <c r="A4" s="308"/>
      <c r="B4" s="699"/>
      <c r="C4" s="867" t="str">
        <f>+'GW-STATEMENT NET POSITION(13)'!A3</f>
        <v>FISCAL YEAR ENDING JUNE 30, 2017</v>
      </c>
      <c r="D4" s="699"/>
      <c r="E4" s="699"/>
      <c r="F4" s="699"/>
      <c r="G4" s="699"/>
    </row>
    <row r="5" spans="1:7" ht="14.25" customHeight="1">
      <c r="C5" s="262"/>
    </row>
    <row r="6" spans="1:7" ht="11.25" hidden="1" customHeight="1">
      <c r="C6" s="262"/>
      <c r="D6" s="328"/>
      <c r="E6" s="329"/>
      <c r="F6" s="329"/>
      <c r="G6" s="329"/>
    </row>
    <row r="7" spans="1:7" ht="24" customHeight="1" thickBot="1">
      <c r="D7" s="264" t="s">
        <v>679</v>
      </c>
      <c r="E7" s="330"/>
      <c r="F7" s="318"/>
      <c r="G7" s="267" t="s">
        <v>853</v>
      </c>
    </row>
    <row r="8" spans="1:7" ht="24" customHeight="1">
      <c r="B8" s="263"/>
      <c r="C8" s="263"/>
      <c r="D8" s="328" t="s">
        <v>680</v>
      </c>
      <c r="E8" s="440" t="s">
        <v>686</v>
      </c>
      <c r="F8" s="440" t="s">
        <v>683</v>
      </c>
      <c r="G8" s="941"/>
    </row>
    <row r="9" spans="1:7" ht="24" customHeight="1">
      <c r="B9" s="266" t="s">
        <v>177</v>
      </c>
      <c r="C9" s="266"/>
      <c r="D9" s="777" t="s">
        <v>679</v>
      </c>
      <c r="E9" s="777" t="s">
        <v>679</v>
      </c>
      <c r="F9" s="777" t="s">
        <v>679</v>
      </c>
      <c r="G9" s="777" t="s">
        <v>729</v>
      </c>
    </row>
    <row r="10" spans="1:7" ht="24" customHeight="1" thickBot="1">
      <c r="B10" s="267" t="s">
        <v>178</v>
      </c>
      <c r="C10" s="267" t="s">
        <v>179</v>
      </c>
      <c r="D10" s="267" t="s">
        <v>681</v>
      </c>
      <c r="E10" s="267" t="s">
        <v>682</v>
      </c>
      <c r="F10" s="267" t="s">
        <v>684</v>
      </c>
      <c r="G10" s="267" t="s">
        <v>685</v>
      </c>
    </row>
    <row r="11" spans="1:7" ht="24" customHeight="1">
      <c r="B11" s="300"/>
      <c r="C11" s="268" t="s">
        <v>1060</v>
      </c>
      <c r="D11" s="288"/>
      <c r="E11" s="288"/>
      <c r="F11" s="288"/>
      <c r="G11" s="288"/>
    </row>
    <row r="12" spans="1:7" ht="24" customHeight="1">
      <c r="B12" s="301">
        <v>101000</v>
      </c>
      <c r="C12" s="263" t="s">
        <v>1061</v>
      </c>
      <c r="D12" s="269"/>
      <c r="E12" s="269"/>
      <c r="F12" s="269"/>
      <c r="G12" s="269">
        <v>35153.99</v>
      </c>
    </row>
    <row r="13" spans="1:7" ht="24" customHeight="1">
      <c r="B13" s="301"/>
      <c r="C13" s="263" t="s">
        <v>850</v>
      </c>
      <c r="D13" s="277"/>
      <c r="E13" s="277"/>
      <c r="F13" s="277"/>
      <c r="G13" s="277"/>
    </row>
    <row r="14" spans="1:7" ht="27.95" customHeight="1">
      <c r="B14" s="332">
        <v>110000</v>
      </c>
      <c r="C14" s="270" t="s">
        <v>1208</v>
      </c>
      <c r="D14" s="269"/>
      <c r="E14" s="269"/>
      <c r="F14" s="269"/>
      <c r="G14" s="269"/>
    </row>
    <row r="15" spans="1:7" ht="27.95" customHeight="1">
      <c r="B15" s="301">
        <v>120000</v>
      </c>
      <c r="C15" s="270" t="s">
        <v>665</v>
      </c>
      <c r="D15" s="269"/>
      <c r="E15" s="269"/>
      <c r="F15" s="269"/>
      <c r="G15" s="269"/>
    </row>
    <row r="16" spans="1:7" ht="24" customHeight="1">
      <c r="B16" s="301">
        <v>128000</v>
      </c>
      <c r="C16" s="263" t="s">
        <v>851</v>
      </c>
      <c r="D16" s="269"/>
      <c r="E16" s="269"/>
      <c r="F16" s="269"/>
      <c r="G16" s="269"/>
    </row>
    <row r="17" spans="1:7" ht="24" customHeight="1">
      <c r="B17" s="301">
        <v>101100</v>
      </c>
      <c r="C17" s="263" t="s">
        <v>852</v>
      </c>
      <c r="D17" s="269"/>
      <c r="E17" s="269"/>
      <c r="F17" s="269"/>
      <c r="G17" s="269"/>
    </row>
    <row r="18" spans="1:7" ht="24" customHeight="1" thickBot="1">
      <c r="A18" s="289"/>
      <c r="B18" s="301"/>
      <c r="C18" s="411"/>
      <c r="D18" s="278"/>
      <c r="E18" s="278"/>
      <c r="F18" s="278"/>
      <c r="G18" s="278"/>
    </row>
    <row r="19" spans="1:7" ht="24" customHeight="1" thickBot="1">
      <c r="B19" s="301"/>
      <c r="C19" s="430" t="s">
        <v>1069</v>
      </c>
      <c r="D19" s="279">
        <f>SUM(D11:D18)</f>
        <v>0</v>
      </c>
      <c r="E19" s="279">
        <f>SUM(E11:E18)</f>
        <v>0</v>
      </c>
      <c r="F19" s="279">
        <f>SUM(F11:F18)</f>
        <v>0</v>
      </c>
      <c r="G19" s="279">
        <f>SUM(G11:G18)</f>
        <v>35153.99</v>
      </c>
    </row>
    <row r="20" spans="1:7" ht="24" customHeight="1" thickBot="1">
      <c r="B20" s="301"/>
      <c r="C20" s="430"/>
      <c r="D20" s="279"/>
      <c r="E20" s="279"/>
      <c r="F20" s="279"/>
      <c r="G20" s="279"/>
    </row>
    <row r="21" spans="1:7" ht="24" customHeight="1" thickBot="1">
      <c r="B21" s="301">
        <v>190000</v>
      </c>
      <c r="C21" s="319" t="s">
        <v>1914</v>
      </c>
      <c r="D21" s="272"/>
      <c r="E21" s="272"/>
      <c r="F21" s="272"/>
      <c r="G21" s="272"/>
    </row>
    <row r="22" spans="1:7" ht="24" customHeight="1">
      <c r="B22" s="301"/>
      <c r="C22" s="263"/>
      <c r="D22" s="277"/>
      <c r="E22" s="277"/>
      <c r="F22" s="277"/>
      <c r="G22" s="277"/>
    </row>
    <row r="23" spans="1:7" ht="24" customHeight="1">
      <c r="B23" s="301"/>
      <c r="C23" s="268" t="s">
        <v>1070</v>
      </c>
      <c r="D23" s="277"/>
      <c r="E23" s="277"/>
      <c r="F23" s="277"/>
      <c r="G23" s="277"/>
    </row>
    <row r="24" spans="1:7" ht="24" customHeight="1">
      <c r="B24" s="301">
        <v>201100</v>
      </c>
      <c r="C24" s="263" t="s">
        <v>728</v>
      </c>
      <c r="D24" s="269"/>
      <c r="E24" s="269"/>
      <c r="F24" s="269"/>
      <c r="G24" s="269">
        <v>34475.99</v>
      </c>
    </row>
    <row r="25" spans="1:7" ht="24" customHeight="1">
      <c r="B25" s="301">
        <v>202100</v>
      </c>
      <c r="C25" s="263" t="s">
        <v>205</v>
      </c>
      <c r="D25" s="269"/>
      <c r="E25" s="269"/>
      <c r="F25" s="269"/>
      <c r="G25" s="269"/>
    </row>
    <row r="26" spans="1:7" ht="24" customHeight="1">
      <c r="B26" s="301">
        <v>203100</v>
      </c>
      <c r="C26" s="263" t="s">
        <v>288</v>
      </c>
      <c r="D26" s="269"/>
      <c r="E26" s="269"/>
      <c r="F26" s="269"/>
      <c r="G26" s="269"/>
    </row>
    <row r="27" spans="1:7" ht="24" customHeight="1">
      <c r="B27" s="301">
        <v>204100</v>
      </c>
      <c r="C27" s="263" t="s">
        <v>289</v>
      </c>
      <c r="D27" s="269"/>
      <c r="E27" s="269"/>
      <c r="F27" s="269"/>
      <c r="G27" s="269"/>
    </row>
    <row r="28" spans="1:7" ht="24" customHeight="1">
      <c r="B28" s="301">
        <v>211000</v>
      </c>
      <c r="C28" s="263" t="s">
        <v>1182</v>
      </c>
      <c r="D28" s="269"/>
      <c r="E28" s="269"/>
      <c r="F28" s="269"/>
      <c r="G28" s="269"/>
    </row>
    <row r="29" spans="1:7" ht="24" customHeight="1">
      <c r="B29" s="301">
        <v>212000</v>
      </c>
      <c r="C29" s="263" t="s">
        <v>1204</v>
      </c>
      <c r="D29" s="303"/>
      <c r="E29" s="303"/>
      <c r="F29" s="303"/>
      <c r="G29" s="303">
        <v>678</v>
      </c>
    </row>
    <row r="30" spans="1:7" ht="24" customHeight="1" thickBot="1">
      <c r="B30" s="301">
        <v>216000</v>
      </c>
      <c r="C30" s="263" t="s">
        <v>2092</v>
      </c>
      <c r="D30" s="271"/>
      <c r="E30" s="271"/>
      <c r="F30" s="271"/>
      <c r="G30" s="271"/>
    </row>
    <row r="31" spans="1:7" ht="24" customHeight="1" thickBot="1">
      <c r="B31" s="301"/>
      <c r="C31" s="430" t="s">
        <v>1074</v>
      </c>
      <c r="D31" s="279">
        <f>SUM(D23:D29)</f>
        <v>0</v>
      </c>
      <c r="E31" s="279">
        <f>SUM(E23:E29)</f>
        <v>0</v>
      </c>
      <c r="F31" s="279">
        <f>SUM(F23:F29)</f>
        <v>0</v>
      </c>
      <c r="G31" s="279">
        <f>SUM(G23:G29)</f>
        <v>35153.99</v>
      </c>
    </row>
    <row r="32" spans="1:7" ht="24" customHeight="1" thickBot="1">
      <c r="B32" s="301"/>
      <c r="C32" s="430"/>
      <c r="D32" s="279"/>
      <c r="E32" s="279"/>
      <c r="F32" s="279"/>
      <c r="G32" s="279"/>
    </row>
    <row r="33" spans="2:7" ht="24" customHeight="1" thickBot="1">
      <c r="B33" s="301">
        <v>220000</v>
      </c>
      <c r="C33" s="319" t="s">
        <v>1908</v>
      </c>
      <c r="D33" s="272"/>
      <c r="E33" s="272"/>
      <c r="F33" s="272"/>
      <c r="G33" s="272"/>
    </row>
    <row r="34" spans="2:7" ht="24" customHeight="1">
      <c r="B34" s="301"/>
      <c r="C34" s="319"/>
      <c r="D34" s="277"/>
      <c r="E34" s="277"/>
      <c r="F34" s="277"/>
      <c r="G34" s="277"/>
    </row>
    <row r="35" spans="2:7" ht="24" customHeight="1" thickBot="1">
      <c r="B35" s="301"/>
      <c r="C35" s="268" t="s">
        <v>1801</v>
      </c>
      <c r="D35" s="277"/>
      <c r="E35" s="277"/>
      <c r="F35" s="277"/>
      <c r="G35" s="307"/>
    </row>
    <row r="36" spans="2:7" ht="24" customHeight="1" thickBot="1">
      <c r="B36" s="301"/>
      <c r="C36" s="317" t="s">
        <v>727</v>
      </c>
      <c r="D36" s="280">
        <f>+D19+D21-D31-D33</f>
        <v>0</v>
      </c>
      <c r="E36" s="280">
        <f t="shared" ref="E36:F36" si="0">+E19+E21-E31-E33</f>
        <v>0</v>
      </c>
      <c r="F36" s="280">
        <f t="shared" si="0"/>
        <v>0</v>
      </c>
      <c r="G36" s="303"/>
    </row>
    <row r="37" spans="2:7" ht="24" customHeight="1" thickTop="1">
      <c r="B37" s="301"/>
      <c r="C37" s="534" t="s">
        <v>2725</v>
      </c>
      <c r="D37" s="552">
        <f>D36-'CHANGE NET POSITION-FIDUC(22)'!D34</f>
        <v>0</v>
      </c>
      <c r="E37" s="552">
        <f>E36-'CHANGE NET POSITION-FIDUC(22)'!E34</f>
        <v>0</v>
      </c>
      <c r="F37" s="552">
        <f>F36-'CHANGE NET POSITION-FIDUC(22)'!F34</f>
        <v>0</v>
      </c>
      <c r="G37" s="263"/>
    </row>
    <row r="38" spans="2:7" ht="24" customHeight="1">
      <c r="B38" s="301"/>
      <c r="C38" s="263"/>
      <c r="D38" s="263"/>
      <c r="E38" s="263"/>
      <c r="F38" s="263"/>
      <c r="G38" s="263"/>
    </row>
    <row r="39" spans="2:7" ht="24" customHeight="1">
      <c r="B39" s="301"/>
      <c r="C39" s="263"/>
      <c r="D39" s="422" t="s">
        <v>1413</v>
      </c>
      <c r="E39" s="263"/>
      <c r="F39" s="263"/>
      <c r="G39" s="263"/>
    </row>
    <row r="40" spans="2:7" ht="24" customHeight="1">
      <c r="B40" s="301"/>
      <c r="C40" s="263"/>
      <c r="D40" s="263"/>
      <c r="E40" s="263"/>
      <c r="F40" s="263"/>
      <c r="G40" s="263"/>
    </row>
    <row r="41" spans="2:7" ht="24" customHeight="1">
      <c r="B41" s="301"/>
      <c r="C41" s="263"/>
      <c r="D41" s="263"/>
      <c r="E41" s="263"/>
      <c r="F41" s="263"/>
      <c r="G41" s="263"/>
    </row>
    <row r="42" spans="2:7" ht="24" customHeight="1">
      <c r="B42" s="301"/>
      <c r="C42" s="263"/>
      <c r="D42" s="263"/>
      <c r="E42" s="263"/>
      <c r="F42" s="263"/>
      <c r="G42" s="263"/>
    </row>
    <row r="43" spans="2:7" ht="24" customHeight="1">
      <c r="B43" s="301"/>
      <c r="C43" s="263"/>
      <c r="D43" s="263"/>
      <c r="E43" s="263"/>
      <c r="F43" s="263"/>
      <c r="G43" s="263"/>
    </row>
    <row r="44" spans="2:7" ht="24" customHeight="1">
      <c r="B44" s="301"/>
      <c r="C44" s="263"/>
      <c r="D44" s="263"/>
      <c r="E44" s="263"/>
      <c r="F44" s="263"/>
      <c r="G44" s="263"/>
    </row>
    <row r="45" spans="2:7" ht="24" customHeight="1">
      <c r="B45" s="301"/>
      <c r="C45" s="263"/>
      <c r="D45" s="263"/>
      <c r="E45" s="263"/>
      <c r="F45" s="263"/>
      <c r="G45" s="263"/>
    </row>
    <row r="46" spans="2:7" ht="15">
      <c r="B46" s="301"/>
      <c r="C46" s="263"/>
      <c r="D46" s="263"/>
      <c r="E46" s="263"/>
      <c r="F46" s="263"/>
      <c r="G46" s="263"/>
    </row>
    <row r="47" spans="2:7" ht="15">
      <c r="B47" s="301"/>
      <c r="C47" s="263"/>
      <c r="D47" s="263"/>
      <c r="E47" s="263"/>
      <c r="F47" s="263"/>
      <c r="G47" s="263"/>
    </row>
    <row r="48" spans="2:7" ht="15">
      <c r="B48" s="301"/>
      <c r="C48" s="263"/>
      <c r="D48" s="263"/>
      <c r="E48" s="263"/>
      <c r="F48" s="263"/>
      <c r="G48" s="263"/>
    </row>
    <row r="49" spans="2:7" ht="15">
      <c r="B49" s="301"/>
      <c r="C49" s="263"/>
      <c r="D49" s="263"/>
      <c r="E49" s="263"/>
      <c r="F49" s="263"/>
      <c r="G49" s="263"/>
    </row>
    <row r="50" spans="2:7" ht="15">
      <c r="B50" s="301"/>
      <c r="C50" s="263"/>
      <c r="D50" s="263"/>
      <c r="E50" s="263"/>
      <c r="F50" s="263"/>
      <c r="G50" s="263"/>
    </row>
    <row r="51" spans="2:7" ht="15">
      <c r="B51" s="301"/>
      <c r="C51" s="263"/>
      <c r="D51" s="263"/>
      <c r="E51" s="263"/>
      <c r="F51" s="263"/>
      <c r="G51" s="263"/>
    </row>
    <row r="52" spans="2:7" ht="15">
      <c r="B52" s="301"/>
      <c r="C52" s="263"/>
      <c r="D52" s="263"/>
      <c r="E52" s="263"/>
      <c r="F52" s="263"/>
      <c r="G52" s="263"/>
    </row>
    <row r="53" spans="2:7" ht="15">
      <c r="B53" s="301"/>
      <c r="C53" s="263"/>
      <c r="D53" s="263"/>
      <c r="E53" s="263"/>
      <c r="F53" s="263"/>
      <c r="G53" s="263"/>
    </row>
    <row r="54" spans="2:7" ht="15">
      <c r="B54" s="301"/>
      <c r="C54" s="263"/>
      <c r="D54" s="263"/>
      <c r="E54" s="263"/>
      <c r="F54" s="263"/>
      <c r="G54" s="263"/>
    </row>
    <row r="55" spans="2:7" ht="15">
      <c r="B55" s="301"/>
      <c r="C55" s="263"/>
      <c r="D55" s="263"/>
      <c r="E55" s="263"/>
      <c r="F55" s="263"/>
      <c r="G55" s="263"/>
    </row>
    <row r="56" spans="2:7" ht="15">
      <c r="B56" s="301"/>
      <c r="C56" s="263"/>
      <c r="D56" s="263"/>
      <c r="E56" s="263"/>
      <c r="F56" s="263"/>
      <c r="G56" s="263"/>
    </row>
    <row r="57" spans="2:7" ht="15">
      <c r="B57" s="301"/>
      <c r="C57" s="263"/>
      <c r="D57" s="263"/>
      <c r="E57" s="263"/>
      <c r="F57" s="263"/>
      <c r="G57" s="263"/>
    </row>
    <row r="58" spans="2:7" ht="15">
      <c r="B58" s="301"/>
      <c r="C58" s="263"/>
      <c r="D58" s="263"/>
      <c r="E58" s="263"/>
      <c r="F58" s="263"/>
      <c r="G58" s="263"/>
    </row>
    <row r="59" spans="2:7" ht="15">
      <c r="B59" s="301"/>
      <c r="C59" s="263"/>
      <c r="D59" s="263"/>
      <c r="E59" s="263"/>
      <c r="F59" s="263"/>
      <c r="G59" s="263"/>
    </row>
    <row r="60" spans="2:7" ht="15">
      <c r="B60" s="301"/>
      <c r="C60" s="263"/>
      <c r="D60" s="263"/>
      <c r="E60" s="263"/>
      <c r="F60" s="263"/>
      <c r="G60" s="263"/>
    </row>
    <row r="61" spans="2:7" ht="15">
      <c r="B61" s="301"/>
      <c r="C61" s="263"/>
      <c r="D61" s="263"/>
      <c r="E61" s="263"/>
      <c r="F61" s="263"/>
      <c r="G61" s="263"/>
    </row>
    <row r="62" spans="2:7" ht="15">
      <c r="B62" s="301"/>
      <c r="C62" s="263"/>
      <c r="D62" s="263"/>
      <c r="E62" s="263"/>
      <c r="F62" s="263"/>
      <c r="G62" s="263"/>
    </row>
    <row r="63" spans="2:7" ht="15">
      <c r="B63" s="301"/>
      <c r="C63" s="263"/>
      <c r="D63" s="263"/>
      <c r="E63" s="263"/>
      <c r="F63" s="263"/>
      <c r="G63" s="263"/>
    </row>
    <row r="64" spans="2:7" ht="15">
      <c r="B64" s="301"/>
      <c r="C64" s="263"/>
      <c r="D64" s="263"/>
      <c r="E64" s="263"/>
      <c r="F64" s="263"/>
      <c r="G64" s="263"/>
    </row>
    <row r="65" spans="2:7" ht="15">
      <c r="B65" s="301"/>
      <c r="C65" s="263"/>
      <c r="D65" s="263"/>
      <c r="E65" s="263"/>
      <c r="F65" s="263"/>
      <c r="G65" s="263"/>
    </row>
    <row r="66" spans="2:7" ht="15">
      <c r="B66" s="301"/>
      <c r="C66" s="263"/>
      <c r="D66" s="263"/>
      <c r="E66" s="263"/>
      <c r="F66" s="263"/>
      <c r="G66" s="263"/>
    </row>
    <row r="67" spans="2:7" ht="15">
      <c r="B67" s="301"/>
      <c r="C67" s="263"/>
      <c r="D67" s="263"/>
      <c r="E67" s="263"/>
      <c r="F67" s="263"/>
      <c r="G67" s="263"/>
    </row>
    <row r="68" spans="2:7" ht="15">
      <c r="B68" s="301"/>
      <c r="C68" s="263"/>
      <c r="D68" s="263"/>
      <c r="E68" s="263"/>
      <c r="F68" s="263"/>
      <c r="G68" s="263"/>
    </row>
    <row r="69" spans="2:7" ht="15">
      <c r="B69" s="301"/>
      <c r="C69" s="263"/>
      <c r="D69" s="263"/>
      <c r="E69" s="263"/>
      <c r="F69" s="263"/>
      <c r="G69" s="263"/>
    </row>
    <row r="70" spans="2:7" ht="15">
      <c r="B70" s="301"/>
      <c r="C70" s="263"/>
      <c r="D70" s="263"/>
      <c r="E70" s="263"/>
      <c r="F70" s="263"/>
      <c r="G70" s="263"/>
    </row>
    <row r="71" spans="2:7" ht="15">
      <c r="B71" s="301"/>
      <c r="C71" s="263"/>
      <c r="D71" s="263"/>
      <c r="E71" s="263"/>
      <c r="F71" s="263"/>
      <c r="G71" s="263"/>
    </row>
    <row r="72" spans="2:7" ht="15">
      <c r="B72" s="301"/>
      <c r="C72" s="263"/>
      <c r="D72" s="263"/>
      <c r="E72" s="263"/>
      <c r="F72" s="263"/>
      <c r="G72" s="263"/>
    </row>
    <row r="73" spans="2:7" ht="15">
      <c r="B73" s="301"/>
      <c r="C73" s="263"/>
      <c r="D73" s="263"/>
      <c r="E73" s="263"/>
      <c r="F73" s="263"/>
      <c r="G73" s="263"/>
    </row>
    <row r="74" spans="2:7" ht="15">
      <c r="B74" s="301"/>
      <c r="C74" s="263"/>
      <c r="D74" s="263"/>
      <c r="E74" s="263"/>
      <c r="F74" s="263"/>
      <c r="G74" s="263"/>
    </row>
    <row r="75" spans="2:7" ht="15">
      <c r="B75" s="301"/>
      <c r="C75" s="263"/>
      <c r="D75" s="263"/>
      <c r="E75" s="263"/>
      <c r="F75" s="263"/>
      <c r="G75" s="263"/>
    </row>
    <row r="76" spans="2:7" ht="15">
      <c r="B76" s="301"/>
      <c r="C76" s="263"/>
      <c r="D76" s="263"/>
      <c r="E76" s="263"/>
      <c r="F76" s="263"/>
      <c r="G76" s="263"/>
    </row>
    <row r="77" spans="2:7" ht="15">
      <c r="B77" s="301"/>
      <c r="C77" s="263"/>
      <c r="D77" s="263"/>
      <c r="E77" s="263"/>
      <c r="F77" s="263"/>
      <c r="G77" s="263"/>
    </row>
    <row r="78" spans="2:7" ht="15">
      <c r="B78" s="301"/>
      <c r="C78" s="263"/>
      <c r="D78" s="263"/>
      <c r="E78" s="263"/>
      <c r="F78" s="263"/>
      <c r="G78" s="263"/>
    </row>
    <row r="79" spans="2:7" ht="15">
      <c r="B79" s="301"/>
      <c r="C79" s="263"/>
      <c r="D79" s="263"/>
      <c r="E79" s="263"/>
      <c r="F79" s="263"/>
      <c r="G79" s="263"/>
    </row>
    <row r="80" spans="2:7" ht="15">
      <c r="B80" s="301"/>
      <c r="C80" s="263"/>
      <c r="D80" s="263"/>
      <c r="E80" s="263"/>
      <c r="F80" s="263"/>
      <c r="G80" s="263"/>
    </row>
    <row r="81" spans="2:7" ht="15">
      <c r="B81" s="301"/>
      <c r="C81" s="263"/>
      <c r="D81" s="263"/>
      <c r="E81" s="263"/>
      <c r="F81" s="263"/>
      <c r="G81" s="263"/>
    </row>
    <row r="82" spans="2:7" ht="15">
      <c r="B82" s="301"/>
      <c r="C82" s="263"/>
      <c r="D82" s="263"/>
      <c r="E82" s="263"/>
      <c r="F82" s="263"/>
      <c r="G82" s="263"/>
    </row>
    <row r="83" spans="2:7" ht="15">
      <c r="B83" s="301"/>
      <c r="C83" s="263"/>
      <c r="D83" s="263"/>
      <c r="E83" s="263"/>
      <c r="F83" s="263"/>
      <c r="G83" s="263"/>
    </row>
    <row r="84" spans="2:7" ht="15">
      <c r="B84" s="301"/>
      <c r="C84" s="263"/>
      <c r="D84" s="263"/>
      <c r="E84" s="263"/>
      <c r="F84" s="263"/>
      <c r="G84" s="263"/>
    </row>
    <row r="85" spans="2:7" ht="15">
      <c r="B85" s="301"/>
      <c r="C85" s="263"/>
      <c r="D85" s="263"/>
      <c r="E85" s="263"/>
      <c r="F85" s="263"/>
      <c r="G85" s="263"/>
    </row>
    <row r="86" spans="2:7" ht="15">
      <c r="B86" s="301"/>
      <c r="C86" s="263"/>
      <c r="D86" s="263"/>
      <c r="E86" s="263"/>
      <c r="F86" s="263"/>
      <c r="G86" s="263"/>
    </row>
    <row r="87" spans="2:7" ht="15">
      <c r="B87" s="301"/>
      <c r="C87" s="263"/>
      <c r="D87" s="263"/>
      <c r="E87" s="263"/>
      <c r="F87" s="263"/>
      <c r="G87" s="263"/>
    </row>
    <row r="88" spans="2:7" ht="15">
      <c r="B88" s="301"/>
      <c r="C88" s="263"/>
      <c r="D88" s="263"/>
      <c r="E88" s="263"/>
      <c r="F88" s="263"/>
      <c r="G88" s="263"/>
    </row>
    <row r="89" spans="2:7" ht="15">
      <c r="B89" s="301"/>
      <c r="C89" s="263"/>
      <c r="D89" s="263"/>
      <c r="E89" s="263"/>
      <c r="F89" s="263"/>
      <c r="G89" s="263"/>
    </row>
    <row r="90" spans="2:7" ht="15">
      <c r="B90" s="301"/>
      <c r="C90" s="263"/>
      <c r="D90" s="263"/>
      <c r="E90" s="263"/>
      <c r="F90" s="263"/>
      <c r="G90" s="263"/>
    </row>
    <row r="91" spans="2:7" ht="15">
      <c r="B91" s="301"/>
      <c r="C91" s="263"/>
      <c r="D91" s="263"/>
      <c r="E91" s="263"/>
      <c r="F91" s="263"/>
      <c r="G91" s="263"/>
    </row>
    <row r="92" spans="2:7" ht="15">
      <c r="B92" s="301"/>
      <c r="C92" s="263"/>
      <c r="D92" s="263"/>
      <c r="E92" s="263"/>
      <c r="F92" s="263"/>
      <c r="G92" s="263"/>
    </row>
    <row r="93" spans="2:7" ht="15">
      <c r="B93" s="301"/>
      <c r="C93" s="263"/>
      <c r="D93" s="263"/>
      <c r="E93" s="263"/>
      <c r="F93" s="263"/>
      <c r="G93" s="263"/>
    </row>
    <row r="94" spans="2:7" ht="15">
      <c r="B94" s="301"/>
      <c r="C94" s="263"/>
      <c r="D94" s="263"/>
      <c r="E94" s="263"/>
      <c r="F94" s="263"/>
      <c r="G94" s="263"/>
    </row>
    <row r="95" spans="2:7" ht="15">
      <c r="B95" s="301"/>
      <c r="C95" s="263"/>
      <c r="D95" s="263"/>
      <c r="E95" s="263"/>
      <c r="F95" s="263"/>
      <c r="G95" s="263"/>
    </row>
    <row r="96" spans="2:7" ht="15">
      <c r="B96" s="301"/>
      <c r="C96" s="263"/>
      <c r="D96" s="263"/>
      <c r="E96" s="263"/>
      <c r="F96" s="263"/>
      <c r="G96" s="263"/>
    </row>
    <row r="97" spans="2:7" ht="15">
      <c r="B97" s="263"/>
      <c r="C97" s="263"/>
      <c r="D97" s="263"/>
      <c r="E97" s="263"/>
      <c r="F97" s="263"/>
      <c r="G97" s="263"/>
    </row>
    <row r="98" spans="2:7" ht="15">
      <c r="B98" s="263"/>
      <c r="C98" s="263"/>
      <c r="D98" s="263"/>
      <c r="E98" s="263"/>
      <c r="F98" s="263"/>
      <c r="G98" s="263"/>
    </row>
    <row r="99" spans="2:7" ht="15">
      <c r="B99" s="263"/>
      <c r="C99" s="263"/>
      <c r="D99" s="263"/>
      <c r="E99" s="263"/>
      <c r="F99" s="263"/>
      <c r="G99" s="263"/>
    </row>
    <row r="100" spans="2:7" ht="15">
      <c r="B100" s="263"/>
      <c r="C100" s="263"/>
      <c r="D100" s="263"/>
      <c r="E100" s="263"/>
      <c r="F100" s="263"/>
      <c r="G100" s="263"/>
    </row>
    <row r="101" spans="2:7" ht="15">
      <c r="B101" s="263"/>
      <c r="C101" s="263"/>
      <c r="D101" s="263"/>
      <c r="E101" s="263"/>
      <c r="F101" s="263"/>
      <c r="G101" s="263"/>
    </row>
    <row r="102" spans="2:7" ht="15">
      <c r="B102" s="263"/>
      <c r="C102" s="263"/>
      <c r="D102" s="263"/>
      <c r="E102" s="263"/>
      <c r="F102" s="263"/>
      <c r="G102" s="263"/>
    </row>
    <row r="103" spans="2:7" ht="15">
      <c r="B103" s="263"/>
      <c r="C103" s="263"/>
      <c r="D103" s="263"/>
      <c r="E103" s="263"/>
      <c r="F103" s="263"/>
      <c r="G103" s="263"/>
    </row>
    <row r="104" spans="2:7" ht="15">
      <c r="B104" s="263"/>
      <c r="C104" s="263"/>
      <c r="D104" s="263"/>
      <c r="E104" s="263"/>
      <c r="F104" s="263"/>
      <c r="G104" s="263"/>
    </row>
    <row r="105" spans="2:7" ht="15">
      <c r="B105" s="263"/>
      <c r="C105" s="263"/>
      <c r="D105" s="263"/>
      <c r="E105" s="263"/>
      <c r="F105" s="263"/>
      <c r="G105" s="263"/>
    </row>
    <row r="106" spans="2:7" ht="15">
      <c r="B106" s="263"/>
      <c r="C106" s="263"/>
      <c r="D106" s="263"/>
      <c r="E106" s="263"/>
      <c r="F106" s="263"/>
      <c r="G106" s="263"/>
    </row>
    <row r="107" spans="2:7" ht="15">
      <c r="B107" s="263"/>
      <c r="C107" s="263"/>
      <c r="D107" s="263"/>
      <c r="E107" s="263"/>
      <c r="F107" s="263"/>
      <c r="G107" s="263"/>
    </row>
    <row r="108" spans="2:7" ht="15">
      <c r="B108" s="263"/>
      <c r="C108" s="263"/>
      <c r="D108" s="263"/>
      <c r="E108" s="263"/>
      <c r="F108" s="263"/>
      <c r="G108" s="263"/>
    </row>
    <row r="109" spans="2:7" ht="15">
      <c r="B109" s="263"/>
      <c r="C109" s="263"/>
      <c r="D109" s="263"/>
      <c r="E109" s="263"/>
      <c r="F109" s="263"/>
      <c r="G109" s="263"/>
    </row>
    <row r="110" spans="2:7" ht="15">
      <c r="B110" s="263"/>
      <c r="C110" s="263"/>
      <c r="D110" s="263"/>
      <c r="E110" s="263"/>
      <c r="F110" s="263"/>
      <c r="G110" s="263"/>
    </row>
    <row r="111" spans="2:7" ht="15">
      <c r="B111" s="263"/>
      <c r="C111" s="263"/>
      <c r="D111" s="263"/>
      <c r="E111" s="263"/>
      <c r="F111" s="263"/>
      <c r="G111" s="263"/>
    </row>
    <row r="112" spans="2:7" ht="15">
      <c r="B112" s="263"/>
      <c r="C112" s="263"/>
      <c r="D112" s="263"/>
      <c r="E112" s="263"/>
      <c r="F112" s="263"/>
      <c r="G112" s="263"/>
    </row>
    <row r="113" spans="2:7" ht="15">
      <c r="B113" s="263"/>
      <c r="C113" s="263"/>
      <c r="D113" s="263"/>
      <c r="E113" s="263"/>
      <c r="F113" s="263"/>
      <c r="G113" s="263"/>
    </row>
    <row r="114" spans="2:7" ht="15">
      <c r="B114" s="263"/>
      <c r="C114" s="263"/>
      <c r="D114" s="263"/>
      <c r="E114" s="263"/>
      <c r="F114" s="263"/>
      <c r="G114" s="263"/>
    </row>
    <row r="115" spans="2:7" ht="15">
      <c r="B115" s="263"/>
      <c r="C115" s="263"/>
      <c r="D115" s="263"/>
      <c r="E115" s="263"/>
      <c r="F115" s="263"/>
      <c r="G115" s="263"/>
    </row>
    <row r="116" spans="2:7" ht="15">
      <c r="B116" s="263"/>
      <c r="C116" s="263"/>
      <c r="D116" s="263"/>
      <c r="E116" s="263"/>
      <c r="F116" s="263"/>
      <c r="G116" s="263"/>
    </row>
    <row r="117" spans="2:7" ht="15">
      <c r="B117" s="263"/>
      <c r="C117" s="263"/>
      <c r="D117" s="263"/>
      <c r="E117" s="263"/>
      <c r="F117" s="263"/>
      <c r="G117" s="263"/>
    </row>
    <row r="118" spans="2:7" ht="15">
      <c r="B118" s="263"/>
      <c r="C118" s="263"/>
      <c r="D118" s="263"/>
      <c r="E118" s="263"/>
      <c r="F118" s="263"/>
      <c r="G118" s="263"/>
    </row>
    <row r="119" spans="2:7" ht="15">
      <c r="B119" s="263"/>
      <c r="C119" s="263"/>
      <c r="D119" s="263"/>
      <c r="E119" s="263"/>
      <c r="F119" s="263"/>
      <c r="G119" s="263"/>
    </row>
    <row r="120" spans="2:7" ht="15">
      <c r="B120" s="263"/>
      <c r="C120" s="263"/>
      <c r="D120" s="263"/>
      <c r="E120" s="263"/>
      <c r="F120" s="263"/>
      <c r="G120" s="263"/>
    </row>
    <row r="121" spans="2:7" ht="15">
      <c r="B121" s="263"/>
      <c r="C121" s="263"/>
      <c r="D121" s="263"/>
      <c r="E121" s="263"/>
      <c r="F121" s="263"/>
      <c r="G121" s="263"/>
    </row>
    <row r="122" spans="2:7" ht="15">
      <c r="B122" s="263"/>
      <c r="C122" s="263"/>
      <c r="D122" s="263"/>
      <c r="E122" s="263"/>
      <c r="F122" s="263"/>
      <c r="G122" s="263"/>
    </row>
    <row r="123" spans="2:7" ht="15">
      <c r="B123" s="263"/>
      <c r="C123" s="263"/>
      <c r="D123" s="263"/>
      <c r="E123" s="263"/>
      <c r="F123" s="263"/>
      <c r="G123" s="263"/>
    </row>
    <row r="124" spans="2:7" ht="15">
      <c r="B124" s="263"/>
      <c r="C124" s="263"/>
      <c r="D124" s="263"/>
      <c r="E124" s="263"/>
      <c r="F124" s="263"/>
      <c r="G124" s="263"/>
    </row>
    <row r="125" spans="2:7" ht="15">
      <c r="B125" s="263"/>
      <c r="C125" s="263"/>
      <c r="D125" s="263"/>
      <c r="E125" s="263"/>
      <c r="F125" s="263"/>
      <c r="G125" s="263"/>
    </row>
    <row r="126" spans="2:7" ht="15">
      <c r="B126" s="263"/>
      <c r="C126" s="263"/>
      <c r="D126" s="263"/>
      <c r="E126" s="263"/>
      <c r="F126" s="263"/>
      <c r="G126" s="263"/>
    </row>
    <row r="127" spans="2:7" ht="15">
      <c r="B127" s="263"/>
      <c r="C127" s="263"/>
      <c r="D127" s="263"/>
      <c r="E127" s="263"/>
      <c r="F127" s="263"/>
      <c r="G127" s="263"/>
    </row>
    <row r="128" spans="2:7" ht="15">
      <c r="B128" s="263"/>
      <c r="C128" s="263"/>
      <c r="D128" s="263"/>
      <c r="E128" s="263"/>
      <c r="F128" s="263"/>
      <c r="G128" s="263"/>
    </row>
    <row r="129" spans="2:7" ht="15">
      <c r="B129" s="263"/>
      <c r="C129" s="263"/>
      <c r="D129" s="263"/>
      <c r="E129" s="263"/>
      <c r="F129" s="263"/>
      <c r="G129" s="263"/>
    </row>
    <row r="130" spans="2:7" ht="15">
      <c r="B130" s="263"/>
      <c r="C130" s="263"/>
      <c r="D130" s="263"/>
      <c r="E130" s="263"/>
      <c r="F130" s="263"/>
      <c r="G130" s="263"/>
    </row>
    <row r="131" spans="2:7" ht="15">
      <c r="B131" s="263"/>
      <c r="C131" s="263"/>
      <c r="D131" s="263"/>
      <c r="E131" s="263"/>
      <c r="F131" s="263"/>
      <c r="G131" s="263"/>
    </row>
  </sheetData>
  <sheetProtection password="D950" sheet="1" scenarios="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phoneticPr fontId="0" type="noConversion"/>
  <printOptions horizontalCentered="1" verticalCentered="1" gridLines="1"/>
  <pageMargins left="0.25" right="0.25" top="0.5" bottom="0.5" header="0" footer="0"/>
  <pageSetup scale="64" orientation="portrait" horizontalDpi="360" verticalDpi="360" r:id="rId2"/>
  <headerFooter alignWithMargins="0"/>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L52"/>
  <sheetViews>
    <sheetView topLeftCell="A7" zoomScaleNormal="100" workbookViewId="0">
      <selection activeCell="H15" sqref="H15"/>
    </sheetView>
  </sheetViews>
  <sheetFormatPr defaultRowHeight="12.75"/>
  <cols>
    <col min="1" max="1" width="30.7109375" customWidth="1"/>
    <col min="5" max="5" width="13" customWidth="1"/>
  </cols>
  <sheetData>
    <row r="1" spans="1:12" ht="18">
      <c r="A1" s="1100" t="s">
        <v>1045</v>
      </c>
      <c r="B1" s="1101"/>
      <c r="C1" s="1101"/>
      <c r="D1" s="1101"/>
      <c r="E1" s="1101"/>
      <c r="F1" s="1101"/>
      <c r="G1" s="1101"/>
      <c r="H1" s="1101"/>
      <c r="I1" s="699"/>
      <c r="J1" s="699"/>
      <c r="K1" s="699"/>
      <c r="L1" s="308"/>
    </row>
    <row r="2" spans="1:12" ht="15.75">
      <c r="A2" s="1102" t="s">
        <v>3065</v>
      </c>
      <c r="B2" s="1101"/>
      <c r="C2" s="1101"/>
      <c r="D2" s="1101"/>
      <c r="E2" s="1101"/>
      <c r="F2" s="1101"/>
      <c r="G2" s="1101"/>
      <c r="H2" s="1101"/>
      <c r="I2" s="699"/>
      <c r="J2" s="699"/>
      <c r="K2" s="699"/>
      <c r="L2" s="308"/>
    </row>
    <row r="3" spans="1:12" ht="15.75">
      <c r="A3" s="1102" t="s">
        <v>1046</v>
      </c>
      <c r="B3" s="1101"/>
      <c r="C3" s="1101"/>
      <c r="D3" s="1101"/>
      <c r="E3" s="1101"/>
      <c r="F3" s="1101"/>
      <c r="G3" s="1101"/>
      <c r="H3" s="1101"/>
      <c r="I3" s="699"/>
      <c r="J3" s="699"/>
      <c r="K3" s="699"/>
      <c r="L3" s="308"/>
    </row>
    <row r="4" spans="1:12">
      <c r="A4" s="1103" t="s">
        <v>3024</v>
      </c>
      <c r="B4" s="1101"/>
      <c r="C4" s="1101"/>
      <c r="D4" s="1101"/>
      <c r="E4" s="1101"/>
      <c r="F4" s="1101"/>
      <c r="G4" s="1101"/>
      <c r="H4" s="1101"/>
      <c r="I4" s="699"/>
      <c r="J4" s="699"/>
      <c r="K4" s="699"/>
      <c r="L4" s="308"/>
    </row>
    <row r="5" spans="1:12">
      <c r="A5" s="699"/>
      <c r="B5" s="699"/>
      <c r="C5" s="699"/>
      <c r="D5" s="699"/>
      <c r="E5" s="699"/>
      <c r="F5" s="699"/>
      <c r="G5" s="699"/>
      <c r="H5" s="699"/>
      <c r="I5" s="699"/>
      <c r="J5" s="699"/>
      <c r="K5" s="308"/>
      <c r="L5" s="308"/>
    </row>
    <row r="6" spans="1:12">
      <c r="A6" s="699"/>
      <c r="B6" s="699"/>
      <c r="C6" s="699"/>
      <c r="D6" s="699"/>
      <c r="E6" s="699"/>
      <c r="F6" s="699"/>
      <c r="G6" s="699"/>
      <c r="H6" s="699"/>
      <c r="I6" s="699"/>
      <c r="J6" s="699"/>
      <c r="K6" s="308"/>
      <c r="L6" s="308"/>
    </row>
    <row r="7" spans="1:12" ht="20.25">
      <c r="A7" s="1107"/>
      <c r="B7" s="1324" t="s">
        <v>2477</v>
      </c>
      <c r="C7" s="1324"/>
      <c r="D7" s="1324"/>
      <c r="E7" s="1108" t="str">
        <f>'LedgerLoad Assist'!C179</f>
        <v>023801</v>
      </c>
      <c r="F7" s="1109"/>
      <c r="G7" s="1107"/>
      <c r="H7" s="1107"/>
      <c r="I7" s="1107"/>
      <c r="J7" s="1107"/>
      <c r="K7" s="1107"/>
      <c r="L7" s="308"/>
    </row>
    <row r="8" spans="1:12" ht="30">
      <c r="A8" s="1110" t="s">
        <v>1047</v>
      </c>
      <c r="B8" s="1111"/>
      <c r="C8" s="1111"/>
      <c r="D8" s="1111"/>
      <c r="E8" s="1111"/>
      <c r="F8" s="1111"/>
      <c r="G8" s="1111"/>
      <c r="H8" s="1111"/>
      <c r="I8" s="1111"/>
      <c r="J8" s="1111"/>
      <c r="K8" s="1111"/>
      <c r="L8" s="308"/>
    </row>
    <row r="9" spans="1:12" ht="30">
      <c r="A9" s="1112" t="s">
        <v>3660</v>
      </c>
      <c r="B9" s="1111"/>
      <c r="C9" s="1111"/>
      <c r="D9" s="1111"/>
      <c r="E9" s="1111"/>
      <c r="F9" s="1111"/>
      <c r="G9" s="1111"/>
      <c r="H9" s="1111"/>
      <c r="I9" s="1111"/>
      <c r="J9" s="1111"/>
      <c r="K9" s="1111"/>
    </row>
    <row r="10" spans="1:12" ht="30">
      <c r="A10" s="1323" t="s">
        <v>3673</v>
      </c>
      <c r="B10" s="1323"/>
      <c r="C10" s="1323"/>
      <c r="D10" s="1323"/>
      <c r="E10" s="1323"/>
      <c r="F10" s="1323"/>
      <c r="G10" s="1323"/>
      <c r="H10" s="1323"/>
      <c r="I10" s="1323"/>
      <c r="J10" s="1323"/>
      <c r="K10" s="1323"/>
    </row>
    <row r="11" spans="1:12" ht="30">
      <c r="A11" s="1323" t="s">
        <v>3674</v>
      </c>
      <c r="B11" s="1323"/>
      <c r="C11" s="1323"/>
      <c r="D11" s="1323"/>
      <c r="E11" s="1323"/>
      <c r="F11" s="1323"/>
      <c r="G11" s="1323"/>
      <c r="H11" s="1323"/>
      <c r="I11" s="1323"/>
      <c r="J11" s="1323"/>
      <c r="K11" s="1323"/>
    </row>
    <row r="12" spans="1:12" ht="20.25">
      <c r="A12" s="234"/>
      <c r="B12" s="2"/>
      <c r="C12" s="2"/>
      <c r="D12" s="2"/>
      <c r="E12" s="2"/>
      <c r="F12" s="2"/>
      <c r="G12" s="2"/>
      <c r="H12" s="2"/>
      <c r="I12" s="2"/>
      <c r="J12" s="2"/>
      <c r="K12" s="2"/>
    </row>
    <row r="13" spans="1:12">
      <c r="A13" s="2"/>
      <c r="B13" s="2"/>
      <c r="C13" s="2"/>
      <c r="D13" s="2"/>
      <c r="E13" s="2"/>
      <c r="F13" s="2"/>
      <c r="G13" s="2"/>
      <c r="H13" s="2"/>
      <c r="I13" s="2"/>
      <c r="J13" s="2"/>
      <c r="K13" s="784"/>
    </row>
    <row r="14" spans="1:12" ht="30">
      <c r="A14" s="1104" t="s">
        <v>1086</v>
      </c>
      <c r="B14" s="1105"/>
      <c r="C14" s="1105"/>
      <c r="D14" s="1105"/>
      <c r="E14" s="1105"/>
      <c r="F14" s="1105"/>
      <c r="G14" s="1105"/>
      <c r="H14" s="1105"/>
      <c r="I14" s="1105"/>
      <c r="J14" s="2"/>
      <c r="K14" s="2"/>
      <c r="L14" s="784"/>
    </row>
    <row r="15" spans="1:12" ht="30">
      <c r="A15" s="1104" t="s">
        <v>1087</v>
      </c>
      <c r="B15" s="1105"/>
      <c r="C15" s="1105"/>
      <c r="D15" s="1105"/>
      <c r="E15" s="1105"/>
      <c r="F15" s="1105"/>
      <c r="G15" s="1105"/>
      <c r="H15" s="1105"/>
      <c r="I15" s="1105"/>
      <c r="J15" s="2"/>
      <c r="K15" s="2"/>
      <c r="L15" s="784"/>
    </row>
    <row r="16" spans="1:12">
      <c r="A16" s="784"/>
      <c r="B16" s="784"/>
      <c r="C16" s="784"/>
      <c r="D16" s="784"/>
      <c r="E16" s="784"/>
      <c r="F16" s="784"/>
      <c r="G16" s="784"/>
      <c r="H16" s="784"/>
      <c r="I16" s="784"/>
      <c r="J16" s="784"/>
      <c r="K16" s="784"/>
      <c r="L16" s="784"/>
    </row>
    <row r="17" spans="1:11" ht="6.75" customHeight="1">
      <c r="A17" s="784"/>
      <c r="B17" s="784"/>
      <c r="C17" s="784"/>
      <c r="D17" s="784"/>
      <c r="E17" s="784"/>
      <c r="F17" s="784"/>
      <c r="G17" s="784"/>
      <c r="H17" s="784"/>
      <c r="I17" s="784"/>
      <c r="J17" s="784"/>
      <c r="K17" s="784"/>
    </row>
    <row r="18" spans="1:11">
      <c r="A18" s="784"/>
      <c r="B18" s="784"/>
      <c r="C18" s="784"/>
      <c r="D18" s="784"/>
      <c r="E18" s="784"/>
      <c r="F18" s="784"/>
      <c r="G18" s="784"/>
      <c r="H18" s="784"/>
      <c r="I18" s="784"/>
      <c r="J18" s="784"/>
      <c r="K18" s="784"/>
    </row>
    <row r="19" spans="1:11">
      <c r="A19" s="784"/>
      <c r="B19" s="784"/>
      <c r="C19" s="784"/>
      <c r="D19" s="784"/>
      <c r="E19" s="784"/>
      <c r="F19" s="784"/>
      <c r="G19" s="784"/>
      <c r="H19" s="784"/>
      <c r="I19" s="784"/>
      <c r="J19" s="784"/>
      <c r="K19" s="784"/>
    </row>
    <row r="20" spans="1:11">
      <c r="A20" s="784"/>
      <c r="B20" s="784"/>
      <c r="C20" s="784"/>
      <c r="D20" s="784"/>
      <c r="E20" s="784"/>
      <c r="F20" s="784"/>
      <c r="G20" s="784"/>
      <c r="H20" s="784"/>
      <c r="I20" s="784"/>
      <c r="J20" s="784"/>
      <c r="K20" s="784"/>
    </row>
    <row r="21" spans="1:11">
      <c r="A21" s="784"/>
      <c r="B21" s="784"/>
      <c r="C21" s="784"/>
      <c r="D21" s="784"/>
      <c r="E21" s="784"/>
      <c r="F21" s="784"/>
      <c r="G21" s="784"/>
      <c r="H21" s="784"/>
      <c r="I21" s="784"/>
      <c r="J21" s="784"/>
      <c r="K21" s="784"/>
    </row>
    <row r="22" spans="1:11">
      <c r="A22" s="784"/>
      <c r="B22" s="784"/>
      <c r="C22" s="784"/>
      <c r="D22" s="784"/>
      <c r="E22" s="784"/>
      <c r="F22" s="784"/>
      <c r="G22" s="784"/>
      <c r="H22" s="784"/>
      <c r="I22" s="784"/>
      <c r="J22" s="784"/>
      <c r="K22" s="784"/>
    </row>
    <row r="23" spans="1:11">
      <c r="A23" s="784"/>
      <c r="B23" s="784"/>
      <c r="C23" s="784"/>
      <c r="D23" s="784"/>
      <c r="E23" s="784"/>
      <c r="F23" s="784"/>
      <c r="G23" s="784"/>
      <c r="H23" s="784"/>
      <c r="I23" s="784"/>
      <c r="J23" s="784"/>
      <c r="K23" s="784"/>
    </row>
    <row r="24" spans="1:11">
      <c r="A24" s="784"/>
      <c r="B24" s="784"/>
      <c r="C24" s="784"/>
      <c r="D24" s="784"/>
      <c r="E24" s="784"/>
      <c r="F24" s="784"/>
      <c r="G24" s="784"/>
      <c r="H24" s="784"/>
      <c r="I24" s="784"/>
      <c r="J24" s="784"/>
      <c r="K24" s="784"/>
    </row>
    <row r="25" spans="1:11">
      <c r="A25" s="784"/>
      <c r="B25" s="784"/>
      <c r="C25" s="784"/>
      <c r="D25" s="784"/>
      <c r="E25" s="784"/>
      <c r="F25" s="784"/>
      <c r="G25" s="784"/>
      <c r="H25" s="784"/>
      <c r="I25" s="784"/>
      <c r="J25" s="784"/>
      <c r="K25" s="784"/>
    </row>
    <row r="26" spans="1:11" ht="24" customHeight="1">
      <c r="A26" s="784"/>
      <c r="B26" s="784"/>
      <c r="C26" s="784"/>
      <c r="D26" s="784"/>
      <c r="E26" s="784"/>
      <c r="F26" s="784"/>
      <c r="G26" s="784"/>
      <c r="H26" s="784"/>
      <c r="I26" s="784"/>
      <c r="J26" s="784"/>
      <c r="K26" s="784"/>
    </row>
    <row r="27" spans="1:11">
      <c r="A27" s="784"/>
      <c r="B27" s="784"/>
      <c r="C27" s="784"/>
      <c r="D27" s="784"/>
      <c r="E27" s="784"/>
      <c r="F27" s="784"/>
      <c r="G27" s="784"/>
      <c r="H27" s="784"/>
      <c r="I27" s="784"/>
      <c r="J27" s="784"/>
      <c r="K27" s="784"/>
    </row>
    <row r="28" spans="1:11">
      <c r="A28" s="784"/>
      <c r="B28" s="784"/>
      <c r="C28" s="784"/>
      <c r="D28" s="784"/>
      <c r="E28" s="784"/>
      <c r="F28" s="784"/>
      <c r="G28" s="784"/>
      <c r="H28" s="784"/>
      <c r="I28" s="784"/>
      <c r="J28" s="784"/>
      <c r="K28" s="784"/>
    </row>
    <row r="29" spans="1:11">
      <c r="A29" s="784"/>
      <c r="B29" s="784"/>
      <c r="C29" s="784"/>
      <c r="D29" s="784"/>
      <c r="E29" s="784"/>
      <c r="F29" s="784"/>
      <c r="G29" s="784"/>
      <c r="H29" s="784"/>
      <c r="I29" s="784"/>
      <c r="J29" s="784"/>
      <c r="K29" s="784"/>
    </row>
    <row r="30" spans="1:11" ht="27.75">
      <c r="A30" s="1106" t="s">
        <v>3242</v>
      </c>
      <c r="B30" s="699"/>
      <c r="C30" s="699"/>
      <c r="D30" s="699"/>
      <c r="E30" s="699"/>
      <c r="F30" s="699"/>
      <c r="G30" s="699"/>
      <c r="H30" s="699"/>
      <c r="I30" s="699"/>
      <c r="J30" s="699"/>
      <c r="K30" s="699"/>
    </row>
    <row r="37" spans="1:10">
      <c r="A37" s="29"/>
      <c r="B37" s="29"/>
      <c r="C37" s="29"/>
      <c r="E37" s="29"/>
      <c r="F37" s="29"/>
      <c r="G37" s="29"/>
      <c r="H37" s="29"/>
      <c r="I37" s="29"/>
      <c r="J37" s="29"/>
    </row>
    <row r="38" spans="1:10">
      <c r="A38" s="586"/>
      <c r="B38" s="29"/>
      <c r="C38" s="29"/>
      <c r="E38" s="29"/>
      <c r="F38" s="585"/>
      <c r="G38" s="13"/>
      <c r="H38" s="13"/>
      <c r="I38" s="29"/>
      <c r="J38" s="29"/>
    </row>
    <row r="39" spans="1:10">
      <c r="A39" s="586"/>
      <c r="B39" s="29"/>
      <c r="C39" s="29"/>
      <c r="E39" s="29"/>
      <c r="F39" s="586"/>
      <c r="G39" s="29"/>
      <c r="H39" s="29"/>
      <c r="I39" s="29"/>
      <c r="J39" s="29"/>
    </row>
    <row r="40" spans="1:10">
      <c r="A40" s="587"/>
      <c r="B40" s="29"/>
      <c r="C40" s="29"/>
      <c r="E40" s="29"/>
      <c r="F40" s="232"/>
      <c r="G40" s="29"/>
      <c r="H40" s="29"/>
      <c r="I40" s="29"/>
      <c r="J40" s="29"/>
    </row>
    <row r="41" spans="1:10">
      <c r="A41" s="587"/>
      <c r="B41" s="29"/>
      <c r="C41" s="29"/>
      <c r="E41" s="29"/>
      <c r="F41" s="29"/>
      <c r="G41" s="29"/>
      <c r="H41" s="29"/>
      <c r="I41" s="29"/>
      <c r="J41" s="29"/>
    </row>
    <row r="42" spans="1:10" ht="13.5" thickBot="1">
      <c r="A42" s="1325" t="s">
        <v>846</v>
      </c>
      <c r="B42" s="1326"/>
      <c r="C42" s="1326"/>
      <c r="D42" s="1326"/>
      <c r="E42" s="1326"/>
      <c r="F42" s="1326"/>
      <c r="G42" s="1326"/>
      <c r="H42" s="1326"/>
      <c r="I42" s="1326"/>
      <c r="J42" s="1326"/>
    </row>
    <row r="43" spans="1:10">
      <c r="A43" s="1327" t="s">
        <v>1772</v>
      </c>
      <c r="B43" s="1328"/>
      <c r="C43" s="1328"/>
      <c r="D43" s="1329"/>
      <c r="E43" s="1333"/>
      <c r="F43" s="1334"/>
      <c r="G43" s="1327" t="s">
        <v>1459</v>
      </c>
      <c r="H43" s="1328"/>
      <c r="I43" s="1328"/>
      <c r="J43" s="1329"/>
    </row>
    <row r="44" spans="1:10" ht="15" customHeight="1">
      <c r="A44" s="1330"/>
      <c r="B44" s="1331"/>
      <c r="C44" s="1331"/>
      <c r="D44" s="1332"/>
      <c r="E44" s="1335"/>
      <c r="F44" s="1336"/>
      <c r="G44" s="1330"/>
      <c r="H44" s="1331"/>
      <c r="I44" s="1331"/>
      <c r="J44" s="1332"/>
    </row>
    <row r="45" spans="1:10" ht="13.5" thickBot="1">
      <c r="A45" s="1330"/>
      <c r="B45" s="1331"/>
      <c r="C45" s="1331"/>
      <c r="D45" s="1332"/>
      <c r="E45" s="1337"/>
      <c r="F45" s="1338"/>
      <c r="G45" s="1330"/>
      <c r="H45" s="1331"/>
      <c r="I45" s="1331"/>
      <c r="J45" s="1332"/>
    </row>
    <row r="46" spans="1:10">
      <c r="A46" s="1327" t="s">
        <v>1773</v>
      </c>
      <c r="B46" s="1328"/>
      <c r="C46" s="1328"/>
      <c r="D46" s="1329"/>
      <c r="E46" s="1333"/>
      <c r="F46" s="1334"/>
      <c r="G46" s="1330"/>
      <c r="H46" s="1331"/>
      <c r="I46" s="1331"/>
      <c r="J46" s="1332"/>
    </row>
    <row r="47" spans="1:10">
      <c r="A47" s="1330"/>
      <c r="B47" s="1331"/>
      <c r="C47" s="1331"/>
      <c r="D47" s="1332"/>
      <c r="E47" s="1335"/>
      <c r="F47" s="1336"/>
      <c r="G47" s="1330"/>
      <c r="H47" s="1331"/>
      <c r="I47" s="1331"/>
      <c r="J47" s="1332"/>
    </row>
    <row r="48" spans="1:10" ht="13.5" thickBot="1">
      <c r="A48" s="1339"/>
      <c r="B48" s="1340"/>
      <c r="C48" s="1340"/>
      <c r="D48" s="1341"/>
      <c r="E48" s="1337"/>
      <c r="F48" s="1338"/>
      <c r="G48" s="1339"/>
      <c r="H48" s="1340"/>
      <c r="I48" s="1340"/>
      <c r="J48" s="1341"/>
    </row>
    <row r="49" spans="1:10">
      <c r="A49" s="29"/>
      <c r="B49" s="588"/>
      <c r="C49" s="232"/>
      <c r="D49" s="232"/>
      <c r="E49" s="232"/>
      <c r="F49" s="232"/>
      <c r="G49" s="232"/>
      <c r="H49" s="232"/>
      <c r="I49" s="232"/>
      <c r="J49" s="232"/>
    </row>
    <row r="51" spans="1:10" ht="15.75">
      <c r="A51" s="233" t="s">
        <v>3643</v>
      </c>
    </row>
    <row r="52" spans="1:10">
      <c r="A52" s="51"/>
    </row>
  </sheetData>
  <sheetProtection algorithmName="SHA-512" hashValue="3ZFLwdQuqLQGDP1C2+BiOmTuwtJENDyxzMVFDz6bj3Dwlj11KjV5LzHq2UvbddwGV3gmdK+PdPVGvxLxc6WU0Q==" saltValue="crHYeGDERCl/lhymGdFwpw=="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9">
    <mergeCell ref="A10:K10"/>
    <mergeCell ref="A11:K11"/>
    <mergeCell ref="B7:D7"/>
    <mergeCell ref="A42:J42"/>
    <mergeCell ref="A43:D45"/>
    <mergeCell ref="E43:F45"/>
    <mergeCell ref="G43:J48"/>
    <mergeCell ref="A46:D48"/>
    <mergeCell ref="E46:F48"/>
  </mergeCells>
  <phoneticPr fontId="0" type="noConversion"/>
  <printOptions horizontalCentered="1"/>
  <pageMargins left="0.25" right="0.75" top="1" bottom="1" header="0.5" footer="0.5"/>
  <pageSetup scale="82" orientation="portrait" horizontalDpi="360" verticalDpi="360" r:id="rId2"/>
  <headerFooter alignWithMargins="0"/>
  <drawing r:id="rId3"/>
  <legacyDrawing r:id="rId4"/>
  <oleObjects>
    <mc:AlternateContent xmlns:mc="http://schemas.openxmlformats.org/markup-compatibility/2006">
      <mc:Choice Requires="x14">
        <oleObject progId="MSPhotoEd.3" shapeId="1027" r:id="rId5">
          <objectPr defaultSize="0" autoPict="0" r:id="rId6">
            <anchor moveWithCells="1" sizeWithCells="1">
              <from>
                <xdr:col>2</xdr:col>
                <xdr:colOff>552450</xdr:colOff>
                <xdr:row>16</xdr:row>
                <xdr:rowOff>66675</xdr:rowOff>
              </from>
              <to>
                <xdr:col>5</xdr:col>
                <xdr:colOff>428625</xdr:colOff>
                <xdr:row>27</xdr:row>
                <xdr:rowOff>0</xdr:rowOff>
              </to>
            </anchor>
          </objectPr>
        </oleObject>
      </mc:Choice>
      <mc:Fallback>
        <oleObject progId="MSPhotoEd.3" shapeId="1027" r:id="rId5"/>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F128"/>
  <sheetViews>
    <sheetView zoomScale="80" zoomScaleNormal="80" workbookViewId="0">
      <pane xSplit="3" ySplit="11" topLeftCell="D12" activePane="bottomRight" state="frozen"/>
      <selection activeCell="A53" sqref="A53:K53"/>
      <selection pane="topRight" activeCell="A53" sqref="A53:K53"/>
      <selection pane="bottomLeft" activeCell="A53" sqref="A53:K53"/>
      <selection pane="bottomRight" activeCell="C1" sqref="C1"/>
    </sheetView>
  </sheetViews>
  <sheetFormatPr defaultColWidth="8.85546875" defaultRowHeight="12.75"/>
  <cols>
    <col min="1" max="1" width="2.85546875" style="261" customWidth="1"/>
    <col min="2" max="2" width="12.7109375" style="261" customWidth="1"/>
    <col min="3" max="3" width="60.7109375" style="261" customWidth="1"/>
    <col min="4" max="6" width="20.7109375" style="261" customWidth="1"/>
    <col min="7" max="16384" width="8.85546875" style="261"/>
  </cols>
  <sheetData>
    <row r="1" spans="1:6" ht="20.100000000000001" customHeight="1">
      <c r="A1" s="308"/>
      <c r="B1" s="699"/>
      <c r="C1" s="866" t="str">
        <f>+'GW-STATEMENT NET POSITION(13)'!A1</f>
        <v>TOWN OF BROADUS</v>
      </c>
      <c r="D1" s="699"/>
      <c r="E1" s="699"/>
      <c r="F1" s="699"/>
    </row>
    <row r="2" spans="1:6" ht="20.100000000000001" customHeight="1">
      <c r="A2" s="308"/>
      <c r="B2" s="699"/>
      <c r="C2" s="866" t="s">
        <v>1807</v>
      </c>
      <c r="D2" s="699"/>
      <c r="E2" s="699"/>
      <c r="F2" s="699"/>
    </row>
    <row r="3" spans="1:6" ht="20.100000000000001" customHeight="1">
      <c r="A3" s="308"/>
      <c r="B3" s="699"/>
      <c r="C3" s="866" t="s">
        <v>849</v>
      </c>
      <c r="D3" s="699"/>
      <c r="E3" s="699"/>
      <c r="F3" s="699"/>
    </row>
    <row r="4" spans="1:6" ht="20.100000000000001" customHeight="1">
      <c r="A4" s="308"/>
      <c r="B4" s="699"/>
      <c r="C4" s="867" t="str">
        <f>+'GW-STATEMENT OF ACTIVITIES(14)'!B3</f>
        <v>FISCAL YEAR ENDING JUNE 30, 2017</v>
      </c>
      <c r="D4" s="699"/>
      <c r="E4" s="699"/>
      <c r="F4" s="699"/>
    </row>
    <row r="5" spans="1:6" ht="20.100000000000001" customHeight="1">
      <c r="A5" s="308"/>
      <c r="B5" s="308"/>
      <c r="C5" s="867"/>
      <c r="D5" s="308"/>
      <c r="E5" s="308"/>
      <c r="F5" s="308"/>
    </row>
    <row r="6" spans="1:6" ht="20.100000000000001" customHeight="1">
      <c r="C6" s="262"/>
      <c r="D6" s="328"/>
      <c r="E6" s="329"/>
      <c r="F6" s="329"/>
    </row>
    <row r="7" spans="1:6" ht="20.100000000000001" customHeight="1" thickBot="1">
      <c r="D7" s="264" t="s">
        <v>679</v>
      </c>
      <c r="E7" s="330"/>
      <c r="F7" s="318"/>
    </row>
    <row r="8" spans="1:6" ht="20.100000000000001" customHeight="1">
      <c r="B8" s="263"/>
      <c r="C8" s="263"/>
      <c r="D8" s="328" t="s">
        <v>680</v>
      </c>
      <c r="E8" s="440" t="s">
        <v>686</v>
      </c>
      <c r="F8" s="440" t="s">
        <v>683</v>
      </c>
    </row>
    <row r="9" spans="1:6" ht="20.100000000000001" customHeight="1">
      <c r="B9" s="266" t="s">
        <v>177</v>
      </c>
      <c r="C9" s="266"/>
      <c r="D9" s="777" t="s">
        <v>679</v>
      </c>
      <c r="E9" s="777" t="s">
        <v>679</v>
      </c>
      <c r="F9" s="777" t="s">
        <v>679</v>
      </c>
    </row>
    <row r="10" spans="1:6" ht="20.100000000000001" customHeight="1" thickBot="1">
      <c r="B10" s="267" t="s">
        <v>178</v>
      </c>
      <c r="C10" s="267" t="s">
        <v>179</v>
      </c>
      <c r="D10" s="267" t="s">
        <v>681</v>
      </c>
      <c r="E10" s="267" t="s">
        <v>682</v>
      </c>
      <c r="F10" s="267" t="s">
        <v>684</v>
      </c>
    </row>
    <row r="11" spans="1:6" ht="20.100000000000001" customHeight="1">
      <c r="B11" s="300"/>
      <c r="C11" s="268" t="s">
        <v>579</v>
      </c>
      <c r="D11" s="326"/>
      <c r="E11" s="326"/>
      <c r="F11" s="326"/>
    </row>
    <row r="12" spans="1:6" ht="20.100000000000001" customHeight="1">
      <c r="B12" s="301">
        <v>310000</v>
      </c>
      <c r="C12" s="263" t="s">
        <v>730</v>
      </c>
      <c r="D12" s="269"/>
      <c r="E12" s="269"/>
      <c r="F12" s="269"/>
    </row>
    <row r="13" spans="1:6" ht="20.100000000000001" customHeight="1">
      <c r="B13" s="301">
        <v>330000</v>
      </c>
      <c r="C13" s="263" t="s">
        <v>731</v>
      </c>
      <c r="D13" s="269"/>
      <c r="E13" s="269"/>
      <c r="F13" s="269"/>
    </row>
    <row r="14" spans="1:6" ht="20.100000000000001" customHeight="1">
      <c r="B14" s="332">
        <v>360000</v>
      </c>
      <c r="C14" s="270" t="s">
        <v>732</v>
      </c>
      <c r="D14" s="269"/>
      <c r="E14" s="269"/>
      <c r="F14" s="269"/>
    </row>
    <row r="15" spans="1:6" ht="20.100000000000001" customHeight="1">
      <c r="B15" s="301">
        <v>370000</v>
      </c>
      <c r="C15" s="270" t="s">
        <v>733</v>
      </c>
      <c r="D15" s="269"/>
      <c r="E15" s="269"/>
      <c r="F15" s="269"/>
    </row>
    <row r="16" spans="1:6" ht="20.100000000000001" customHeight="1">
      <c r="B16" s="301">
        <v>366000</v>
      </c>
      <c r="C16" s="263" t="s">
        <v>734</v>
      </c>
      <c r="D16" s="269"/>
      <c r="E16" s="269"/>
      <c r="F16" s="269"/>
    </row>
    <row r="17" spans="1:6" ht="20.100000000000001" customHeight="1">
      <c r="B17" s="301">
        <v>366000</v>
      </c>
      <c r="C17" s="263" t="s">
        <v>735</v>
      </c>
      <c r="D17" s="269"/>
      <c r="E17" s="269"/>
      <c r="F17" s="269"/>
    </row>
    <row r="18" spans="1:6" ht="27.95" customHeight="1" thickBot="1">
      <c r="A18" s="289"/>
      <c r="B18" s="301"/>
      <c r="C18" s="411"/>
      <c r="D18" s="278"/>
      <c r="E18" s="278"/>
      <c r="F18" s="278"/>
    </row>
    <row r="19" spans="1:6" ht="20.100000000000001" customHeight="1" thickBot="1">
      <c r="B19" s="301"/>
      <c r="C19" s="430" t="s">
        <v>736</v>
      </c>
      <c r="D19" s="279">
        <f>SUM(D11:D18)</f>
        <v>0</v>
      </c>
      <c r="E19" s="279">
        <f>SUM(E11:E18)</f>
        <v>0</v>
      </c>
      <c r="F19" s="279">
        <f>SUM(F11:F18)</f>
        <v>0</v>
      </c>
    </row>
    <row r="20" spans="1:6" ht="20.100000000000001" customHeight="1">
      <c r="B20" s="301"/>
      <c r="C20" s="263"/>
      <c r="D20" s="277"/>
      <c r="E20" s="277"/>
      <c r="F20" s="277"/>
    </row>
    <row r="21" spans="1:6" ht="20.100000000000001" customHeight="1">
      <c r="B21" s="301"/>
      <c r="C21" s="268" t="s">
        <v>737</v>
      </c>
      <c r="D21" s="277"/>
      <c r="E21" s="277"/>
      <c r="F21" s="277"/>
    </row>
    <row r="22" spans="1:6" ht="20.100000000000001" customHeight="1">
      <c r="B22" s="301"/>
      <c r="C22" s="263" t="s">
        <v>1008</v>
      </c>
      <c r="D22" s="269"/>
      <c r="E22" s="269"/>
      <c r="F22" s="269"/>
    </row>
    <row r="23" spans="1:6" ht="20.100000000000001" customHeight="1">
      <c r="B23" s="301"/>
      <c r="C23" s="263" t="s">
        <v>1009</v>
      </c>
      <c r="D23" s="269"/>
      <c r="E23" s="269"/>
      <c r="F23" s="269"/>
    </row>
    <row r="24" spans="1:6" ht="20.100000000000001" customHeight="1">
      <c r="B24" s="301"/>
      <c r="C24" s="263" t="s">
        <v>1010</v>
      </c>
      <c r="D24" s="269"/>
      <c r="E24" s="269"/>
      <c r="F24" s="269"/>
    </row>
    <row r="25" spans="1:6" ht="20.100000000000001" customHeight="1">
      <c r="B25" s="301"/>
      <c r="C25" s="263" t="s">
        <v>1011</v>
      </c>
      <c r="D25" s="269"/>
      <c r="E25" s="269"/>
      <c r="F25" s="269"/>
    </row>
    <row r="26" spans="1:6" ht="20.100000000000001" customHeight="1">
      <c r="B26" s="301"/>
      <c r="C26" s="263" t="s">
        <v>1182</v>
      </c>
      <c r="D26" s="269"/>
      <c r="E26" s="269"/>
      <c r="F26" s="269"/>
    </row>
    <row r="27" spans="1:6" ht="20.100000000000001" customHeight="1" thickBot="1">
      <c r="B27" s="301"/>
      <c r="C27" s="263" t="s">
        <v>1204</v>
      </c>
      <c r="D27" s="271"/>
      <c r="E27" s="271"/>
      <c r="F27" s="271"/>
    </row>
    <row r="28" spans="1:6" ht="20.100000000000001" customHeight="1" thickBot="1">
      <c r="B28" s="301"/>
      <c r="C28" s="266" t="s">
        <v>1012</v>
      </c>
      <c r="D28" s="279">
        <f>SUM(D21:D27)</f>
        <v>0</v>
      </c>
      <c r="E28" s="279">
        <f>SUM(E21:E27)</f>
        <v>0</v>
      </c>
      <c r="F28" s="279">
        <f>SUM(F21:F27)</f>
        <v>0</v>
      </c>
    </row>
    <row r="29" spans="1:6" ht="20.100000000000001" customHeight="1">
      <c r="B29" s="301"/>
      <c r="C29" s="319"/>
      <c r="D29" s="277"/>
      <c r="E29" s="277"/>
      <c r="F29" s="277"/>
    </row>
    <row r="30" spans="1:6" ht="20.100000000000001" customHeight="1" thickBot="1">
      <c r="B30" s="301"/>
      <c r="C30" s="263" t="s">
        <v>1846</v>
      </c>
      <c r="D30" s="307">
        <f>+D19-D28</f>
        <v>0</v>
      </c>
      <c r="E30" s="307">
        <f>+E19-E28</f>
        <v>0</v>
      </c>
      <c r="F30" s="307">
        <f>+F19-F28</f>
        <v>0</v>
      </c>
    </row>
    <row r="31" spans="1:6" ht="20.100000000000001" customHeight="1">
      <c r="B31" s="301"/>
      <c r="C31" s="317" t="str">
        <f>+'CHANGE NET POSITION-PROP.(19)'!B45</f>
        <v>Total net position - July 1, 2016 as previously reported</v>
      </c>
      <c r="D31" s="304"/>
      <c r="E31" s="304"/>
      <c r="F31" s="304"/>
    </row>
    <row r="32" spans="1:6" ht="20.100000000000001" customHeight="1" thickBot="1">
      <c r="B32" s="301"/>
      <c r="C32" s="317" t="s">
        <v>699</v>
      </c>
      <c r="D32" s="303"/>
      <c r="E32" s="303"/>
      <c r="F32" s="303"/>
    </row>
    <row r="33" spans="2:6" ht="20.100000000000001" customHeight="1" thickBot="1">
      <c r="B33" s="301"/>
      <c r="C33" s="317" t="str">
        <f>+'CHANGE NET POSITION-PROP.(19)'!B47</f>
        <v>Total net position - July 1, 2016 as restated</v>
      </c>
      <c r="D33" s="306">
        <f>+D31+D32</f>
        <v>0</v>
      </c>
      <c r="E33" s="306">
        <f>+E31+E32</f>
        <v>0</v>
      </c>
      <c r="F33" s="306">
        <f>+F31+F32</f>
        <v>0</v>
      </c>
    </row>
    <row r="34" spans="2:6" ht="20.100000000000001" customHeight="1" thickBot="1">
      <c r="B34" s="301"/>
      <c r="C34" s="263" t="str">
        <f>+'CHANGE NET POSITION-PROP.(19)'!B48</f>
        <v>Total net position - June 30, 2017</v>
      </c>
      <c r="D34" s="280">
        <f>+D30+D33</f>
        <v>0</v>
      </c>
      <c r="E34" s="280">
        <f>+E30+E33</f>
        <v>0</v>
      </c>
      <c r="F34" s="280">
        <f>+F30+F33</f>
        <v>0</v>
      </c>
    </row>
    <row r="35" spans="2:6" ht="15.75" thickTop="1">
      <c r="B35" s="301"/>
      <c r="C35" s="263"/>
      <c r="D35" s="263"/>
      <c r="E35" s="263"/>
      <c r="F35" s="263"/>
    </row>
    <row r="36" spans="2:6" ht="15.75">
      <c r="B36" s="301"/>
      <c r="C36" s="263"/>
      <c r="D36" s="422"/>
      <c r="E36" s="263"/>
      <c r="F36" s="263"/>
    </row>
    <row r="37" spans="2:6" ht="15">
      <c r="B37" s="301"/>
      <c r="C37" s="263"/>
      <c r="D37" s="263"/>
      <c r="E37" s="263"/>
      <c r="F37" s="263"/>
    </row>
    <row r="38" spans="2:6" ht="15">
      <c r="B38" s="301"/>
      <c r="C38" s="263"/>
      <c r="D38" s="263"/>
      <c r="E38" s="263"/>
      <c r="F38" s="263"/>
    </row>
    <row r="39" spans="2:6" ht="15">
      <c r="B39" s="301"/>
      <c r="C39" s="263"/>
      <c r="D39" s="263"/>
      <c r="E39" s="263"/>
      <c r="F39" s="263"/>
    </row>
    <row r="40" spans="2:6" ht="15">
      <c r="B40" s="301"/>
      <c r="C40" s="263"/>
      <c r="D40" s="263"/>
      <c r="E40" s="263"/>
      <c r="F40" s="263"/>
    </row>
    <row r="41" spans="2:6" ht="15">
      <c r="B41" s="301"/>
      <c r="C41" s="263"/>
      <c r="D41" s="263"/>
      <c r="E41" s="263"/>
      <c r="F41" s="263"/>
    </row>
    <row r="42" spans="2:6" ht="15">
      <c r="B42" s="301"/>
      <c r="C42" s="263"/>
      <c r="D42" s="263"/>
      <c r="E42" s="263"/>
      <c r="F42" s="263"/>
    </row>
    <row r="43" spans="2:6" ht="15">
      <c r="B43" s="301"/>
      <c r="C43" s="263"/>
      <c r="D43" s="263"/>
      <c r="E43" s="263"/>
      <c r="F43" s="263"/>
    </row>
    <row r="44" spans="2:6" ht="15">
      <c r="B44" s="301"/>
      <c r="C44" s="263"/>
      <c r="D44" s="263"/>
      <c r="E44" s="263"/>
      <c r="F44" s="263"/>
    </row>
    <row r="45" spans="2:6" ht="15">
      <c r="B45" s="301"/>
      <c r="C45" s="263"/>
      <c r="D45" s="263"/>
      <c r="E45" s="263"/>
      <c r="F45" s="263"/>
    </row>
    <row r="46" spans="2:6" ht="15">
      <c r="B46" s="301"/>
      <c r="C46" s="263"/>
      <c r="D46" s="263"/>
      <c r="E46" s="263"/>
      <c r="F46" s="263"/>
    </row>
    <row r="47" spans="2:6" ht="15">
      <c r="B47" s="301"/>
      <c r="C47" s="263"/>
      <c r="D47" s="263"/>
      <c r="E47" s="263"/>
      <c r="F47" s="263"/>
    </row>
    <row r="48" spans="2:6" ht="15">
      <c r="B48" s="301"/>
      <c r="C48" s="263"/>
      <c r="D48" s="263"/>
      <c r="E48" s="263"/>
      <c r="F48" s="263"/>
    </row>
    <row r="49" spans="2:6" ht="15">
      <c r="B49" s="301"/>
      <c r="C49" s="263"/>
      <c r="D49" s="263"/>
      <c r="E49" s="263"/>
      <c r="F49" s="263"/>
    </row>
    <row r="50" spans="2:6" ht="15">
      <c r="B50" s="301"/>
      <c r="C50" s="263"/>
      <c r="D50" s="263"/>
      <c r="E50" s="263"/>
      <c r="F50" s="263"/>
    </row>
    <row r="51" spans="2:6" ht="15">
      <c r="B51" s="301"/>
      <c r="C51" s="263"/>
      <c r="D51" s="263"/>
      <c r="E51" s="263"/>
      <c r="F51" s="263"/>
    </row>
    <row r="52" spans="2:6" ht="15">
      <c r="B52" s="301"/>
      <c r="C52" s="263"/>
      <c r="D52" s="263"/>
      <c r="E52" s="263"/>
      <c r="F52" s="263"/>
    </row>
    <row r="53" spans="2:6" ht="15">
      <c r="B53" s="301"/>
      <c r="C53" s="263"/>
      <c r="D53" s="263"/>
      <c r="E53" s="263"/>
      <c r="F53" s="263"/>
    </row>
    <row r="54" spans="2:6" ht="15">
      <c r="B54" s="301"/>
      <c r="C54" s="263"/>
      <c r="D54" s="263"/>
      <c r="E54" s="263"/>
      <c r="F54" s="263"/>
    </row>
    <row r="55" spans="2:6" ht="15">
      <c r="B55" s="301"/>
      <c r="C55" s="263"/>
      <c r="D55" s="263"/>
      <c r="E55" s="263"/>
      <c r="F55" s="263"/>
    </row>
    <row r="56" spans="2:6" ht="15">
      <c r="B56" s="301"/>
      <c r="C56" s="263"/>
      <c r="D56" s="263"/>
      <c r="E56" s="263"/>
      <c r="F56" s="263"/>
    </row>
    <row r="57" spans="2:6" ht="15">
      <c r="B57" s="301"/>
      <c r="C57" s="263"/>
      <c r="D57" s="263"/>
      <c r="E57" s="263"/>
      <c r="F57" s="263"/>
    </row>
    <row r="58" spans="2:6" ht="15">
      <c r="B58" s="301"/>
      <c r="C58" s="263"/>
      <c r="D58" s="263"/>
      <c r="E58" s="263"/>
      <c r="F58" s="263"/>
    </row>
    <row r="59" spans="2:6" ht="15">
      <c r="B59" s="301"/>
      <c r="C59" s="263"/>
      <c r="D59" s="263"/>
      <c r="E59" s="263"/>
      <c r="F59" s="263"/>
    </row>
    <row r="60" spans="2:6" ht="15">
      <c r="B60" s="301"/>
      <c r="C60" s="263"/>
      <c r="D60" s="263"/>
      <c r="E60" s="263"/>
      <c r="F60" s="263"/>
    </row>
    <row r="61" spans="2:6" ht="15">
      <c r="B61" s="301"/>
      <c r="C61" s="263"/>
      <c r="D61" s="263"/>
      <c r="E61" s="263"/>
      <c r="F61" s="263"/>
    </row>
    <row r="62" spans="2:6" ht="15">
      <c r="B62" s="301"/>
      <c r="C62" s="263"/>
      <c r="D62" s="263"/>
      <c r="E62" s="263"/>
      <c r="F62" s="263"/>
    </row>
    <row r="63" spans="2:6" ht="15">
      <c r="B63" s="301"/>
      <c r="C63" s="263"/>
      <c r="D63" s="263"/>
      <c r="E63" s="263"/>
      <c r="F63" s="263"/>
    </row>
    <row r="64" spans="2:6" ht="15">
      <c r="B64" s="301"/>
      <c r="C64" s="263"/>
      <c r="D64" s="263"/>
      <c r="E64" s="263"/>
      <c r="F64" s="263"/>
    </row>
    <row r="65" spans="2:6" ht="15">
      <c r="B65" s="301"/>
      <c r="C65" s="263"/>
      <c r="D65" s="263"/>
      <c r="E65" s="263"/>
      <c r="F65" s="263"/>
    </row>
    <row r="66" spans="2:6" ht="15">
      <c r="B66" s="301"/>
      <c r="C66" s="263"/>
      <c r="D66" s="263"/>
      <c r="E66" s="263"/>
      <c r="F66" s="263"/>
    </row>
    <row r="67" spans="2:6" ht="15">
      <c r="B67" s="301"/>
      <c r="C67" s="263"/>
      <c r="D67" s="263"/>
      <c r="E67" s="263"/>
      <c r="F67" s="263"/>
    </row>
    <row r="68" spans="2:6" ht="15">
      <c r="B68" s="301"/>
      <c r="C68" s="263"/>
      <c r="D68" s="263"/>
      <c r="E68" s="263"/>
      <c r="F68" s="263"/>
    </row>
    <row r="69" spans="2:6" ht="15">
      <c r="B69" s="301"/>
      <c r="C69" s="263"/>
      <c r="D69" s="263"/>
      <c r="E69" s="263"/>
      <c r="F69" s="263"/>
    </row>
    <row r="70" spans="2:6" ht="15">
      <c r="B70" s="301"/>
      <c r="C70" s="263"/>
      <c r="D70" s="263"/>
      <c r="E70" s="263"/>
      <c r="F70" s="263"/>
    </row>
    <row r="71" spans="2:6" ht="15">
      <c r="B71" s="301"/>
      <c r="C71" s="263"/>
      <c r="D71" s="263"/>
      <c r="E71" s="263"/>
      <c r="F71" s="263"/>
    </row>
    <row r="72" spans="2:6" ht="15">
      <c r="B72" s="301"/>
      <c r="C72" s="263"/>
      <c r="D72" s="263"/>
      <c r="E72" s="263"/>
      <c r="F72" s="263"/>
    </row>
    <row r="73" spans="2:6" ht="15">
      <c r="B73" s="301"/>
      <c r="C73" s="263"/>
      <c r="D73" s="263"/>
      <c r="E73" s="263"/>
      <c r="F73" s="263"/>
    </row>
    <row r="74" spans="2:6" ht="15">
      <c r="B74" s="301"/>
      <c r="C74" s="263"/>
      <c r="D74" s="263"/>
      <c r="E74" s="263"/>
      <c r="F74" s="263"/>
    </row>
    <row r="75" spans="2:6" ht="15">
      <c r="B75" s="301"/>
      <c r="C75" s="263"/>
      <c r="D75" s="263"/>
      <c r="E75" s="263"/>
      <c r="F75" s="263"/>
    </row>
    <row r="76" spans="2:6" ht="15">
      <c r="B76" s="301"/>
      <c r="C76" s="263"/>
      <c r="D76" s="263"/>
      <c r="E76" s="263"/>
      <c r="F76" s="263"/>
    </row>
    <row r="77" spans="2:6" ht="15">
      <c r="B77" s="301"/>
      <c r="C77" s="263"/>
      <c r="D77" s="263"/>
      <c r="E77" s="263"/>
      <c r="F77" s="263"/>
    </row>
    <row r="78" spans="2:6" ht="15">
      <c r="B78" s="301"/>
      <c r="C78" s="263"/>
      <c r="D78" s="263"/>
      <c r="E78" s="263"/>
      <c r="F78" s="263"/>
    </row>
    <row r="79" spans="2:6" ht="15">
      <c r="B79" s="301"/>
      <c r="C79" s="263"/>
      <c r="D79" s="263"/>
      <c r="E79" s="263"/>
      <c r="F79" s="263"/>
    </row>
    <row r="80" spans="2:6" ht="15">
      <c r="B80" s="301"/>
      <c r="C80" s="263"/>
      <c r="D80" s="263"/>
      <c r="E80" s="263"/>
      <c r="F80" s="263"/>
    </row>
    <row r="81" spans="2:6" ht="15">
      <c r="B81" s="301"/>
      <c r="C81" s="263"/>
      <c r="D81" s="263"/>
      <c r="E81" s="263"/>
      <c r="F81" s="263"/>
    </row>
    <row r="82" spans="2:6" ht="15">
      <c r="B82" s="301"/>
      <c r="C82" s="263"/>
      <c r="D82" s="263"/>
      <c r="E82" s="263"/>
      <c r="F82" s="263"/>
    </row>
    <row r="83" spans="2:6" ht="15">
      <c r="B83" s="301"/>
      <c r="C83" s="263"/>
      <c r="D83" s="263"/>
      <c r="E83" s="263"/>
      <c r="F83" s="263"/>
    </row>
    <row r="84" spans="2:6" ht="15">
      <c r="B84" s="301"/>
      <c r="C84" s="263"/>
      <c r="D84" s="263"/>
      <c r="E84" s="263"/>
      <c r="F84" s="263"/>
    </row>
    <row r="85" spans="2:6" ht="15">
      <c r="B85" s="301"/>
      <c r="C85" s="263"/>
      <c r="D85" s="263"/>
      <c r="E85" s="263"/>
      <c r="F85" s="263"/>
    </row>
    <row r="86" spans="2:6" ht="15">
      <c r="B86" s="301"/>
      <c r="C86" s="263"/>
      <c r="D86" s="263"/>
      <c r="E86" s="263"/>
      <c r="F86" s="263"/>
    </row>
    <row r="87" spans="2:6" ht="15">
      <c r="B87" s="301"/>
      <c r="C87" s="263"/>
      <c r="D87" s="263"/>
      <c r="E87" s="263"/>
      <c r="F87" s="263"/>
    </row>
    <row r="88" spans="2:6" ht="15">
      <c r="B88" s="301"/>
      <c r="C88" s="263"/>
      <c r="D88" s="263"/>
      <c r="E88" s="263"/>
      <c r="F88" s="263"/>
    </row>
    <row r="89" spans="2:6" ht="15">
      <c r="B89" s="301"/>
      <c r="C89" s="263"/>
      <c r="D89" s="263"/>
      <c r="E89" s="263"/>
      <c r="F89" s="263"/>
    </row>
    <row r="90" spans="2:6" ht="15">
      <c r="B90" s="301"/>
      <c r="C90" s="263"/>
      <c r="D90" s="263"/>
      <c r="E90" s="263"/>
      <c r="F90" s="263"/>
    </row>
    <row r="91" spans="2:6" ht="15">
      <c r="B91" s="301"/>
      <c r="C91" s="263"/>
      <c r="D91" s="263"/>
      <c r="E91" s="263"/>
      <c r="F91" s="263"/>
    </row>
    <row r="92" spans="2:6" ht="15">
      <c r="B92" s="301"/>
      <c r="C92" s="263"/>
      <c r="D92" s="263"/>
      <c r="E92" s="263"/>
      <c r="F92" s="263"/>
    </row>
    <row r="93" spans="2:6" ht="15">
      <c r="B93" s="301"/>
      <c r="C93" s="263"/>
      <c r="D93" s="263"/>
      <c r="E93" s="263"/>
      <c r="F93" s="263"/>
    </row>
    <row r="94" spans="2:6" ht="15">
      <c r="B94" s="263"/>
      <c r="C94" s="263"/>
      <c r="D94" s="263"/>
      <c r="E94" s="263"/>
      <c r="F94" s="263"/>
    </row>
    <row r="95" spans="2:6" ht="15">
      <c r="B95" s="263"/>
      <c r="C95" s="263"/>
      <c r="D95" s="263"/>
      <c r="E95" s="263"/>
      <c r="F95" s="263"/>
    </row>
    <row r="96" spans="2:6" ht="15">
      <c r="B96" s="263"/>
      <c r="C96" s="263"/>
      <c r="D96" s="263"/>
      <c r="E96" s="263"/>
      <c r="F96" s="263"/>
    </row>
    <row r="97" spans="2:6" ht="15">
      <c r="B97" s="263"/>
      <c r="C97" s="263"/>
      <c r="D97" s="263"/>
      <c r="E97" s="263"/>
      <c r="F97" s="263"/>
    </row>
    <row r="98" spans="2:6" ht="15">
      <c r="B98" s="263"/>
      <c r="C98" s="263"/>
      <c r="D98" s="263"/>
      <c r="E98" s="263"/>
      <c r="F98" s="263"/>
    </row>
    <row r="99" spans="2:6" ht="15">
      <c r="B99" s="263"/>
      <c r="C99" s="263"/>
      <c r="D99" s="263"/>
      <c r="E99" s="263"/>
      <c r="F99" s="263"/>
    </row>
    <row r="100" spans="2:6" ht="15">
      <c r="B100" s="263"/>
      <c r="C100" s="263"/>
      <c r="D100" s="263"/>
      <c r="E100" s="263"/>
      <c r="F100" s="263"/>
    </row>
    <row r="101" spans="2:6" ht="15">
      <c r="B101" s="263"/>
      <c r="C101" s="263"/>
      <c r="D101" s="263"/>
      <c r="E101" s="263"/>
      <c r="F101" s="263"/>
    </row>
    <row r="102" spans="2:6" ht="15">
      <c r="B102" s="263"/>
      <c r="C102" s="263"/>
      <c r="D102" s="263"/>
      <c r="E102" s="263"/>
      <c r="F102" s="263"/>
    </row>
    <row r="103" spans="2:6" ht="15">
      <c r="B103" s="263"/>
      <c r="C103" s="263"/>
      <c r="D103" s="263"/>
      <c r="E103" s="263"/>
      <c r="F103" s="263"/>
    </row>
    <row r="104" spans="2:6" ht="15">
      <c r="B104" s="263"/>
      <c r="C104" s="263"/>
      <c r="D104" s="263"/>
      <c r="E104" s="263"/>
      <c r="F104" s="263"/>
    </row>
    <row r="105" spans="2:6" ht="15">
      <c r="B105" s="263"/>
      <c r="C105" s="263"/>
      <c r="D105" s="263"/>
      <c r="E105" s="263"/>
      <c r="F105" s="263"/>
    </row>
    <row r="106" spans="2:6" ht="15">
      <c r="B106" s="263"/>
      <c r="C106" s="263"/>
      <c r="D106" s="263"/>
      <c r="E106" s="263"/>
      <c r="F106" s="263"/>
    </row>
    <row r="107" spans="2:6" ht="15">
      <c r="B107" s="263"/>
      <c r="C107" s="263"/>
      <c r="D107" s="263"/>
      <c r="E107" s="263"/>
      <c r="F107" s="263"/>
    </row>
    <row r="108" spans="2:6" ht="15">
      <c r="B108" s="263"/>
      <c r="C108" s="263"/>
      <c r="D108" s="263"/>
      <c r="E108" s="263"/>
      <c r="F108" s="263"/>
    </row>
    <row r="109" spans="2:6" ht="15">
      <c r="B109" s="263"/>
      <c r="C109" s="263"/>
      <c r="D109" s="263"/>
      <c r="E109" s="263"/>
      <c r="F109" s="263"/>
    </row>
    <row r="110" spans="2:6" ht="15">
      <c r="B110" s="263"/>
      <c r="C110" s="263"/>
      <c r="D110" s="263"/>
      <c r="E110" s="263"/>
      <c r="F110" s="263"/>
    </row>
    <row r="111" spans="2:6" ht="15">
      <c r="B111" s="263"/>
      <c r="C111" s="263"/>
      <c r="D111" s="263"/>
      <c r="E111" s="263"/>
      <c r="F111" s="263"/>
    </row>
    <row r="112" spans="2:6" ht="15">
      <c r="B112" s="263"/>
      <c r="C112" s="263"/>
      <c r="D112" s="263"/>
      <c r="E112" s="263"/>
      <c r="F112" s="263"/>
    </row>
    <row r="113" spans="2:6" ht="15">
      <c r="B113" s="263"/>
      <c r="C113" s="263"/>
      <c r="D113" s="263"/>
      <c r="E113" s="263"/>
      <c r="F113" s="263"/>
    </row>
    <row r="114" spans="2:6" ht="15">
      <c r="B114" s="263"/>
      <c r="C114" s="263"/>
      <c r="D114" s="263"/>
      <c r="E114" s="263"/>
      <c r="F114" s="263"/>
    </row>
    <row r="115" spans="2:6" ht="15">
      <c r="B115" s="263"/>
      <c r="C115" s="263"/>
      <c r="D115" s="263"/>
      <c r="E115" s="263"/>
      <c r="F115" s="263"/>
    </row>
    <row r="116" spans="2:6" ht="15">
      <c r="B116" s="263"/>
      <c r="C116" s="263"/>
      <c r="D116" s="263"/>
      <c r="E116" s="263"/>
      <c r="F116" s="263"/>
    </row>
    <row r="117" spans="2:6" ht="15">
      <c r="B117" s="263"/>
      <c r="C117" s="263"/>
      <c r="D117" s="263"/>
      <c r="E117" s="263"/>
      <c r="F117" s="263"/>
    </row>
    <row r="118" spans="2:6" ht="15">
      <c r="B118" s="263"/>
      <c r="C118" s="263"/>
      <c r="D118" s="263"/>
      <c r="E118" s="263"/>
      <c r="F118" s="263"/>
    </row>
    <row r="119" spans="2:6" ht="15">
      <c r="B119" s="263"/>
      <c r="C119" s="263"/>
      <c r="D119" s="263"/>
      <c r="E119" s="263"/>
      <c r="F119" s="263"/>
    </row>
    <row r="120" spans="2:6" ht="15">
      <c r="B120" s="263"/>
      <c r="C120" s="263"/>
      <c r="D120" s="263"/>
      <c r="E120" s="263"/>
      <c r="F120" s="263"/>
    </row>
    <row r="121" spans="2:6" ht="15">
      <c r="B121" s="263"/>
      <c r="C121" s="263"/>
      <c r="D121" s="263"/>
      <c r="E121" s="263"/>
      <c r="F121" s="263"/>
    </row>
    <row r="122" spans="2:6" ht="15">
      <c r="B122" s="263"/>
      <c r="C122" s="263"/>
      <c r="D122" s="263"/>
      <c r="E122" s="263"/>
      <c r="F122" s="263"/>
    </row>
    <row r="123" spans="2:6" ht="15">
      <c r="B123" s="263"/>
      <c r="C123" s="263"/>
      <c r="D123" s="263"/>
      <c r="E123" s="263"/>
      <c r="F123" s="263"/>
    </row>
    <row r="124" spans="2:6" ht="15">
      <c r="B124" s="263"/>
      <c r="C124" s="263"/>
      <c r="D124" s="263"/>
      <c r="E124" s="263"/>
      <c r="F124" s="263"/>
    </row>
    <row r="125" spans="2:6" ht="15">
      <c r="B125" s="263"/>
      <c r="C125" s="263"/>
      <c r="D125" s="263"/>
      <c r="E125" s="263"/>
      <c r="F125" s="263"/>
    </row>
    <row r="126" spans="2:6" ht="15">
      <c r="B126" s="263"/>
      <c r="C126" s="263"/>
      <c r="D126" s="263"/>
      <c r="E126" s="263"/>
      <c r="F126" s="263"/>
    </row>
    <row r="127" spans="2:6" ht="15">
      <c r="B127" s="263"/>
      <c r="C127" s="263"/>
      <c r="D127" s="263"/>
      <c r="E127" s="263"/>
      <c r="F127" s="263"/>
    </row>
    <row r="128" spans="2:6" ht="15">
      <c r="B128" s="263"/>
      <c r="C128" s="263"/>
      <c r="D128" s="263"/>
      <c r="E128" s="263"/>
      <c r="F128" s="263"/>
    </row>
  </sheetData>
  <sheetProtection password="D950" sheet="1" scenarios="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phoneticPr fontId="0" type="noConversion"/>
  <printOptions horizontalCentered="1" verticalCentered="1" gridLines="1"/>
  <pageMargins left="0.25" right="0.25" top="0.75" bottom="0.75" header="0.5" footer="0.5"/>
  <pageSetup scale="75" orientation="portrait" horizontalDpi="360" verticalDpi="360"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51"/>
  <sheetViews>
    <sheetView topLeftCell="B1" workbookViewId="0">
      <selection activeCell="J28" sqref="J28"/>
    </sheetView>
  </sheetViews>
  <sheetFormatPr defaultRowHeight="12.75"/>
  <cols>
    <col min="1" max="2" width="3.7109375" style="1117" customWidth="1"/>
    <col min="3" max="16384" width="9.140625" style="1117"/>
  </cols>
  <sheetData>
    <row r="1" spans="1:14" ht="18">
      <c r="A1" s="4" t="str">
        <f>'COVER PAGE'!A9</f>
        <v>TOWN OF BROADUS</v>
      </c>
      <c r="B1" s="2"/>
      <c r="C1" s="2"/>
      <c r="D1" s="2"/>
      <c r="E1" s="2"/>
      <c r="F1" s="2"/>
      <c r="G1" s="2"/>
      <c r="H1" s="2"/>
      <c r="I1" s="2"/>
      <c r="J1" s="2"/>
      <c r="K1" s="2"/>
      <c r="L1" s="2"/>
      <c r="M1" s="2"/>
    </row>
    <row r="2" spans="1:14" ht="18">
      <c r="A2" s="4" t="s">
        <v>1319</v>
      </c>
      <c r="B2" s="2"/>
      <c r="C2" s="2"/>
      <c r="D2" s="2"/>
      <c r="E2" s="2"/>
      <c r="F2" s="2"/>
      <c r="G2" s="2"/>
      <c r="H2" s="2"/>
      <c r="I2" s="2"/>
      <c r="J2" s="2"/>
      <c r="K2" s="2"/>
      <c r="L2" s="2"/>
      <c r="M2" s="2"/>
    </row>
    <row r="3" spans="1:14" ht="18">
      <c r="A3" s="5" t="s">
        <v>3242</v>
      </c>
      <c r="B3" s="2"/>
      <c r="C3" s="2"/>
      <c r="D3" s="2"/>
      <c r="E3" s="2"/>
      <c r="F3" s="2"/>
      <c r="G3" s="2"/>
      <c r="H3" s="2"/>
      <c r="I3" s="2"/>
      <c r="J3" s="2"/>
      <c r="K3" s="2"/>
      <c r="L3" s="2"/>
      <c r="M3" s="2"/>
    </row>
    <row r="4" spans="1:14" ht="12" customHeight="1">
      <c r="A4" s="5"/>
      <c r="B4" s="2"/>
      <c r="C4" s="2"/>
      <c r="D4" s="2"/>
      <c r="E4" s="2"/>
      <c r="F4" s="2"/>
      <c r="G4" s="2"/>
      <c r="H4" s="2"/>
      <c r="I4" s="2"/>
      <c r="J4" s="2"/>
      <c r="K4" s="2"/>
      <c r="L4" s="2"/>
      <c r="M4" s="2"/>
    </row>
    <row r="5" spans="1:14" ht="25.5" customHeight="1">
      <c r="C5" s="1452" t="s">
        <v>3258</v>
      </c>
      <c r="D5" s="1452"/>
      <c r="E5" s="1452"/>
      <c r="F5" s="1452"/>
      <c r="G5" s="1452"/>
      <c r="H5" s="1452"/>
      <c r="I5" s="1452"/>
      <c r="J5" s="1452"/>
      <c r="K5" s="1452"/>
      <c r="L5" s="1452"/>
      <c r="M5" s="1452"/>
      <c r="N5" s="1452"/>
    </row>
    <row r="6" spans="1:14">
      <c r="A6" s="15" t="s">
        <v>1320</v>
      </c>
      <c r="C6" s="17" t="s">
        <v>3259</v>
      </c>
    </row>
    <row r="7" spans="1:14" ht="40.5" customHeight="1">
      <c r="A7" s="15"/>
      <c r="C7" s="1453" t="s">
        <v>3260</v>
      </c>
      <c r="D7" s="1453"/>
      <c r="E7" s="1453"/>
      <c r="F7" s="1453"/>
      <c r="G7" s="1453"/>
      <c r="H7" s="1453"/>
      <c r="I7" s="1453"/>
      <c r="J7" s="1453"/>
      <c r="K7" s="1453"/>
      <c r="L7" s="1453"/>
      <c r="M7" s="1453"/>
      <c r="N7" s="1453"/>
    </row>
    <row r="8" spans="1:14" ht="9" customHeight="1">
      <c r="A8" s="15"/>
      <c r="C8" s="1119"/>
      <c r="D8" s="1119"/>
      <c r="E8" s="1119"/>
      <c r="F8" s="1119"/>
      <c r="G8" s="1119"/>
      <c r="H8" s="1119"/>
      <c r="I8" s="1119"/>
      <c r="J8" s="1119"/>
      <c r="K8" s="1119"/>
      <c r="L8" s="1119"/>
      <c r="M8" s="1119"/>
      <c r="N8" s="1119"/>
    </row>
    <row r="9" spans="1:14" ht="12.75" customHeight="1">
      <c r="A9" s="15"/>
      <c r="C9" s="1120" t="s">
        <v>3261</v>
      </c>
      <c r="D9" s="1120"/>
      <c r="E9" s="1120"/>
      <c r="F9" s="1120"/>
      <c r="G9" s="1120"/>
      <c r="H9" s="1120"/>
      <c r="I9" s="1120"/>
      <c r="J9" s="1120"/>
      <c r="K9" s="1120"/>
      <c r="L9" s="1120"/>
    </row>
    <row r="10" spans="1:14" ht="12.75" customHeight="1">
      <c r="A10" s="15"/>
      <c r="C10" s="1120" t="s">
        <v>3262</v>
      </c>
      <c r="D10" s="1120"/>
      <c r="E10" s="1120"/>
      <c r="F10" s="1120"/>
      <c r="G10" s="1120"/>
      <c r="H10" s="1120"/>
      <c r="I10" s="1120"/>
      <c r="J10" s="1120"/>
      <c r="K10" s="1120"/>
      <c r="L10" s="1120"/>
    </row>
    <row r="11" spans="1:14" ht="12.75" customHeight="1">
      <c r="A11" s="15"/>
      <c r="C11" s="1120" t="s">
        <v>3263</v>
      </c>
      <c r="D11" s="1120"/>
      <c r="E11" s="1120"/>
      <c r="F11" s="1120"/>
      <c r="G11" s="1120"/>
      <c r="H11" s="1120"/>
      <c r="I11" s="1120"/>
      <c r="J11" s="1120"/>
      <c r="K11" s="1120"/>
      <c r="L11" s="1120"/>
    </row>
    <row r="12" spans="1:14" ht="12.75" customHeight="1">
      <c r="A12" s="15"/>
      <c r="C12" s="1120" t="s">
        <v>3264</v>
      </c>
      <c r="D12" s="1120"/>
      <c r="E12" s="1120"/>
      <c r="F12" s="1120"/>
      <c r="G12" s="1120"/>
      <c r="H12" s="1120"/>
      <c r="I12" s="1120"/>
      <c r="J12" s="1120"/>
      <c r="K12" s="1120"/>
      <c r="L12" s="1120"/>
    </row>
    <row r="13" spans="1:14" ht="12.75" customHeight="1">
      <c r="A13" s="15"/>
      <c r="C13" s="1120" t="s">
        <v>3265</v>
      </c>
      <c r="D13" s="1120"/>
      <c r="E13" s="1120"/>
      <c r="F13" s="1120"/>
      <c r="G13" s="1120"/>
      <c r="H13" s="1120"/>
      <c r="I13" s="1120"/>
      <c r="J13" s="1120"/>
      <c r="K13" s="1120"/>
      <c r="L13" s="1120"/>
    </row>
    <row r="14" spans="1:14" ht="12.75" customHeight="1">
      <c r="A14" s="15"/>
      <c r="C14" s="1120" t="s">
        <v>3266</v>
      </c>
      <c r="D14" s="1120"/>
      <c r="E14" s="1120"/>
      <c r="F14" s="1120"/>
      <c r="G14" s="1120"/>
      <c r="H14" s="1120"/>
      <c r="I14" s="1120"/>
      <c r="J14" s="1120"/>
      <c r="K14" s="1120"/>
      <c r="L14" s="1120"/>
    </row>
    <row r="15" spans="1:14" ht="12.75" customHeight="1">
      <c r="A15" s="15"/>
      <c r="C15" s="1120" t="s">
        <v>3267</v>
      </c>
      <c r="D15" s="1120"/>
      <c r="E15" s="1120"/>
      <c r="F15" s="1120"/>
      <c r="G15" s="1120"/>
      <c r="H15" s="1120"/>
      <c r="I15" s="1120"/>
      <c r="J15" s="1120"/>
      <c r="K15" s="1120"/>
      <c r="L15" s="1120"/>
    </row>
    <row r="16" spans="1:14" ht="12.75" customHeight="1">
      <c r="A16" s="15"/>
      <c r="C16" s="1120" t="s">
        <v>3268</v>
      </c>
      <c r="D16" s="1120"/>
      <c r="E16" s="1120"/>
      <c r="F16" s="1120"/>
      <c r="G16" s="1120"/>
      <c r="H16" s="1120"/>
      <c r="I16" s="1120"/>
      <c r="J16" s="1120"/>
      <c r="K16" s="1120"/>
      <c r="L16" s="1120"/>
    </row>
    <row r="17" spans="1:12" ht="12.75" customHeight="1">
      <c r="A17" s="15"/>
      <c r="C17" s="1120" t="s">
        <v>3269</v>
      </c>
      <c r="D17" s="1120"/>
      <c r="E17" s="1120"/>
      <c r="F17" s="1120"/>
      <c r="G17" s="1120"/>
      <c r="H17" s="1120"/>
      <c r="I17" s="1120"/>
      <c r="J17" s="1120"/>
      <c r="K17" s="1120"/>
      <c r="L17" s="1120"/>
    </row>
    <row r="18" spans="1:12" ht="12.75" customHeight="1">
      <c r="A18" s="15"/>
      <c r="C18" s="1120" t="s">
        <v>3270</v>
      </c>
      <c r="D18" s="1120"/>
      <c r="E18" s="1120"/>
      <c r="F18" s="1120"/>
      <c r="G18" s="1120"/>
      <c r="H18" s="1120"/>
      <c r="I18" s="1120"/>
      <c r="J18" s="1120"/>
      <c r="K18" s="1120"/>
      <c r="L18" s="1120"/>
    </row>
    <row r="19" spans="1:12" ht="12.75" customHeight="1">
      <c r="A19" s="15"/>
      <c r="C19" s="1120" t="s">
        <v>3271</v>
      </c>
      <c r="D19" s="1120"/>
      <c r="E19" s="1120"/>
      <c r="F19" s="1120"/>
      <c r="G19" s="1120"/>
      <c r="H19" s="1120"/>
      <c r="I19" s="1120"/>
      <c r="J19" s="1120"/>
      <c r="K19" s="1120"/>
      <c r="L19" s="1120"/>
    </row>
    <row r="20" spans="1:12" ht="12.75" customHeight="1">
      <c r="A20" s="15"/>
      <c r="C20" s="1120"/>
      <c r="D20" s="1120"/>
      <c r="E20" s="1120"/>
      <c r="F20" s="1120"/>
      <c r="G20" s="1120"/>
      <c r="H20" s="1120"/>
      <c r="I20" s="1120"/>
      <c r="J20" s="1120"/>
      <c r="K20" s="1120"/>
      <c r="L20" s="1120"/>
    </row>
    <row r="21" spans="1:12" ht="12.75" customHeight="1">
      <c r="A21" s="15"/>
      <c r="C21" s="1454" t="s">
        <v>3252</v>
      </c>
      <c r="D21" s="1455"/>
      <c r="E21" s="1455"/>
      <c r="F21" s="1455"/>
      <c r="G21" s="1455"/>
      <c r="H21" s="1455"/>
      <c r="I21" s="1455"/>
      <c r="J21" s="1455"/>
      <c r="K21" s="1455"/>
      <c r="L21" s="1455"/>
    </row>
    <row r="23" spans="1:12">
      <c r="B23" s="1118" t="s">
        <v>1321</v>
      </c>
      <c r="C23" s="785" t="s">
        <v>671</v>
      </c>
    </row>
    <row r="25" spans="1:12">
      <c r="C25" s="1117" t="s">
        <v>3696</v>
      </c>
    </row>
    <row r="26" spans="1:12">
      <c r="C26" s="1117" t="s">
        <v>3697</v>
      </c>
    </row>
    <row r="27" spans="1:12">
      <c r="C27" s="1117" t="s">
        <v>1091</v>
      </c>
    </row>
    <row r="28" spans="1:12">
      <c r="C28" s="1117" t="s">
        <v>573</v>
      </c>
    </row>
    <row r="29" spans="1:12">
      <c r="C29" s="1117" t="s">
        <v>574</v>
      </c>
    </row>
    <row r="30" spans="1:12">
      <c r="C30" s="1117" t="s">
        <v>993</v>
      </c>
    </row>
    <row r="31" spans="1:12">
      <c r="C31" s="1117" t="s">
        <v>609</v>
      </c>
    </row>
    <row r="33" spans="2:3">
      <c r="B33" s="1118" t="s">
        <v>117</v>
      </c>
      <c r="C33" s="785" t="s">
        <v>947</v>
      </c>
    </row>
    <row r="34" spans="2:3">
      <c r="C34" s="787" t="s">
        <v>1808</v>
      </c>
    </row>
    <row r="35" spans="2:3">
      <c r="C35" s="1117" t="s">
        <v>948</v>
      </c>
    </row>
    <row r="36" spans="2:3">
      <c r="C36" s="1117" t="s">
        <v>949</v>
      </c>
    </row>
    <row r="37" spans="2:3">
      <c r="C37" s="1117" t="s">
        <v>430</v>
      </c>
    </row>
    <row r="38" spans="2:3">
      <c r="C38" s="1117" t="s">
        <v>431</v>
      </c>
    </row>
    <row r="40" spans="2:3">
      <c r="C40" s="1117" t="s">
        <v>1114</v>
      </c>
    </row>
    <row r="41" spans="2:3">
      <c r="C41" s="1117" t="s">
        <v>464</v>
      </c>
    </row>
    <row r="42" spans="2:3">
      <c r="C42" s="1117" t="s">
        <v>1116</v>
      </c>
    </row>
    <row r="43" spans="2:3">
      <c r="C43" s="1117" t="s">
        <v>1113</v>
      </c>
    </row>
    <row r="44" spans="2:3">
      <c r="C44" s="1117" t="s">
        <v>242</v>
      </c>
    </row>
    <row r="46" spans="2:3">
      <c r="C46" s="1117" t="s">
        <v>432</v>
      </c>
    </row>
    <row r="47" spans="2:3">
      <c r="C47" s="1117" t="s">
        <v>433</v>
      </c>
    </row>
    <row r="48" spans="2:3">
      <c r="C48" s="1117" t="s">
        <v>545</v>
      </c>
    </row>
    <row r="51" spans="1:15" ht="15.75">
      <c r="A51" s="123" t="s">
        <v>1720</v>
      </c>
      <c r="B51" s="2"/>
      <c r="C51" s="2"/>
      <c r="D51" s="2"/>
      <c r="E51" s="2"/>
      <c r="F51" s="2"/>
      <c r="G51" s="2"/>
      <c r="H51" s="2"/>
      <c r="I51" s="2"/>
      <c r="J51" s="2"/>
      <c r="K51" s="2"/>
      <c r="L51" s="2"/>
      <c r="M51" s="2"/>
      <c r="N51" s="2"/>
      <c r="O51" s="2"/>
    </row>
  </sheetData>
  <mergeCells count="3">
    <mergeCell ref="C5:N5"/>
    <mergeCell ref="C7:N7"/>
    <mergeCell ref="C21:L21"/>
  </mergeCells>
  <printOptions horizontalCentered="1" verticalCentered="1"/>
  <pageMargins left="0.25" right="0.25" top="0.5" bottom="0.5" header="0.05" footer="0.05"/>
  <pageSetup scale="82" orientation="portrait" horizontalDpi="360" verticalDpi="36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O75"/>
  <sheetViews>
    <sheetView topLeftCell="A11" workbookViewId="0">
      <selection activeCell="A54" sqref="A54:XFD54"/>
    </sheetView>
  </sheetViews>
  <sheetFormatPr defaultRowHeight="12.75"/>
  <cols>
    <col min="1" max="2" width="3.7109375" customWidth="1"/>
  </cols>
  <sheetData>
    <row r="1" spans="1:15" ht="18">
      <c r="A1" s="4" t="str">
        <f>'NOTE TO FIN ST (23)'!A1</f>
        <v>TOWN OF BROADUS</v>
      </c>
      <c r="B1" s="2"/>
      <c r="C1" s="2"/>
      <c r="D1" s="2"/>
      <c r="E1" s="2"/>
      <c r="F1" s="2"/>
      <c r="G1" s="2"/>
      <c r="H1" s="2"/>
      <c r="I1" s="2"/>
      <c r="J1" s="2"/>
      <c r="K1" s="2"/>
      <c r="L1" s="2"/>
      <c r="M1" s="2"/>
      <c r="N1" s="2"/>
      <c r="O1" s="2"/>
    </row>
    <row r="2" spans="1:15" ht="18">
      <c r="A2" s="4" t="s">
        <v>1319</v>
      </c>
      <c r="B2" s="2"/>
      <c r="C2" s="2"/>
      <c r="D2" s="2"/>
      <c r="E2" s="2"/>
      <c r="F2" s="2"/>
      <c r="G2" s="2"/>
      <c r="H2" s="2"/>
      <c r="I2" s="2"/>
      <c r="J2" s="2"/>
      <c r="K2" s="2"/>
      <c r="L2" s="2"/>
      <c r="M2" s="2"/>
      <c r="N2" s="2"/>
      <c r="O2" s="2"/>
    </row>
    <row r="3" spans="1:15" ht="18">
      <c r="A3" s="5" t="str">
        <f>'NOTE TO FIN ST (23)'!A3</f>
        <v>FISCAL YEAR ENDING JUNE 30, 2017</v>
      </c>
      <c r="B3" s="2"/>
      <c r="C3" s="2"/>
      <c r="D3" s="2"/>
      <c r="E3" s="2"/>
      <c r="F3" s="2"/>
      <c r="G3" s="2"/>
      <c r="H3" s="2"/>
      <c r="I3" s="2"/>
      <c r="J3" s="2"/>
      <c r="K3" s="2"/>
      <c r="L3" s="2"/>
      <c r="M3" s="2"/>
      <c r="N3" s="2"/>
      <c r="O3" s="2"/>
    </row>
    <row r="5" spans="1:15">
      <c r="A5" s="15" t="s">
        <v>1320</v>
      </c>
      <c r="C5" s="17" t="s">
        <v>546</v>
      </c>
    </row>
    <row r="7" spans="1:15">
      <c r="B7" s="16" t="s">
        <v>547</v>
      </c>
      <c r="C7" s="18" t="s">
        <v>1075</v>
      </c>
    </row>
    <row r="8" spans="1:15">
      <c r="C8" t="s">
        <v>662</v>
      </c>
    </row>
    <row r="9" spans="1:15">
      <c r="C9" t="s">
        <v>384</v>
      </c>
    </row>
    <row r="10" spans="1:15">
      <c r="C10" t="s">
        <v>556</v>
      </c>
    </row>
    <row r="11" spans="1:15">
      <c r="C11" t="s">
        <v>557</v>
      </c>
    </row>
    <row r="13" spans="1:15">
      <c r="C13" t="s">
        <v>18</v>
      </c>
    </row>
    <row r="14" spans="1:15">
      <c r="C14" t="s">
        <v>19</v>
      </c>
    </row>
    <row r="15" spans="1:15">
      <c r="C15" t="s">
        <v>20</v>
      </c>
    </row>
    <row r="16" spans="1:15">
      <c r="C16" t="s">
        <v>21</v>
      </c>
    </row>
    <row r="17" spans="3:3">
      <c r="C17" t="s">
        <v>23</v>
      </c>
    </row>
    <row r="18" spans="3:3">
      <c r="C18" t="s">
        <v>24</v>
      </c>
    </row>
    <row r="20" spans="3:3">
      <c r="C20" t="s">
        <v>17</v>
      </c>
    </row>
    <row r="21" spans="3:3">
      <c r="C21" t="s">
        <v>1187</v>
      </c>
    </row>
    <row r="22" spans="3:3">
      <c r="C22" t="s">
        <v>575</v>
      </c>
    </row>
    <row r="23" spans="3:3">
      <c r="C23" t="s">
        <v>1349</v>
      </c>
    </row>
    <row r="24" spans="3:3">
      <c r="C24" s="882" t="s">
        <v>2652</v>
      </c>
    </row>
    <row r="25" spans="3:3" s="784" customFormat="1">
      <c r="C25" s="882"/>
    </row>
    <row r="26" spans="3:3" s="784" customFormat="1">
      <c r="C26" s="883" t="s">
        <v>2653</v>
      </c>
    </row>
    <row r="27" spans="3:3" s="784" customFormat="1">
      <c r="C27" s="883" t="s">
        <v>2654</v>
      </c>
    </row>
    <row r="28" spans="3:3" s="784" customFormat="1">
      <c r="C28" s="884" t="s">
        <v>2655</v>
      </c>
    </row>
    <row r="29" spans="3:3" s="784" customFormat="1">
      <c r="C29" s="883" t="s">
        <v>2656</v>
      </c>
    </row>
    <row r="30" spans="3:3">
      <c r="C30" s="883" t="s">
        <v>2657</v>
      </c>
    </row>
    <row r="31" spans="3:3" s="784" customFormat="1">
      <c r="C31" s="883"/>
    </row>
    <row r="32" spans="3:3">
      <c r="C32" s="19" t="s">
        <v>1351</v>
      </c>
    </row>
    <row r="34" spans="3:4">
      <c r="D34" t="s">
        <v>1350</v>
      </c>
    </row>
    <row r="35" spans="3:4">
      <c r="D35" t="s">
        <v>1353</v>
      </c>
    </row>
    <row r="37" spans="3:4">
      <c r="D37" t="s">
        <v>3698</v>
      </c>
    </row>
    <row r="38" spans="3:4">
      <c r="D38" t="s">
        <v>1353</v>
      </c>
    </row>
    <row r="39" spans="3:4">
      <c r="D39" t="s">
        <v>3699</v>
      </c>
    </row>
    <row r="40" spans="3:4">
      <c r="D40" t="s">
        <v>3700</v>
      </c>
    </row>
    <row r="41" spans="3:4">
      <c r="D41" t="s">
        <v>3701</v>
      </c>
    </row>
    <row r="42" spans="3:4">
      <c r="D42" t="s">
        <v>3702</v>
      </c>
    </row>
    <row r="44" spans="3:4">
      <c r="C44" s="19" t="s">
        <v>1352</v>
      </c>
    </row>
    <row r="46" spans="3:4">
      <c r="D46" t="s">
        <v>1238</v>
      </c>
    </row>
    <row r="47" spans="3:4">
      <c r="D47" t="s">
        <v>1237</v>
      </c>
    </row>
    <row r="49" spans="3:4">
      <c r="D49" t="s">
        <v>293</v>
      </c>
    </row>
    <row r="50" spans="3:4">
      <c r="D50" t="s">
        <v>1237</v>
      </c>
    </row>
    <row r="52" spans="3:4">
      <c r="D52" t="s">
        <v>3703</v>
      </c>
    </row>
    <row r="53" spans="3:4">
      <c r="D53" t="s">
        <v>3704</v>
      </c>
    </row>
    <row r="55" spans="3:4">
      <c r="C55" s="19" t="s">
        <v>1354</v>
      </c>
    </row>
    <row r="57" spans="3:4">
      <c r="D57" t="s">
        <v>294</v>
      </c>
    </row>
    <row r="58" spans="3:4">
      <c r="D58" t="s">
        <v>466</v>
      </c>
    </row>
    <row r="60" spans="3:4">
      <c r="D60" t="s">
        <v>295</v>
      </c>
    </row>
    <row r="61" spans="3:4">
      <c r="D61" t="s">
        <v>467</v>
      </c>
    </row>
    <row r="62" spans="3:4">
      <c r="D62" t="s">
        <v>167</v>
      </c>
    </row>
    <row r="64" spans="3:4">
      <c r="D64" t="s">
        <v>1083</v>
      </c>
    </row>
    <row r="65" spans="1:15">
      <c r="D65" t="s">
        <v>1231</v>
      </c>
    </row>
    <row r="67" spans="1:15">
      <c r="D67" t="s">
        <v>255</v>
      </c>
    </row>
    <row r="68" spans="1:15">
      <c r="D68" t="s">
        <v>256</v>
      </c>
    </row>
    <row r="69" spans="1:15" s="784" customFormat="1"/>
    <row r="70" spans="1:15" s="784" customFormat="1">
      <c r="D70" s="784" t="s">
        <v>2661</v>
      </c>
    </row>
    <row r="71" spans="1:15" s="784" customFormat="1">
      <c r="D71" s="1456" t="s">
        <v>2660</v>
      </c>
      <c r="E71" s="1456"/>
      <c r="F71" s="1456"/>
      <c r="G71" s="1456"/>
      <c r="H71" s="1456"/>
      <c r="I71" s="1456"/>
      <c r="J71" s="1456"/>
      <c r="K71" s="1456"/>
      <c r="L71" s="1456"/>
      <c r="M71" s="1456"/>
      <c r="N71" s="1456"/>
      <c r="O71" s="1456"/>
    </row>
    <row r="72" spans="1:15" s="784" customFormat="1">
      <c r="D72" s="784" t="s">
        <v>2658</v>
      </c>
    </row>
    <row r="73" spans="1:15" s="784" customFormat="1">
      <c r="D73" s="784" t="s">
        <v>2659</v>
      </c>
    </row>
    <row r="75" spans="1:15" ht="15.75">
      <c r="A75" s="123" t="s">
        <v>1721</v>
      </c>
      <c r="B75" s="2"/>
      <c r="C75" s="2"/>
      <c r="D75" s="2"/>
      <c r="E75" s="2"/>
      <c r="F75" s="2"/>
      <c r="G75" s="2"/>
      <c r="H75" s="2"/>
      <c r="I75" s="2"/>
      <c r="J75" s="2"/>
      <c r="K75" s="2"/>
      <c r="L75" s="2"/>
      <c r="M75" s="2"/>
      <c r="N75" s="2"/>
      <c r="O75" s="2"/>
    </row>
  </sheetData>
  <customSheetViews>
    <customSheetView guid="{FC3B3501-CA52-40D7-B049-0E027A15B235}" fitToPage="1" topLeftCell="A40">
      <selection activeCell="N78" sqref="N78"/>
      <pageMargins left="0.25" right="0.25" top="0.75" bottom="0.75" header="0.5" footer="0.5"/>
      <printOptions horizontalCentered="1" verticalCentered="1"/>
      <pageSetup scale="70" orientation="portrait" horizontalDpi="360" verticalDpi="360" r:id="rId1"/>
      <headerFooter alignWithMargins="0"/>
    </customSheetView>
  </customSheetViews>
  <mergeCells count="1">
    <mergeCell ref="D71:O71"/>
  </mergeCells>
  <phoneticPr fontId="0" type="noConversion"/>
  <printOptions horizontalCentered="1" verticalCentered="1"/>
  <pageMargins left="0.25" right="0.25" top="0.5" bottom="0.5" header="0.05" footer="0.05"/>
  <pageSetup scale="76" orientation="portrait" r:id="rId2"/>
  <headerFooter alignWithMargins="0"/>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O59"/>
  <sheetViews>
    <sheetView topLeftCell="A31" workbookViewId="0">
      <selection activeCell="A35" sqref="A35:XFD35"/>
    </sheetView>
  </sheetViews>
  <sheetFormatPr defaultRowHeight="12.75"/>
  <cols>
    <col min="1" max="2" width="3.7109375" customWidth="1"/>
  </cols>
  <sheetData>
    <row r="1" spans="1:15" ht="18">
      <c r="A1" s="4" t="str">
        <f>'NOTES TO FIN ST (24)'!A1</f>
        <v>TOWN OF BROADUS</v>
      </c>
      <c r="B1" s="2"/>
      <c r="C1" s="2"/>
      <c r="D1" s="2"/>
      <c r="E1" s="2"/>
      <c r="F1" s="2"/>
      <c r="G1" s="2"/>
      <c r="H1" s="2"/>
      <c r="I1" s="2"/>
      <c r="J1" s="2"/>
      <c r="K1" s="2"/>
      <c r="L1" s="2"/>
      <c r="M1" s="2"/>
      <c r="N1" s="2"/>
      <c r="O1" s="2"/>
    </row>
    <row r="2" spans="1:15" ht="18">
      <c r="A2" s="4" t="s">
        <v>1319</v>
      </c>
      <c r="B2" s="2"/>
      <c r="C2" s="2"/>
      <c r="D2" s="2"/>
      <c r="E2" s="2"/>
      <c r="F2" s="2"/>
      <c r="G2" s="2"/>
      <c r="H2" s="2"/>
      <c r="I2" s="2"/>
      <c r="J2" s="2"/>
      <c r="K2" s="2"/>
      <c r="L2" s="2"/>
      <c r="M2" s="2"/>
      <c r="N2" s="2"/>
      <c r="O2" s="2"/>
    </row>
    <row r="3" spans="1:15" ht="18">
      <c r="A3" s="5" t="str">
        <f>'NOTES TO FIN ST (24)'!A3</f>
        <v>FISCAL YEAR ENDING JUNE 30, 2017</v>
      </c>
      <c r="B3" s="2"/>
      <c r="C3" s="2"/>
      <c r="D3" s="2"/>
      <c r="E3" s="2"/>
      <c r="F3" s="2"/>
      <c r="G3" s="2"/>
      <c r="H3" s="2"/>
      <c r="I3" s="2"/>
      <c r="J3" s="2"/>
      <c r="K3" s="2"/>
      <c r="L3" s="2"/>
      <c r="M3" s="2"/>
      <c r="N3" s="2"/>
      <c r="O3" s="2"/>
    </row>
    <row r="5" spans="1:15">
      <c r="A5" s="15" t="s">
        <v>1320</v>
      </c>
      <c r="C5" s="17" t="s">
        <v>546</v>
      </c>
    </row>
    <row r="7" spans="1:15">
      <c r="B7" s="16" t="s">
        <v>547</v>
      </c>
      <c r="C7" s="18" t="s">
        <v>1355</v>
      </c>
    </row>
    <row r="8" spans="1:15">
      <c r="C8" s="886" t="s">
        <v>2662</v>
      </c>
    </row>
    <row r="9" spans="1:15">
      <c r="C9" s="886" t="s">
        <v>2663</v>
      </c>
    </row>
    <row r="10" spans="1:15">
      <c r="C10" s="886" t="s">
        <v>2664</v>
      </c>
    </row>
    <row r="11" spans="1:15">
      <c r="C11" s="887" t="s">
        <v>2665</v>
      </c>
    </row>
    <row r="12" spans="1:15">
      <c r="C12" s="887" t="s">
        <v>2666</v>
      </c>
    </row>
    <row r="13" spans="1:15">
      <c r="C13" s="887" t="s">
        <v>2667</v>
      </c>
    </row>
    <row r="14" spans="1:15" s="784" customFormat="1">
      <c r="C14" s="887"/>
    </row>
    <row r="15" spans="1:15">
      <c r="C15" t="s">
        <v>259</v>
      </c>
    </row>
    <row r="16" spans="1:15">
      <c r="C16" t="s">
        <v>663</v>
      </c>
    </row>
    <row r="17" spans="2:15">
      <c r="C17" t="s">
        <v>260</v>
      </c>
    </row>
    <row r="19" spans="2:15">
      <c r="C19" t="s">
        <v>1346</v>
      </c>
    </row>
    <row r="20" spans="2:15">
      <c r="C20" t="s">
        <v>1348</v>
      </c>
    </row>
    <row r="21" spans="2:15">
      <c r="C21" t="s">
        <v>1422</v>
      </c>
    </row>
    <row r="23" spans="2:15">
      <c r="C23" t="s">
        <v>291</v>
      </c>
    </row>
    <row r="24" spans="2:15">
      <c r="C24" t="s">
        <v>292</v>
      </c>
    </row>
    <row r="25" spans="2:15">
      <c r="C25" t="s">
        <v>845</v>
      </c>
    </row>
    <row r="26" spans="2:15">
      <c r="C26" t="s">
        <v>1184</v>
      </c>
    </row>
    <row r="27" spans="2:15">
      <c r="C27" t="s">
        <v>1185</v>
      </c>
    </row>
    <row r="29" spans="2:15">
      <c r="B29" s="16" t="s">
        <v>1186</v>
      </c>
      <c r="C29" s="888" t="s">
        <v>2668</v>
      </c>
    </row>
    <row r="30" spans="2:15">
      <c r="B30" s="16"/>
      <c r="C30" s="18"/>
    </row>
    <row r="31" spans="2:15">
      <c r="B31" s="16"/>
      <c r="C31" s="19" t="s">
        <v>434</v>
      </c>
    </row>
    <row r="32" spans="2:15" ht="55.5" customHeight="1">
      <c r="B32" s="16"/>
      <c r="C32" s="1457" t="s">
        <v>3083</v>
      </c>
      <c r="D32" s="1457"/>
      <c r="E32" s="1457"/>
      <c r="F32" s="1457"/>
      <c r="G32" s="1457"/>
      <c r="H32" s="1457"/>
      <c r="I32" s="1457"/>
      <c r="J32" s="1457"/>
      <c r="K32" s="1457"/>
      <c r="L32" s="1457"/>
      <c r="M32" s="1457"/>
      <c r="N32" s="1457"/>
      <c r="O32" s="1457"/>
    </row>
    <row r="33" spans="3:15" ht="53.25" customHeight="1">
      <c r="C33" s="1457" t="s">
        <v>3446</v>
      </c>
      <c r="D33" s="1457"/>
      <c r="E33" s="1457"/>
      <c r="F33" s="1457"/>
      <c r="G33" s="1457"/>
      <c r="H33" s="1457"/>
      <c r="I33" s="1457"/>
      <c r="J33" s="1457"/>
      <c r="K33" s="1457"/>
      <c r="L33" s="1457"/>
      <c r="M33" s="1457"/>
      <c r="N33" s="1457"/>
      <c r="O33" s="1457"/>
    </row>
    <row r="34" spans="3:15" ht="69" customHeight="1">
      <c r="C34" s="1458" t="s">
        <v>3084</v>
      </c>
      <c r="D34" s="1458"/>
      <c r="E34" s="1458"/>
      <c r="F34" s="1458"/>
      <c r="G34" s="1458"/>
      <c r="H34" s="1458"/>
      <c r="I34" s="1458"/>
      <c r="J34" s="1458"/>
      <c r="K34" s="1458"/>
      <c r="L34" s="1458"/>
      <c r="M34" s="1458"/>
      <c r="N34" s="1458"/>
      <c r="O34" s="1458"/>
    </row>
    <row r="35" spans="3:15">
      <c r="C35" s="51"/>
    </row>
    <row r="36" spans="3:15">
      <c r="C36" s="19" t="s">
        <v>435</v>
      </c>
    </row>
    <row r="37" spans="3:15">
      <c r="C37" t="s">
        <v>808</v>
      </c>
    </row>
    <row r="38" spans="3:15">
      <c r="C38" t="s">
        <v>436</v>
      </c>
    </row>
    <row r="39" spans="3:15">
      <c r="C39" t="s">
        <v>14</v>
      </c>
    </row>
    <row r="41" spans="3:15">
      <c r="C41" t="s">
        <v>2107</v>
      </c>
    </row>
    <row r="42" spans="3:15">
      <c r="C42" t="s">
        <v>16</v>
      </c>
    </row>
    <row r="43" spans="3:15">
      <c r="C43" t="s">
        <v>15</v>
      </c>
    </row>
    <row r="44" spans="3:15">
      <c r="C44" t="s">
        <v>495</v>
      </c>
    </row>
    <row r="46" spans="3:15">
      <c r="C46" s="19" t="s">
        <v>496</v>
      </c>
    </row>
    <row r="47" spans="3:15">
      <c r="C47" t="s">
        <v>782</v>
      </c>
    </row>
    <row r="49" spans="1:15">
      <c r="C49" t="s">
        <v>838</v>
      </c>
    </row>
    <row r="50" spans="1:15">
      <c r="C50" t="s">
        <v>839</v>
      </c>
    </row>
    <row r="52" spans="1:15">
      <c r="C52" s="19" t="s">
        <v>840</v>
      </c>
    </row>
    <row r="53" spans="1:15">
      <c r="C53" t="s">
        <v>841</v>
      </c>
    </row>
    <row r="54" spans="1:15">
      <c r="C54" t="s">
        <v>802</v>
      </c>
    </row>
    <row r="55" spans="1:15">
      <c r="C55" t="s">
        <v>803</v>
      </c>
    </row>
    <row r="56" spans="1:15">
      <c r="C56" t="s">
        <v>750</v>
      </c>
    </row>
    <row r="59" spans="1:15" ht="15.75">
      <c r="A59" s="123" t="s">
        <v>1722</v>
      </c>
      <c r="B59" s="2"/>
      <c r="C59" s="2"/>
      <c r="D59" s="2"/>
      <c r="E59" s="2"/>
      <c r="F59" s="2"/>
      <c r="G59" s="2"/>
      <c r="H59" s="2"/>
      <c r="I59" s="2"/>
      <c r="J59" s="2"/>
      <c r="K59" s="2"/>
      <c r="L59" s="2"/>
      <c r="M59" s="2"/>
      <c r="N59" s="2"/>
      <c r="O59" s="2"/>
    </row>
  </sheetData>
  <customSheetViews>
    <customSheetView guid="{FC3B3501-CA52-40D7-B049-0E027A15B235}" fitToPage="1">
      <selection activeCell="Q29" sqref="Q29"/>
      <pageMargins left="0.25" right="0.25" top="0.75" bottom="0.75" header="0.5" footer="0.5"/>
      <printOptions horizontalCentered="1" verticalCentered="1"/>
      <pageSetup scale="82" orientation="portrait" horizontalDpi="360" verticalDpi="360" r:id="rId1"/>
      <headerFooter alignWithMargins="0"/>
    </customSheetView>
  </customSheetViews>
  <mergeCells count="3">
    <mergeCell ref="C32:O32"/>
    <mergeCell ref="C33:O33"/>
    <mergeCell ref="C34:O34"/>
  </mergeCells>
  <phoneticPr fontId="0" type="noConversion"/>
  <printOptions horizontalCentered="1" verticalCentered="1"/>
  <pageMargins left="0" right="0" top="0.25" bottom="0.25" header="0.25" footer="0.25"/>
  <pageSetup scale="82"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O75"/>
  <sheetViews>
    <sheetView topLeftCell="A34" workbookViewId="0">
      <selection activeCell="N38" sqref="N38:O38"/>
    </sheetView>
  </sheetViews>
  <sheetFormatPr defaultRowHeight="12.75"/>
  <cols>
    <col min="1" max="2" width="3.7109375" customWidth="1"/>
  </cols>
  <sheetData>
    <row r="1" spans="1:15" ht="18">
      <c r="A1" s="4" t="str">
        <f>'NOTES TO FIN ST (25)'!A1</f>
        <v>TOWN OF BROADUS</v>
      </c>
      <c r="B1" s="2"/>
      <c r="C1" s="2"/>
      <c r="D1" s="2"/>
      <c r="E1" s="2"/>
      <c r="F1" s="2"/>
      <c r="G1" s="2"/>
      <c r="H1" s="2"/>
      <c r="I1" s="2"/>
      <c r="J1" s="2"/>
      <c r="K1" s="2"/>
      <c r="L1" s="2"/>
      <c r="M1" s="2"/>
      <c r="N1" s="2"/>
      <c r="O1" s="2"/>
    </row>
    <row r="2" spans="1:15" ht="18">
      <c r="A2" s="4" t="s">
        <v>1319</v>
      </c>
      <c r="B2" s="2"/>
      <c r="C2" s="2"/>
      <c r="D2" s="2"/>
      <c r="E2" s="2"/>
      <c r="F2" s="2"/>
      <c r="G2" s="2"/>
      <c r="H2" s="2"/>
      <c r="I2" s="2"/>
      <c r="J2" s="2"/>
      <c r="K2" s="2"/>
      <c r="L2" s="2"/>
      <c r="M2" s="2"/>
      <c r="N2" s="2"/>
      <c r="O2" s="2"/>
    </row>
    <row r="3" spans="1:15" ht="18">
      <c r="A3" s="5" t="str">
        <f>'NOTES TO FIN ST (25)'!A3</f>
        <v>FISCAL YEAR ENDING JUNE 30, 2017</v>
      </c>
      <c r="B3" s="2"/>
      <c r="C3" s="2"/>
      <c r="D3" s="2"/>
      <c r="E3" s="2"/>
      <c r="F3" s="2"/>
      <c r="G3" s="2"/>
      <c r="H3" s="2"/>
      <c r="I3" s="2"/>
      <c r="J3" s="2"/>
      <c r="K3" s="2"/>
      <c r="L3" s="2"/>
      <c r="M3" s="2"/>
      <c r="N3" s="2"/>
      <c r="O3" s="2"/>
    </row>
    <row r="5" spans="1:15">
      <c r="A5" s="15" t="s">
        <v>1320</v>
      </c>
      <c r="C5" s="17" t="s">
        <v>546</v>
      </c>
    </row>
    <row r="7" spans="1:15">
      <c r="B7" s="16" t="s">
        <v>1186</v>
      </c>
      <c r="C7" s="18" t="s">
        <v>1851</v>
      </c>
    </row>
    <row r="9" spans="1:15">
      <c r="C9" s="19" t="s">
        <v>751</v>
      </c>
    </row>
    <row r="10" spans="1:15">
      <c r="C10" t="s">
        <v>752</v>
      </c>
    </row>
    <row r="11" spans="1:15">
      <c r="C11" t="s">
        <v>481</v>
      </c>
    </row>
    <row r="12" spans="1:15">
      <c r="C12" s="51" t="s">
        <v>3705</v>
      </c>
    </row>
    <row r="13" spans="1:15">
      <c r="C13" t="s">
        <v>3706</v>
      </c>
    </row>
    <row r="14" spans="1:15">
      <c r="C14" t="s">
        <v>3228</v>
      </c>
    </row>
    <row r="16" spans="1:15">
      <c r="C16" t="s">
        <v>1092</v>
      </c>
    </row>
    <row r="18" spans="3:15">
      <c r="C18" t="s">
        <v>667</v>
      </c>
    </row>
    <row r="19" spans="3:15">
      <c r="C19" t="s">
        <v>1163</v>
      </c>
    </row>
    <row r="21" spans="3:15">
      <c r="E21" s="20" t="s">
        <v>1164</v>
      </c>
      <c r="I21" s="20" t="s">
        <v>1165</v>
      </c>
    </row>
    <row r="22" spans="3:15">
      <c r="E22" t="s">
        <v>1166</v>
      </c>
      <c r="I22" s="163">
        <v>30</v>
      </c>
    </row>
    <row r="23" spans="3:15">
      <c r="E23" t="s">
        <v>1167</v>
      </c>
      <c r="I23" s="163">
        <v>10</v>
      </c>
    </row>
    <row r="24" spans="3:15">
      <c r="E24" t="s">
        <v>1168</v>
      </c>
      <c r="I24" s="163">
        <v>20</v>
      </c>
    </row>
    <row r="25" spans="3:15">
      <c r="E25" t="s">
        <v>1169</v>
      </c>
      <c r="I25" s="163">
        <v>20</v>
      </c>
    </row>
    <row r="26" spans="3:15">
      <c r="E26" t="s">
        <v>1170</v>
      </c>
      <c r="I26" s="163">
        <v>10</v>
      </c>
    </row>
    <row r="27" spans="3:15">
      <c r="E27" t="s">
        <v>1173</v>
      </c>
      <c r="I27" s="163">
        <v>5</v>
      </c>
    </row>
    <row r="28" spans="3:15">
      <c r="E28" t="s">
        <v>1171</v>
      </c>
      <c r="I28" s="163">
        <v>5</v>
      </c>
    </row>
    <row r="29" spans="3:15" ht="12.75" customHeight="1">
      <c r="E29" t="s">
        <v>1172</v>
      </c>
      <c r="I29" s="163">
        <v>5</v>
      </c>
    </row>
    <row r="30" spans="3:15" s="784" customFormat="1">
      <c r="I30" s="875"/>
    </row>
    <row r="31" spans="3:15" s="784" customFormat="1">
      <c r="C31" s="891" t="s">
        <v>2669</v>
      </c>
      <c r="D31" s="889"/>
      <c r="E31" s="889"/>
      <c r="F31" s="889"/>
      <c r="G31" s="889"/>
      <c r="H31" s="889"/>
      <c r="I31" s="889"/>
      <c r="J31" s="889"/>
      <c r="K31" s="889"/>
      <c r="L31" s="889"/>
      <c r="M31" s="889"/>
      <c r="N31" s="889"/>
      <c r="O31" s="889"/>
    </row>
    <row r="32" spans="3:15" s="784" customFormat="1">
      <c r="C32" s="892" t="s">
        <v>2676</v>
      </c>
      <c r="D32" s="890"/>
      <c r="E32" s="890"/>
      <c r="F32" s="890"/>
      <c r="G32" s="890"/>
      <c r="H32" s="890"/>
      <c r="I32" s="890"/>
      <c r="J32" s="890"/>
      <c r="K32" s="890"/>
      <c r="L32" s="890"/>
      <c r="M32" s="890"/>
      <c r="N32" s="890"/>
      <c r="O32" s="890"/>
    </row>
    <row r="33" spans="3:15" s="784" customFormat="1">
      <c r="C33" s="892" t="s">
        <v>2675</v>
      </c>
      <c r="D33" s="890"/>
      <c r="E33" s="890"/>
      <c r="F33" s="890"/>
      <c r="G33" s="890"/>
      <c r="H33" s="890"/>
      <c r="I33" s="890"/>
      <c r="J33" s="890"/>
      <c r="K33" s="890"/>
      <c r="L33" s="890"/>
      <c r="M33" s="890"/>
      <c r="N33" s="890"/>
      <c r="O33" s="890"/>
    </row>
    <row r="34" spans="3:15" s="784" customFormat="1">
      <c r="C34" s="893" t="s">
        <v>2670</v>
      </c>
      <c r="D34" s="890"/>
      <c r="E34" s="890"/>
      <c r="F34" s="890"/>
      <c r="G34" s="890"/>
      <c r="H34" s="890"/>
      <c r="I34" s="890"/>
      <c r="J34" s="890"/>
      <c r="K34" s="890"/>
      <c r="L34" s="890"/>
      <c r="M34" s="890"/>
      <c r="N34" s="890"/>
      <c r="O34" s="890"/>
    </row>
    <row r="35" spans="3:15" s="784" customFormat="1">
      <c r="C35" s="890" t="s">
        <v>2671</v>
      </c>
      <c r="D35" s="890"/>
      <c r="E35" s="890"/>
      <c r="F35" s="890"/>
      <c r="G35" s="890"/>
      <c r="H35" s="890"/>
      <c r="I35" s="890"/>
      <c r="J35" s="890"/>
      <c r="K35" s="890"/>
      <c r="L35" s="890"/>
      <c r="M35" s="890"/>
      <c r="N35" s="890"/>
      <c r="O35" s="890"/>
    </row>
    <row r="36" spans="3:15" s="784" customFormat="1">
      <c r="C36" s="890" t="s">
        <v>2672</v>
      </c>
      <c r="D36" s="890"/>
      <c r="E36" s="890"/>
      <c r="F36" s="890"/>
      <c r="G36" s="890"/>
      <c r="H36" s="890"/>
      <c r="I36" s="890"/>
      <c r="J36" s="890"/>
      <c r="K36" s="890"/>
      <c r="L36" s="890"/>
      <c r="M36" s="890"/>
      <c r="N36" s="890"/>
      <c r="O36" s="890"/>
    </row>
    <row r="37" spans="3:15" s="784" customFormat="1">
      <c r="C37" s="890" t="s">
        <v>2673</v>
      </c>
      <c r="D37" s="890"/>
      <c r="E37" s="890"/>
      <c r="F37" s="890"/>
      <c r="G37" s="890"/>
      <c r="H37" s="890"/>
      <c r="I37" s="890"/>
      <c r="J37" s="890"/>
      <c r="K37" s="890"/>
      <c r="L37" s="890"/>
      <c r="M37" s="890"/>
      <c r="N37" s="890" t="s">
        <v>2674</v>
      </c>
      <c r="O37" s="890"/>
    </row>
    <row r="38" spans="3:15" s="784" customFormat="1">
      <c r="C38" s="894" t="s">
        <v>3493</v>
      </c>
      <c r="D38" s="894"/>
      <c r="E38" s="894"/>
      <c r="F38" s="894"/>
      <c r="G38" s="894"/>
      <c r="H38" s="894"/>
      <c r="I38" s="894"/>
      <c r="J38" s="894"/>
      <c r="K38" s="894"/>
      <c r="L38" s="894"/>
      <c r="M38" s="895"/>
      <c r="N38" s="1460">
        <v>23882.92</v>
      </c>
      <c r="O38" s="1459"/>
    </row>
    <row r="39" spans="3:15" s="784" customFormat="1">
      <c r="C39" s="896"/>
      <c r="D39" s="896"/>
      <c r="E39" s="896"/>
      <c r="F39" s="896"/>
      <c r="G39" s="896"/>
      <c r="H39" s="896"/>
      <c r="I39" s="896"/>
      <c r="J39" s="896"/>
      <c r="K39" s="896"/>
      <c r="L39" s="896"/>
      <c r="M39" s="895"/>
      <c r="N39" s="1461"/>
      <c r="O39" s="1461"/>
    </row>
    <row r="40" spans="3:15">
      <c r="C40" s="896"/>
      <c r="D40" s="896"/>
      <c r="E40" s="896"/>
      <c r="F40" s="896"/>
      <c r="G40" s="896"/>
      <c r="H40" s="896"/>
      <c r="I40" s="896"/>
      <c r="J40" s="896"/>
      <c r="K40" s="896"/>
      <c r="L40" s="896"/>
      <c r="M40" s="895"/>
      <c r="N40" s="1459"/>
      <c r="O40" s="1459"/>
    </row>
    <row r="41" spans="3:15" s="784" customFormat="1">
      <c r="C41" s="908"/>
      <c r="D41" s="908"/>
      <c r="E41" s="908"/>
      <c r="F41" s="908"/>
      <c r="G41" s="908"/>
      <c r="H41" s="908"/>
      <c r="I41" s="908"/>
      <c r="J41" s="908"/>
      <c r="K41" s="908"/>
      <c r="L41" s="908"/>
      <c r="M41" s="908"/>
      <c r="N41" s="880"/>
      <c r="O41" s="880"/>
    </row>
    <row r="42" spans="3:15">
      <c r="C42" s="19" t="s">
        <v>2677</v>
      </c>
    </row>
    <row r="43" spans="3:15">
      <c r="C43" s="51" t="s">
        <v>1890</v>
      </c>
    </row>
    <row r="44" spans="3:15">
      <c r="C44" t="s">
        <v>1174</v>
      </c>
    </row>
    <row r="45" spans="3:15">
      <c r="C45" t="s">
        <v>317</v>
      </c>
    </row>
    <row r="46" spans="3:15">
      <c r="C46" t="s">
        <v>318</v>
      </c>
    </row>
    <row r="47" spans="3:15">
      <c r="C47" t="s">
        <v>6</v>
      </c>
    </row>
    <row r="48" spans="3:15">
      <c r="C48" t="s">
        <v>319</v>
      </c>
    </row>
    <row r="50" spans="3:15">
      <c r="C50" s="19" t="s">
        <v>2678</v>
      </c>
    </row>
    <row r="51" spans="3:15">
      <c r="C51" t="s">
        <v>780</v>
      </c>
    </row>
    <row r="52" spans="3:15">
      <c r="C52" t="s">
        <v>781</v>
      </c>
    </row>
    <row r="53" spans="3:15">
      <c r="C53" t="s">
        <v>1852</v>
      </c>
    </row>
    <row r="54" spans="3:15">
      <c r="C54" t="s">
        <v>1183</v>
      </c>
    </row>
    <row r="55" spans="3:15">
      <c r="C55" t="s">
        <v>1175</v>
      </c>
    </row>
    <row r="57" spans="3:15">
      <c r="C57" t="s">
        <v>365</v>
      </c>
    </row>
    <row r="58" spans="3:15">
      <c r="C58" t="s">
        <v>366</v>
      </c>
    </row>
    <row r="59" spans="3:15">
      <c r="C59" t="s">
        <v>367</v>
      </c>
    </row>
    <row r="60" spans="3:15">
      <c r="C60" t="s">
        <v>1176</v>
      </c>
    </row>
    <row r="62" spans="3:15" s="784" customFormat="1">
      <c r="C62" s="900" t="s">
        <v>2679</v>
      </c>
      <c r="D62" s="898"/>
      <c r="E62" s="898"/>
      <c r="F62" s="898"/>
      <c r="G62" s="898"/>
      <c r="H62" s="898"/>
      <c r="I62" s="898"/>
      <c r="J62" s="898"/>
      <c r="K62" s="898"/>
      <c r="L62" s="898"/>
      <c r="M62" s="898"/>
      <c r="N62" s="898"/>
      <c r="O62" s="898"/>
    </row>
    <row r="63" spans="3:15" s="784" customFormat="1">
      <c r="C63" s="901" t="s">
        <v>2680</v>
      </c>
      <c r="D63" s="899"/>
      <c r="E63" s="899"/>
      <c r="F63" s="899"/>
      <c r="G63" s="899"/>
      <c r="H63" s="899"/>
      <c r="I63" s="899"/>
      <c r="J63" s="899"/>
      <c r="K63" s="899"/>
      <c r="L63" s="899"/>
      <c r="M63" s="899"/>
      <c r="N63" s="899"/>
      <c r="O63" s="899"/>
    </row>
    <row r="64" spans="3:15" s="784" customFormat="1">
      <c r="C64" s="901" t="s">
        <v>2681</v>
      </c>
      <c r="D64" s="899"/>
      <c r="E64" s="899"/>
      <c r="F64" s="899"/>
      <c r="G64" s="899"/>
      <c r="H64" s="899"/>
      <c r="I64" s="899"/>
      <c r="J64" s="899"/>
      <c r="K64" s="899"/>
      <c r="L64" s="899"/>
      <c r="M64" s="899"/>
      <c r="N64" s="899"/>
      <c r="O64" s="899"/>
    </row>
    <row r="65" spans="1:15" s="784" customFormat="1">
      <c r="C65" s="902" t="s">
        <v>2682</v>
      </c>
      <c r="D65" s="899"/>
      <c r="E65" s="899"/>
      <c r="F65" s="899"/>
      <c r="G65" s="899"/>
      <c r="H65" s="899"/>
      <c r="I65" s="899"/>
      <c r="J65" s="899"/>
      <c r="K65" s="899"/>
      <c r="L65" s="899"/>
      <c r="M65" s="899"/>
      <c r="N65" s="899"/>
      <c r="O65" s="899"/>
    </row>
    <row r="66" spans="1:15" s="784" customFormat="1">
      <c r="C66" s="899" t="s">
        <v>2683</v>
      </c>
      <c r="D66" s="899"/>
      <c r="E66" s="899"/>
      <c r="F66" s="899"/>
      <c r="G66" s="899"/>
      <c r="H66" s="899"/>
      <c r="I66" s="899"/>
      <c r="J66" s="899"/>
      <c r="K66" s="899"/>
      <c r="L66" s="899"/>
      <c r="M66" s="899"/>
      <c r="N66" s="899"/>
      <c r="O66" s="899"/>
    </row>
    <row r="67" spans="1:15" s="784" customFormat="1">
      <c r="C67" s="899" t="s">
        <v>2673</v>
      </c>
      <c r="D67" s="899"/>
      <c r="E67" s="899"/>
      <c r="F67" s="899"/>
      <c r="G67" s="899"/>
      <c r="H67" s="899"/>
      <c r="I67" s="899"/>
      <c r="J67" s="899"/>
      <c r="K67" s="899"/>
      <c r="L67" s="899"/>
      <c r="M67" s="899"/>
      <c r="N67" s="899" t="s">
        <v>2674</v>
      </c>
      <c r="O67" s="899"/>
    </row>
    <row r="68" spans="1:15" s="784" customFormat="1">
      <c r="C68" s="903" t="s">
        <v>3494</v>
      </c>
      <c r="D68" s="903"/>
      <c r="E68" s="903"/>
      <c r="F68" s="903"/>
      <c r="G68" s="903"/>
      <c r="H68" s="903"/>
      <c r="I68" s="903"/>
      <c r="J68" s="903"/>
      <c r="K68" s="903"/>
      <c r="L68" s="903"/>
      <c r="M68" s="904"/>
      <c r="N68" s="1460">
        <v>-11796.46</v>
      </c>
      <c r="O68" s="1459"/>
    </row>
    <row r="69" spans="1:15" s="784" customFormat="1">
      <c r="C69" s="905"/>
      <c r="D69" s="905"/>
      <c r="E69" s="905"/>
      <c r="F69" s="905"/>
      <c r="G69" s="905"/>
      <c r="H69" s="905"/>
      <c r="I69" s="905"/>
      <c r="J69" s="905"/>
      <c r="K69" s="905"/>
      <c r="L69" s="905"/>
      <c r="M69" s="904"/>
      <c r="N69" s="1461"/>
      <c r="O69" s="1461"/>
    </row>
    <row r="70" spans="1:15" s="784" customFormat="1">
      <c r="C70" s="905"/>
      <c r="D70" s="905"/>
      <c r="E70" s="905"/>
      <c r="F70" s="905"/>
      <c r="G70" s="905"/>
      <c r="H70" s="905"/>
      <c r="I70" s="905"/>
      <c r="J70" s="905"/>
      <c r="K70" s="905"/>
      <c r="L70" s="905"/>
      <c r="M70" s="904"/>
      <c r="N70" s="1459"/>
      <c r="O70" s="1459"/>
    </row>
    <row r="71" spans="1:15" s="784" customFormat="1">
      <c r="C71" s="934"/>
      <c r="D71" s="934"/>
      <c r="E71" s="934"/>
      <c r="F71" s="934"/>
      <c r="G71" s="934"/>
      <c r="H71" s="934"/>
      <c r="I71" s="934"/>
      <c r="J71" s="934"/>
      <c r="K71" s="934"/>
      <c r="L71" s="934"/>
      <c r="M71" s="934"/>
      <c r="N71" s="880"/>
      <c r="O71" s="880"/>
    </row>
    <row r="72" spans="1:15" s="784" customFormat="1">
      <c r="C72" s="934"/>
      <c r="D72" s="934"/>
      <c r="E72" s="934"/>
      <c r="F72" s="934"/>
      <c r="G72" s="934"/>
      <c r="H72" s="934"/>
      <c r="I72" s="934"/>
      <c r="J72" s="934"/>
      <c r="K72" s="934"/>
      <c r="L72" s="934"/>
      <c r="M72" s="934"/>
      <c r="N72" s="880"/>
      <c r="O72" s="880"/>
    </row>
    <row r="73" spans="1:15" s="784" customFormat="1">
      <c r="C73" s="934"/>
      <c r="D73" s="934"/>
      <c r="E73" s="934"/>
      <c r="F73" s="934"/>
      <c r="G73" s="934"/>
      <c r="H73" s="934"/>
      <c r="I73" s="934"/>
      <c r="J73" s="934"/>
      <c r="K73" s="934"/>
      <c r="L73" s="934"/>
      <c r="M73" s="934"/>
      <c r="N73" s="880"/>
      <c r="O73" s="880"/>
    </row>
    <row r="74" spans="1:15">
      <c r="C74" s="19"/>
    </row>
    <row r="75" spans="1:15" ht="15.75">
      <c r="A75" s="123" t="s">
        <v>1414</v>
      </c>
      <c r="B75" s="10"/>
      <c r="C75" s="2"/>
      <c r="D75" s="2"/>
      <c r="E75" s="2"/>
      <c r="F75" s="2"/>
      <c r="G75" s="2"/>
      <c r="H75" s="2"/>
      <c r="I75" s="2"/>
      <c r="J75" s="2"/>
      <c r="K75" s="2"/>
      <c r="L75" s="2"/>
      <c r="M75" s="2"/>
      <c r="N75" s="2"/>
      <c r="O75" s="2"/>
    </row>
  </sheetData>
  <customSheetViews>
    <customSheetView guid="{FC3B3501-CA52-40D7-B049-0E027A15B235}" fitToPage="1">
      <selection activeCell="M23" sqref="M23"/>
      <pageMargins left="0.25" right="0.25" top="1" bottom="1" header="0.5" footer="0.5"/>
      <printOptions horizontalCentered="1" verticalCentered="1"/>
      <pageSetup scale="68" orientation="portrait" horizontalDpi="360" verticalDpi="360" r:id="rId1"/>
      <headerFooter alignWithMargins="0"/>
    </customSheetView>
  </customSheetViews>
  <mergeCells count="6">
    <mergeCell ref="N70:O70"/>
    <mergeCell ref="N38:O38"/>
    <mergeCell ref="N39:O39"/>
    <mergeCell ref="N40:O40"/>
    <mergeCell ref="N68:O68"/>
    <mergeCell ref="N69:O69"/>
  </mergeCells>
  <phoneticPr fontId="0" type="noConversion"/>
  <printOptions horizontalCentered="1" verticalCentered="1"/>
  <pageMargins left="0.25" right="0.25" top="1" bottom="1" header="0.5" footer="0.5"/>
  <pageSetup scale="68" orientation="portrait" horizontalDpi="360" verticalDpi="36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O64"/>
  <sheetViews>
    <sheetView workbookViewId="0">
      <selection activeCell="C42" sqref="C42"/>
    </sheetView>
  </sheetViews>
  <sheetFormatPr defaultRowHeight="12.75"/>
  <cols>
    <col min="1" max="2" width="3.7109375" customWidth="1"/>
  </cols>
  <sheetData>
    <row r="1" spans="1:15" ht="18">
      <c r="A1" s="4" t="str">
        <f>'NOTES TO FIN ST (26)'!A1</f>
        <v>TOWN OF BROADUS</v>
      </c>
      <c r="B1" s="2"/>
      <c r="C1" s="2"/>
      <c r="D1" s="2"/>
      <c r="E1" s="2"/>
      <c r="F1" s="2"/>
      <c r="G1" s="2"/>
      <c r="H1" s="2"/>
      <c r="I1" s="2"/>
      <c r="J1" s="2"/>
      <c r="K1" s="2"/>
      <c r="L1" s="2"/>
      <c r="M1" s="2"/>
      <c r="N1" s="2"/>
      <c r="O1" s="2"/>
    </row>
    <row r="2" spans="1:15" ht="18">
      <c r="A2" s="4" t="s">
        <v>1319</v>
      </c>
      <c r="B2" s="2"/>
      <c r="C2" s="2"/>
      <c r="D2" s="2"/>
      <c r="E2" s="2"/>
      <c r="F2" s="2"/>
      <c r="G2" s="2"/>
      <c r="H2" s="2"/>
      <c r="I2" s="2"/>
      <c r="J2" s="2"/>
      <c r="K2" s="2"/>
      <c r="L2" s="2"/>
      <c r="M2" s="2"/>
      <c r="N2" s="2"/>
      <c r="O2" s="2"/>
    </row>
    <row r="3" spans="1:15" ht="18">
      <c r="A3" s="5" t="str">
        <f>'NOTES TO FIN ST (26)'!A3</f>
        <v>FISCAL YEAR ENDING JUNE 30, 2017</v>
      </c>
      <c r="B3" s="2"/>
      <c r="C3" s="2"/>
      <c r="D3" s="2"/>
      <c r="E3" s="2"/>
      <c r="F3" s="2"/>
      <c r="G3" s="2"/>
      <c r="H3" s="2"/>
      <c r="I3" s="2"/>
      <c r="J3" s="2"/>
      <c r="K3" s="2"/>
      <c r="L3" s="2"/>
      <c r="M3" s="2"/>
      <c r="N3" s="2"/>
      <c r="O3" s="2"/>
    </row>
    <row r="5" spans="1:15" s="784" customFormat="1">
      <c r="C5" s="907" t="s">
        <v>2684</v>
      </c>
    </row>
    <row r="6" spans="1:15" s="784" customFormat="1">
      <c r="C6" s="906" t="s">
        <v>2685</v>
      </c>
    </row>
    <row r="7" spans="1:15" s="784" customFormat="1">
      <c r="C7" s="906" t="s">
        <v>2686</v>
      </c>
    </row>
    <row r="8" spans="1:15" s="784" customFormat="1">
      <c r="C8" s="906" t="s">
        <v>2687</v>
      </c>
    </row>
    <row r="9" spans="1:15" s="784" customFormat="1">
      <c r="C9" s="906" t="s">
        <v>2688</v>
      </c>
    </row>
    <row r="10" spans="1:15" s="784" customFormat="1">
      <c r="C10" s="906" t="s">
        <v>2689</v>
      </c>
    </row>
    <row r="11" spans="1:15" s="784" customFormat="1">
      <c r="C11" s="906" t="s">
        <v>2690</v>
      </c>
    </row>
    <row r="12" spans="1:15" s="784" customFormat="1">
      <c r="C12" s="933"/>
    </row>
    <row r="13" spans="1:15" s="784" customFormat="1">
      <c r="C13" s="918" t="s">
        <v>2718</v>
      </c>
    </row>
    <row r="14" spans="1:15" s="784" customFormat="1">
      <c r="C14" s="935" t="s">
        <v>2717</v>
      </c>
    </row>
    <row r="15" spans="1:15" s="784" customFormat="1">
      <c r="C15" s="933"/>
    </row>
    <row r="16" spans="1:15" s="784" customFormat="1">
      <c r="C16" s="933"/>
    </row>
    <row r="17" spans="1:3" s="784" customFormat="1">
      <c r="C17" s="933"/>
    </row>
    <row r="18" spans="1:3" s="784" customFormat="1">
      <c r="C18" s="906"/>
    </row>
    <row r="20" spans="1:3">
      <c r="A20" s="15" t="s">
        <v>368</v>
      </c>
      <c r="C20" s="18" t="s">
        <v>386</v>
      </c>
    </row>
    <row r="22" spans="1:3">
      <c r="B22" s="16" t="s">
        <v>1321</v>
      </c>
      <c r="C22" s="19" t="s">
        <v>1809</v>
      </c>
    </row>
    <row r="23" spans="1:3">
      <c r="C23" s="51" t="s">
        <v>1810</v>
      </c>
    </row>
    <row r="24" spans="1:3">
      <c r="C24" s="51" t="s">
        <v>2094</v>
      </c>
    </row>
    <row r="25" spans="1:3">
      <c r="C25" s="784"/>
    </row>
    <row r="29" spans="1:3" s="784" customFormat="1"/>
    <row r="37" spans="2:3">
      <c r="B37" s="16" t="s">
        <v>117</v>
      </c>
      <c r="C37" s="19" t="s">
        <v>462</v>
      </c>
    </row>
    <row r="38" spans="2:3">
      <c r="C38" s="19" t="s">
        <v>463</v>
      </c>
    </row>
    <row r="39" spans="2:3">
      <c r="C39" t="s">
        <v>355</v>
      </c>
    </row>
    <row r="40" spans="2:3">
      <c r="C40" s="51" t="s">
        <v>1811</v>
      </c>
    </row>
    <row r="41" spans="2:3">
      <c r="C41" t="s">
        <v>2095</v>
      </c>
    </row>
    <row r="42" spans="2:3">
      <c r="C42" s="784"/>
    </row>
    <row r="51" spans="1:15">
      <c r="B51" s="19" t="s">
        <v>547</v>
      </c>
      <c r="C51" s="19" t="s">
        <v>1853</v>
      </c>
    </row>
    <row r="52" spans="1:15">
      <c r="C52" s="19" t="s">
        <v>1812</v>
      </c>
    </row>
    <row r="53" spans="1:15">
      <c r="C53" s="51" t="s">
        <v>1854</v>
      </c>
    </row>
    <row r="54" spans="1:15">
      <c r="C54" s="236" t="s">
        <v>2096</v>
      </c>
    </row>
    <row r="55" spans="1:15">
      <c r="C55" s="784" t="s">
        <v>2093</v>
      </c>
    </row>
    <row r="64" spans="1:15" ht="15.75">
      <c r="A64" s="123" t="s">
        <v>1415</v>
      </c>
      <c r="B64" s="2"/>
      <c r="C64" s="2"/>
      <c r="D64" s="2"/>
      <c r="E64" s="2"/>
      <c r="F64" s="2"/>
      <c r="G64" s="2"/>
      <c r="H64" s="2"/>
      <c r="I64" s="2"/>
      <c r="J64" s="2"/>
      <c r="K64" s="2"/>
      <c r="L64" s="2"/>
      <c r="M64" s="2"/>
      <c r="N64" s="2"/>
      <c r="O64" s="2"/>
    </row>
  </sheetData>
  <customSheetViews>
    <customSheetView guid="{FC3B3501-CA52-40D7-B049-0E027A15B235}" fitToPage="1">
      <selection activeCell="M16" sqref="M16"/>
      <pageMargins left="0.25" right="0.25" top="1" bottom="1"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25" right="0.25" top="1" bottom="1" header="0.5" footer="0.5"/>
  <pageSetup scale="80" orientation="portrait" horizontalDpi="360" verticalDpi="360" r:id="rId2"/>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O60"/>
  <sheetViews>
    <sheetView topLeftCell="A13" workbookViewId="0">
      <selection activeCell="C46" sqref="C46"/>
    </sheetView>
  </sheetViews>
  <sheetFormatPr defaultRowHeight="12.75"/>
  <cols>
    <col min="1" max="2" width="3.7109375" customWidth="1"/>
  </cols>
  <sheetData>
    <row r="1" spans="1:15" ht="18">
      <c r="A1" s="4" t="str">
        <f>'NOTES TO FIN ST (27)'!A1</f>
        <v>TOWN OF BROADUS</v>
      </c>
      <c r="B1" s="2"/>
      <c r="C1" s="2"/>
      <c r="D1" s="2"/>
      <c r="E1" s="2"/>
      <c r="F1" s="2"/>
      <c r="G1" s="2"/>
      <c r="H1" s="2"/>
      <c r="I1" s="2"/>
      <c r="J1" s="2"/>
      <c r="K1" s="2"/>
      <c r="L1" s="2"/>
      <c r="M1" s="2"/>
      <c r="N1" s="2"/>
      <c r="O1" s="2"/>
    </row>
    <row r="2" spans="1:15" ht="18">
      <c r="A2" s="4" t="s">
        <v>1319</v>
      </c>
      <c r="B2" s="2"/>
      <c r="C2" s="2"/>
      <c r="D2" s="2"/>
      <c r="E2" s="2"/>
      <c r="F2" s="2"/>
      <c r="G2" s="2"/>
      <c r="H2" s="2"/>
      <c r="I2" s="2"/>
      <c r="J2" s="2"/>
      <c r="K2" s="2"/>
      <c r="L2" s="2"/>
      <c r="M2" s="2"/>
      <c r="N2" s="2"/>
      <c r="O2" s="2"/>
    </row>
    <row r="3" spans="1:15" ht="18">
      <c r="A3" s="5" t="str">
        <f>'NOTES TO FIN ST (27)'!A3</f>
        <v>FISCAL YEAR ENDING JUNE 30, 2017</v>
      </c>
      <c r="B3" s="2"/>
      <c r="C3" s="2"/>
      <c r="D3" s="2"/>
      <c r="E3" s="2"/>
      <c r="F3" s="2"/>
      <c r="G3" s="2"/>
      <c r="H3" s="2"/>
      <c r="I3" s="2"/>
      <c r="J3" s="2"/>
      <c r="K3" s="2"/>
      <c r="L3" s="2"/>
      <c r="M3" s="2"/>
      <c r="N3" s="2"/>
      <c r="O3" s="2"/>
    </row>
    <row r="6" spans="1:15">
      <c r="A6" s="15" t="s">
        <v>356</v>
      </c>
      <c r="C6" s="17" t="s">
        <v>357</v>
      </c>
    </row>
    <row r="8" spans="1:15">
      <c r="B8" s="16" t="s">
        <v>1321</v>
      </c>
      <c r="C8" s="18" t="s">
        <v>358</v>
      </c>
    </row>
    <row r="10" spans="1:15">
      <c r="C10" s="51" t="s">
        <v>1891</v>
      </c>
    </row>
    <row r="11" spans="1:15">
      <c r="C11" t="s">
        <v>257</v>
      </c>
    </row>
    <row r="12" spans="1:15">
      <c r="C12" t="s">
        <v>1902</v>
      </c>
    </row>
    <row r="13" spans="1:15">
      <c r="C13" s="51" t="s">
        <v>2097</v>
      </c>
    </row>
    <row r="14" spans="1:15">
      <c r="C14" t="s">
        <v>2098</v>
      </c>
    </row>
    <row r="16" spans="1:15">
      <c r="C16" t="s">
        <v>550</v>
      </c>
    </row>
    <row r="17" spans="2:3">
      <c r="C17" t="s">
        <v>944</v>
      </c>
    </row>
    <row r="18" spans="2:3">
      <c r="C18" t="s">
        <v>945</v>
      </c>
    </row>
    <row r="19" spans="2:3">
      <c r="C19" t="s">
        <v>946</v>
      </c>
    </row>
    <row r="21" spans="2:3">
      <c r="C21" t="s">
        <v>7</v>
      </c>
    </row>
    <row r="22" spans="2:3">
      <c r="C22" t="s">
        <v>385</v>
      </c>
    </row>
    <row r="24" spans="2:3">
      <c r="C24" t="s">
        <v>697</v>
      </c>
    </row>
    <row r="25" spans="2:3">
      <c r="C25" t="s">
        <v>624</v>
      </c>
    </row>
    <row r="26" spans="2:3">
      <c r="C26" t="s">
        <v>625</v>
      </c>
    </row>
    <row r="29" spans="2:3">
      <c r="B29" s="16" t="s">
        <v>117</v>
      </c>
      <c r="C29" s="18" t="s">
        <v>551</v>
      </c>
    </row>
    <row r="30" spans="2:3">
      <c r="C30" s="51"/>
    </row>
    <row r="31" spans="2:3">
      <c r="C31" s="51"/>
    </row>
    <row r="32" spans="2:3">
      <c r="C32" t="s">
        <v>3707</v>
      </c>
    </row>
    <row r="33" spans="2:3">
      <c r="C33" t="s">
        <v>552</v>
      </c>
    </row>
    <row r="34" spans="2:3">
      <c r="C34" t="s">
        <v>552</v>
      </c>
    </row>
    <row r="35" spans="2:3">
      <c r="C35" t="s">
        <v>552</v>
      </c>
    </row>
    <row r="36" spans="2:3">
      <c r="C36" t="s">
        <v>552</v>
      </c>
    </row>
    <row r="37" spans="2:3">
      <c r="C37" t="s">
        <v>552</v>
      </c>
    </row>
    <row r="38" spans="2:3">
      <c r="C38" t="s">
        <v>552</v>
      </c>
    </row>
    <row r="39" spans="2:3">
      <c r="C39" t="s">
        <v>552</v>
      </c>
    </row>
    <row r="40" spans="2:3">
      <c r="C40" t="s">
        <v>552</v>
      </c>
    </row>
    <row r="41" spans="2:3">
      <c r="C41" t="s">
        <v>552</v>
      </c>
    </row>
    <row r="42" spans="2:3">
      <c r="C42" t="s">
        <v>552</v>
      </c>
    </row>
    <row r="44" spans="2:3">
      <c r="B44" s="16" t="s">
        <v>547</v>
      </c>
      <c r="C44" s="18" t="s">
        <v>553</v>
      </c>
    </row>
    <row r="46" spans="2:3">
      <c r="C46" s="787"/>
    </row>
    <row r="47" spans="2:3">
      <c r="C47" t="s">
        <v>3707</v>
      </c>
    </row>
    <row r="48" spans="2:3">
      <c r="C48" t="s">
        <v>552</v>
      </c>
    </row>
    <row r="49" spans="1:15">
      <c r="C49" t="s">
        <v>552</v>
      </c>
    </row>
    <row r="50" spans="1:15">
      <c r="C50" t="s">
        <v>552</v>
      </c>
    </row>
    <row r="51" spans="1:15">
      <c r="C51" t="s">
        <v>552</v>
      </c>
    </row>
    <row r="52" spans="1:15">
      <c r="C52" t="s">
        <v>552</v>
      </c>
    </row>
    <row r="53" spans="1:15">
      <c r="C53" t="s">
        <v>552</v>
      </c>
    </row>
    <row r="54" spans="1:15">
      <c r="C54" t="s">
        <v>552</v>
      </c>
    </row>
    <row r="55" spans="1:15">
      <c r="C55" t="s">
        <v>552</v>
      </c>
    </row>
    <row r="56" spans="1:15">
      <c r="C56" t="s">
        <v>552</v>
      </c>
    </row>
    <row r="57" spans="1:15">
      <c r="C57" t="s">
        <v>552</v>
      </c>
    </row>
    <row r="60" spans="1:15" ht="15.75">
      <c r="A60" s="123" t="s">
        <v>1416</v>
      </c>
      <c r="B60" s="2"/>
      <c r="C60" s="2"/>
      <c r="D60" s="2"/>
      <c r="E60" s="2"/>
      <c r="F60" s="2"/>
      <c r="G60" s="2"/>
      <c r="H60" s="2"/>
      <c r="I60" s="2"/>
      <c r="J60" s="2"/>
      <c r="K60" s="2"/>
      <c r="L60" s="2"/>
      <c r="M60" s="2"/>
      <c r="N60" s="2"/>
      <c r="O60" s="2"/>
    </row>
  </sheetData>
  <customSheetViews>
    <customSheetView guid="{FC3B3501-CA52-40D7-B049-0E027A15B235}" fitToPage="1" topLeftCell="A22">
      <selection activeCell="L45" sqref="L45"/>
      <pageMargins left="0.25" right="0.25" top="1" bottom="1" header="0.5" footer="0.5"/>
      <printOptions horizontalCentered="1" verticalCentered="1"/>
      <pageSetup scale="82" orientation="portrait" horizontalDpi="360" verticalDpi="360" r:id="rId1"/>
      <headerFooter alignWithMargins="0"/>
    </customSheetView>
  </customSheetViews>
  <phoneticPr fontId="0" type="noConversion"/>
  <printOptions horizontalCentered="1" verticalCentered="1"/>
  <pageMargins left="0.25" right="0.25" top="1" bottom="1" header="0.5" footer="0.5"/>
  <pageSetup scale="82" orientation="portrait" horizontalDpi="360" verticalDpi="360" r:id="rId2"/>
  <headerFooter alignWithMargins="0"/>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topLeftCell="A5" zoomScaleNormal="100" workbookViewId="0">
      <selection activeCell="F25" sqref="F25:G25"/>
    </sheetView>
  </sheetViews>
  <sheetFormatPr defaultRowHeight="12.75"/>
  <cols>
    <col min="1" max="2" width="3.7109375" customWidth="1"/>
    <col min="6" max="6" width="9.7109375" bestFit="1" customWidth="1"/>
    <col min="9" max="12" width="14.7109375" customWidth="1"/>
  </cols>
  <sheetData>
    <row r="1" spans="1:15" ht="18">
      <c r="A1" s="1462" t="str">
        <f>'NOTES TO FIN ST (28)'!A1</f>
        <v>TOWN OF BROADUS</v>
      </c>
      <c r="B1" s="1434"/>
      <c r="C1" s="1434"/>
      <c r="D1" s="1434"/>
      <c r="E1" s="1434"/>
      <c r="F1" s="1434"/>
      <c r="G1" s="1434"/>
      <c r="H1" s="1434"/>
      <c r="I1" s="1434"/>
      <c r="J1" s="1434"/>
      <c r="K1" s="1434"/>
      <c r="L1" s="1434"/>
      <c r="M1" s="2"/>
      <c r="N1" s="2"/>
      <c r="O1" s="2"/>
    </row>
    <row r="2" spans="1:15" ht="18">
      <c r="A2" s="1462" t="s">
        <v>1319</v>
      </c>
      <c r="B2" s="1434"/>
      <c r="C2" s="1434"/>
      <c r="D2" s="1434"/>
      <c r="E2" s="1434"/>
      <c r="F2" s="1434"/>
      <c r="G2" s="1434"/>
      <c r="H2" s="1434"/>
      <c r="I2" s="1434"/>
      <c r="J2" s="1434"/>
      <c r="K2" s="1434"/>
      <c r="L2" s="1434"/>
      <c r="M2" s="2"/>
      <c r="N2" s="2"/>
      <c r="O2" s="2"/>
    </row>
    <row r="3" spans="1:15" ht="18">
      <c r="A3" s="1463" t="str">
        <f>'NOTES TO FIN ST (28)'!A3</f>
        <v>FISCAL YEAR ENDING JUNE 30, 2017</v>
      </c>
      <c r="B3" s="1434"/>
      <c r="C3" s="1434"/>
      <c r="D3" s="1434"/>
      <c r="E3" s="1434"/>
      <c r="F3" s="1434"/>
      <c r="G3" s="1434"/>
      <c r="H3" s="1434"/>
      <c r="I3" s="1434"/>
      <c r="J3" s="1434"/>
      <c r="K3" s="1434"/>
      <c r="L3" s="1434"/>
      <c r="M3" s="2"/>
      <c r="N3" s="2"/>
      <c r="O3" s="2"/>
    </row>
    <row r="4" spans="1:15" ht="18">
      <c r="A4" s="235"/>
      <c r="B4" s="42"/>
      <c r="C4" s="42"/>
      <c r="D4" s="42"/>
      <c r="E4" s="42"/>
      <c r="F4" s="42"/>
      <c r="G4" s="42"/>
      <c r="H4" s="42"/>
      <c r="I4" s="42"/>
      <c r="J4" s="42"/>
      <c r="K4" s="42"/>
      <c r="L4" s="42"/>
      <c r="M4" s="2"/>
      <c r="N4" s="2"/>
      <c r="O4" s="2"/>
    </row>
    <row r="5" spans="1:15">
      <c r="A5" s="15" t="s">
        <v>86</v>
      </c>
      <c r="C5" s="18" t="s">
        <v>87</v>
      </c>
    </row>
    <row r="7" spans="1:15" ht="12.75" customHeight="1">
      <c r="B7" s="16" t="s">
        <v>1321</v>
      </c>
      <c r="C7" s="18" t="s">
        <v>88</v>
      </c>
    </row>
    <row r="8" spans="1:15" ht="24.75" customHeight="1">
      <c r="C8" s="1457" t="s">
        <v>3708</v>
      </c>
      <c r="D8" s="1457"/>
      <c r="E8" s="1457"/>
      <c r="F8" s="1457"/>
      <c r="G8" s="1457"/>
      <c r="H8" s="1457"/>
      <c r="I8" s="1457"/>
      <c r="J8" s="1457"/>
      <c r="K8" s="1457"/>
      <c r="L8" s="1457"/>
    </row>
    <row r="9" spans="1:15" ht="12.75" customHeight="1">
      <c r="C9" s="1039" t="s">
        <v>3085</v>
      </c>
      <c r="D9" s="1038"/>
      <c r="E9" s="1038"/>
      <c r="F9" s="1038"/>
      <c r="G9" s="1038"/>
      <c r="H9" s="1038"/>
      <c r="I9" s="1465">
        <v>274373.53000000003</v>
      </c>
      <c r="J9" s="1465"/>
    </row>
    <row r="10" spans="1:15" ht="12.75" customHeight="1">
      <c r="C10" s="1039" t="s">
        <v>3086</v>
      </c>
      <c r="D10" s="1038"/>
      <c r="E10" s="1038"/>
      <c r="F10" s="1038"/>
      <c r="G10" s="1038"/>
      <c r="H10" s="1038"/>
      <c r="I10" s="1465">
        <v>389166.02</v>
      </c>
      <c r="J10" s="1465"/>
    </row>
    <row r="11" spans="1:15" ht="12.75" customHeight="1">
      <c r="C11" s="1039" t="s">
        <v>2661</v>
      </c>
      <c r="D11" s="1038"/>
      <c r="E11" s="1038"/>
      <c r="F11" s="1038"/>
      <c r="G11" s="1038"/>
      <c r="H11" s="1038"/>
      <c r="I11" s="1466">
        <v>0</v>
      </c>
      <c r="J11" s="1466"/>
    </row>
    <row r="12" spans="1:15" ht="12.75" customHeight="1">
      <c r="C12" s="1468" t="s">
        <v>3087</v>
      </c>
      <c r="D12" s="1468"/>
      <c r="E12" s="1468"/>
      <c r="F12" s="1468"/>
      <c r="G12" s="1468"/>
      <c r="H12" s="1468"/>
      <c r="I12" s="1467">
        <v>0</v>
      </c>
      <c r="J12" s="1467"/>
    </row>
    <row r="13" spans="1:15" ht="12.75" customHeight="1">
      <c r="C13" s="1039" t="s">
        <v>3088</v>
      </c>
      <c r="D13" s="1038"/>
      <c r="E13" s="1038"/>
      <c r="F13" s="1038"/>
      <c r="G13" s="1038"/>
      <c r="H13" s="1038"/>
      <c r="I13" s="1466">
        <v>0</v>
      </c>
      <c r="J13" s="1466"/>
    </row>
    <row r="14" spans="1:15" ht="12.75" customHeight="1" thickBot="1">
      <c r="C14" s="1040" t="s">
        <v>3089</v>
      </c>
      <c r="D14" s="1038"/>
      <c r="E14" s="1038"/>
      <c r="F14" s="1038"/>
      <c r="G14" s="1038"/>
      <c r="H14" s="1038"/>
      <c r="I14" s="1464">
        <v>663539.55000000005</v>
      </c>
      <c r="J14" s="1464"/>
    </row>
    <row r="15" spans="1:15" ht="12.75" customHeight="1" thickTop="1">
      <c r="C15" s="1038"/>
      <c r="D15" s="1038"/>
      <c r="E15" s="1038"/>
      <c r="F15" s="1038"/>
      <c r="G15" s="1038"/>
      <c r="H15" s="1038"/>
      <c r="I15" s="1041"/>
      <c r="J15" s="1038"/>
    </row>
    <row r="16" spans="1:15" ht="12.75" customHeight="1">
      <c r="C16" s="1038" t="s">
        <v>3733</v>
      </c>
      <c r="D16" s="1038"/>
      <c r="E16" s="1038"/>
      <c r="F16" s="1038"/>
      <c r="G16" s="1038"/>
      <c r="H16" s="1038"/>
      <c r="I16" s="1038"/>
      <c r="J16" s="1038"/>
    </row>
    <row r="17" spans="3:10" s="784" customFormat="1" ht="10.5" customHeight="1">
      <c r="C17" s="1042"/>
      <c r="D17" s="1042"/>
      <c r="E17" s="1042"/>
      <c r="F17" s="1042"/>
      <c r="G17" s="1042"/>
      <c r="H17" s="1042"/>
      <c r="I17" s="1042"/>
      <c r="J17" s="1042"/>
    </row>
    <row r="18" spans="3:10" ht="12.75" customHeight="1">
      <c r="C18" s="1049"/>
      <c r="D18" s="1042"/>
      <c r="E18" s="1042"/>
      <c r="F18" s="1472" t="s">
        <v>3090</v>
      </c>
      <c r="G18" s="1472"/>
      <c r="H18" s="29"/>
      <c r="I18" s="784"/>
      <c r="J18" s="784"/>
    </row>
    <row r="19" spans="3:10" ht="12.75" customHeight="1">
      <c r="C19" s="1047" t="s">
        <v>3091</v>
      </c>
      <c r="D19" s="1043"/>
      <c r="E19" s="1043"/>
      <c r="F19" s="1473">
        <v>100</v>
      </c>
      <c r="G19" s="1473"/>
    </row>
    <row r="20" spans="3:10" ht="12.75" customHeight="1">
      <c r="C20" s="1048" t="s">
        <v>3092</v>
      </c>
      <c r="D20" s="1046"/>
      <c r="E20" s="1043"/>
      <c r="F20" s="1044"/>
    </row>
    <row r="21" spans="3:10" ht="12.75" customHeight="1">
      <c r="C21" s="1471" t="s">
        <v>3093</v>
      </c>
      <c r="D21" s="1471"/>
      <c r="E21" s="1471"/>
      <c r="F21" s="1045">
        <v>390527.61</v>
      </c>
    </row>
    <row r="22" spans="3:10" ht="12.75" customHeight="1">
      <c r="C22" s="1471" t="s">
        <v>3094</v>
      </c>
      <c r="D22" s="1471"/>
      <c r="E22" s="1471"/>
      <c r="F22" s="1045"/>
    </row>
    <row r="23" spans="3:10" ht="12.75" customHeight="1">
      <c r="C23" s="1470" t="s">
        <v>3095</v>
      </c>
      <c r="D23" s="1470"/>
      <c r="E23" s="1470"/>
      <c r="F23" s="1045">
        <v>236700.48</v>
      </c>
    </row>
    <row r="24" spans="3:10" ht="12.75" customHeight="1">
      <c r="C24" s="1470" t="s">
        <v>3732</v>
      </c>
      <c r="D24" s="1470"/>
      <c r="E24" s="1470"/>
      <c r="F24" s="1045">
        <v>34475.99</v>
      </c>
    </row>
    <row r="25" spans="3:10" ht="12.75" customHeight="1">
      <c r="C25" s="1470" t="s">
        <v>3096</v>
      </c>
      <c r="D25" s="1470"/>
      <c r="E25" s="1470"/>
      <c r="F25" s="1474"/>
      <c r="G25" s="1474"/>
    </row>
    <row r="26" spans="3:10" ht="12.75" customHeight="1" thickBot="1">
      <c r="C26" s="1468" t="s">
        <v>3097</v>
      </c>
      <c r="D26" s="1468"/>
      <c r="E26" s="1468"/>
      <c r="F26" s="1475">
        <f>SUM(G19+F21+F23+F24)</f>
        <v>661704.07999999996</v>
      </c>
      <c r="G26" s="1475"/>
    </row>
    <row r="27" spans="3:10" ht="12.75" customHeight="1" thickTop="1"/>
    <row r="28" spans="3:10" ht="12.75" customHeight="1">
      <c r="C28" s="1053" t="s">
        <v>1062</v>
      </c>
      <c r="D28" s="1051"/>
      <c r="E28" s="1051"/>
      <c r="F28" s="1050"/>
      <c r="G28" s="1050"/>
      <c r="H28" s="1476" t="s">
        <v>3098</v>
      </c>
      <c r="I28" s="1476"/>
      <c r="J28" s="1476"/>
    </row>
    <row r="29" spans="3:10" ht="12.75" customHeight="1">
      <c r="C29" s="1477" t="s">
        <v>3099</v>
      </c>
      <c r="D29" s="1477"/>
      <c r="E29" s="1477"/>
      <c r="F29" s="1063" t="s">
        <v>314</v>
      </c>
      <c r="G29" s="1052"/>
      <c r="H29" s="1054" t="s">
        <v>3100</v>
      </c>
      <c r="I29" s="1054" t="s">
        <v>3101</v>
      </c>
      <c r="J29" s="1054" t="s">
        <v>3102</v>
      </c>
    </row>
    <row r="30" spans="3:10" ht="12.75" customHeight="1">
      <c r="C30" s="1470" t="s">
        <v>3103</v>
      </c>
      <c r="D30" s="1470"/>
      <c r="E30" s="1470"/>
      <c r="F30" s="1056"/>
      <c r="G30" s="1050"/>
      <c r="H30" s="1064"/>
      <c r="I30" s="1064"/>
      <c r="J30" s="1064"/>
    </row>
    <row r="31" spans="3:10" ht="12.75" customHeight="1">
      <c r="C31" s="1470" t="s">
        <v>3104</v>
      </c>
      <c r="D31" s="1470"/>
      <c r="E31" s="1470"/>
      <c r="F31" s="1057"/>
      <c r="G31" s="1050"/>
      <c r="H31" s="1057"/>
      <c r="I31" s="1057"/>
      <c r="J31" s="1057"/>
    </row>
    <row r="32" spans="3:10" ht="12.75" customHeight="1">
      <c r="C32" s="1479" t="s">
        <v>3105</v>
      </c>
      <c r="D32" s="1479"/>
      <c r="E32" s="1479"/>
      <c r="F32" s="1057"/>
      <c r="G32" s="1050"/>
      <c r="H32" s="1057"/>
      <c r="I32" s="1057"/>
      <c r="J32" s="1057"/>
    </row>
    <row r="33" spans="2:10" ht="12.75" customHeight="1">
      <c r="C33" s="1479" t="s">
        <v>316</v>
      </c>
      <c r="D33" s="1479"/>
      <c r="E33" s="1479"/>
      <c r="F33" s="1057"/>
      <c r="G33" s="1050"/>
      <c r="H33" s="1057"/>
      <c r="I33" s="1057"/>
      <c r="J33" s="1057"/>
    </row>
    <row r="34" spans="2:10" ht="12.75" customHeight="1">
      <c r="C34" s="1470" t="s">
        <v>3106</v>
      </c>
      <c r="D34" s="1470"/>
      <c r="E34" s="1470"/>
      <c r="F34" s="1057"/>
      <c r="G34" s="1050"/>
      <c r="H34" s="1057"/>
      <c r="I34" s="1057"/>
      <c r="J34" s="1057"/>
    </row>
    <row r="35" spans="2:10" ht="12.75" customHeight="1">
      <c r="C35" s="1470" t="s">
        <v>3106</v>
      </c>
      <c r="D35" s="1470"/>
      <c r="E35" s="1470"/>
      <c r="F35" s="1057"/>
      <c r="G35" s="1050"/>
      <c r="H35" s="1057"/>
      <c r="I35" s="1057"/>
      <c r="J35" s="1057"/>
    </row>
    <row r="36" spans="2:10" ht="12.75" customHeight="1">
      <c r="C36" s="1470" t="s">
        <v>3106</v>
      </c>
      <c r="D36" s="1470"/>
      <c r="E36" s="1470"/>
      <c r="F36" s="1058"/>
      <c r="G36" s="1050"/>
      <c r="H36" s="1058"/>
      <c r="I36" s="1058"/>
      <c r="J36" s="1058"/>
    </row>
    <row r="37" spans="2:10" ht="12.75" customHeight="1" thickBot="1">
      <c r="C37" s="1468" t="s">
        <v>3107</v>
      </c>
      <c r="D37" s="1468"/>
      <c r="E37" s="1468"/>
      <c r="F37" s="1059">
        <v>0</v>
      </c>
      <c r="G37" s="1050"/>
      <c r="H37" s="1060">
        <v>0</v>
      </c>
      <c r="I37" s="1060">
        <v>0</v>
      </c>
      <c r="J37" s="1060">
        <v>0</v>
      </c>
    </row>
    <row r="38" spans="2:10" ht="12.75" customHeight="1" thickTop="1">
      <c r="C38" s="1061"/>
      <c r="D38" s="1061"/>
      <c r="E38" s="1061"/>
      <c r="F38" s="1061"/>
      <c r="G38" s="1061"/>
      <c r="H38" s="1061"/>
      <c r="I38" s="1061"/>
      <c r="J38" s="1061"/>
    </row>
    <row r="39" spans="2:10" ht="12.75" customHeight="1">
      <c r="C39" s="1478" t="s">
        <v>3108</v>
      </c>
      <c r="D39" s="1478"/>
      <c r="E39" s="1478"/>
      <c r="F39" s="1063" t="s">
        <v>3109</v>
      </c>
      <c r="G39" s="1055"/>
      <c r="H39" s="1055"/>
      <c r="I39" s="1055"/>
      <c r="J39" s="1055"/>
    </row>
    <row r="40" spans="2:10" ht="12.75" customHeight="1">
      <c r="C40" s="1482" t="s">
        <v>3110</v>
      </c>
      <c r="D40" s="1482"/>
      <c r="E40" s="1482"/>
      <c r="F40" s="1067"/>
      <c r="G40" s="1055"/>
      <c r="H40" s="1055"/>
      <c r="I40" s="1055"/>
      <c r="J40" s="1055"/>
    </row>
    <row r="41" spans="2:10" ht="12.75" customHeight="1">
      <c r="C41" s="1483"/>
      <c r="D41" s="1483"/>
      <c r="E41" s="1483"/>
      <c r="F41" s="1066"/>
      <c r="G41" s="1055"/>
      <c r="H41" s="1055"/>
      <c r="I41" s="1055"/>
      <c r="J41" s="1055"/>
    </row>
    <row r="42" spans="2:10" ht="12.75" customHeight="1" thickBot="1">
      <c r="C42" s="1480" t="s">
        <v>3111</v>
      </c>
      <c r="D42" s="1481"/>
      <c r="E42" s="1481"/>
      <c r="F42" s="1065">
        <f>F26</f>
        <v>661704.07999999996</v>
      </c>
      <c r="G42" s="1062"/>
      <c r="H42" s="1062"/>
      <c r="I42" s="1062"/>
      <c r="J42" s="1062"/>
    </row>
    <row r="43" spans="2:10" ht="12.75" customHeight="1" thickTop="1"/>
    <row r="44" spans="2:10" ht="12.75" customHeight="1"/>
    <row r="46" spans="2:10" ht="12.75" customHeight="1">
      <c r="B46" s="16"/>
      <c r="C46" s="18"/>
    </row>
    <row r="47" spans="2:10" ht="12.75" customHeight="1"/>
    <row r="48" spans="2:10" ht="12.75" customHeight="1"/>
    <row r="49" spans="1:13" ht="12.75" customHeight="1">
      <c r="C49" s="13"/>
      <c r="D49" s="13"/>
      <c r="E49" s="13"/>
      <c r="F49" s="13"/>
      <c r="G49" s="13"/>
      <c r="H49" s="29"/>
      <c r="I49" s="13"/>
      <c r="J49" s="13"/>
      <c r="K49" s="13"/>
      <c r="L49" s="13"/>
    </row>
    <row r="50" spans="1:13" ht="12.75" customHeight="1">
      <c r="C50" s="29"/>
      <c r="D50" s="29"/>
      <c r="E50" s="29"/>
      <c r="F50" s="1469"/>
      <c r="G50" s="1469"/>
      <c r="H50" s="1469"/>
      <c r="I50" s="29"/>
      <c r="J50" s="29"/>
      <c r="K50" s="1469"/>
      <c r="L50" s="1469"/>
    </row>
    <row r="51" spans="1:13" ht="12.75" customHeight="1">
      <c r="C51" s="29"/>
      <c r="D51" s="29"/>
      <c r="E51" s="29"/>
      <c r="F51" s="1469"/>
      <c r="G51" s="1469"/>
      <c r="H51" s="1469"/>
      <c r="I51" s="29"/>
      <c r="J51" s="29"/>
      <c r="K51" s="1469"/>
      <c r="L51" s="1469"/>
    </row>
    <row r="52" spans="1:13" ht="12.75" customHeight="1">
      <c r="C52" s="29"/>
      <c r="D52" s="29"/>
      <c r="E52" s="29"/>
      <c r="F52" s="1469"/>
      <c r="G52" s="1469"/>
      <c r="H52" s="1469"/>
      <c r="I52" s="29"/>
      <c r="J52" s="29"/>
      <c r="K52" s="1469"/>
      <c r="L52" s="1469"/>
    </row>
    <row r="53" spans="1:13" ht="12.75" customHeight="1">
      <c r="C53" s="29"/>
      <c r="D53" s="29"/>
      <c r="E53" s="29"/>
      <c r="F53" s="1469"/>
      <c r="G53" s="1469"/>
      <c r="H53" s="1469"/>
      <c r="I53" s="29"/>
      <c r="J53" s="29"/>
      <c r="K53" s="1469"/>
      <c r="L53" s="1469"/>
    </row>
    <row r="54" spans="1:13" ht="12.75" customHeight="1">
      <c r="C54" s="29"/>
      <c r="D54" s="29"/>
      <c r="E54" s="29"/>
      <c r="F54" s="1469"/>
      <c r="G54" s="1469"/>
      <c r="H54" s="1469"/>
      <c r="I54" s="29"/>
      <c r="J54" s="29"/>
      <c r="K54" s="1469"/>
      <c r="L54" s="1469"/>
    </row>
    <row r="55" spans="1:13" ht="12.75" customHeight="1">
      <c r="C55" s="29"/>
      <c r="D55" s="29"/>
      <c r="E55" s="29"/>
      <c r="F55" s="1469"/>
      <c r="G55" s="1469"/>
      <c r="H55" s="1469"/>
      <c r="I55" s="29"/>
      <c r="J55" s="29"/>
      <c r="K55" s="1469"/>
      <c r="L55" s="1469"/>
    </row>
    <row r="56" spans="1:13" ht="12.75" customHeight="1">
      <c r="C56" s="29"/>
      <c r="D56" s="29"/>
      <c r="E56" s="29"/>
      <c r="F56" s="1469"/>
      <c r="G56" s="1469"/>
      <c r="H56" s="1469"/>
      <c r="I56" s="29"/>
      <c r="J56" s="29"/>
      <c r="K56" s="1469"/>
      <c r="L56" s="1469"/>
    </row>
    <row r="57" spans="1:13">
      <c r="F57" s="29"/>
      <c r="G57" s="29"/>
    </row>
    <row r="58" spans="1:13" ht="15.75">
      <c r="A58" s="123" t="s">
        <v>1417</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49">
    <mergeCell ref="C42:E42"/>
    <mergeCell ref="C40:E40"/>
    <mergeCell ref="C34:E34"/>
    <mergeCell ref="C35:E35"/>
    <mergeCell ref="C36:E36"/>
    <mergeCell ref="C41:E41"/>
    <mergeCell ref="C37:E37"/>
    <mergeCell ref="C29:E29"/>
    <mergeCell ref="C39:E39"/>
    <mergeCell ref="C30:E30"/>
    <mergeCell ref="C31:E31"/>
    <mergeCell ref="C33:E33"/>
    <mergeCell ref="C32:E32"/>
    <mergeCell ref="F18:G18"/>
    <mergeCell ref="F19:G19"/>
    <mergeCell ref="F25:G25"/>
    <mergeCell ref="F26:G26"/>
    <mergeCell ref="H28:J28"/>
    <mergeCell ref="C24:E24"/>
    <mergeCell ref="C25:E25"/>
    <mergeCell ref="C26:E26"/>
    <mergeCell ref="C23:E23"/>
    <mergeCell ref="C21:E21"/>
    <mergeCell ref="C22:E2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A1:L1"/>
    <mergeCell ref="A2:L2"/>
    <mergeCell ref="A3:L3"/>
    <mergeCell ref="C8:L8"/>
    <mergeCell ref="I14:J14"/>
    <mergeCell ref="I9:J9"/>
    <mergeCell ref="I10:J10"/>
    <mergeCell ref="I11:J11"/>
    <mergeCell ref="I12:J12"/>
    <mergeCell ref="I13:J13"/>
    <mergeCell ref="C12:H12"/>
  </mergeCells>
  <phoneticPr fontId="0" type="noConversion"/>
  <printOptions horizontalCentered="1" verticalCentered="1"/>
  <pageMargins left="0.25" right="0.25" top="1" bottom="1" header="0.5" footer="0.5"/>
  <pageSetup scale="85"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O57"/>
  <sheetViews>
    <sheetView topLeftCell="A23" zoomScaleNormal="100" workbookViewId="0">
      <selection activeCell="C40" sqref="C40:L40"/>
    </sheetView>
  </sheetViews>
  <sheetFormatPr defaultRowHeight="12.75"/>
  <cols>
    <col min="1" max="2" width="3.140625" style="784" customWidth="1"/>
    <col min="3" max="7" width="9.140625" style="784"/>
    <col min="8" max="8" width="12.42578125" style="784" customWidth="1"/>
    <col min="9" max="12" width="14.7109375" style="784" customWidth="1"/>
    <col min="13" max="16384" width="9.140625" style="784"/>
  </cols>
  <sheetData>
    <row r="1" spans="1:15" ht="18">
      <c r="A1" s="1462" t="str">
        <f>'NOTES TO FIN ST (29)'!A1:L1</f>
        <v>TOWN OF BROADUS</v>
      </c>
      <c r="B1" s="1462"/>
      <c r="C1" s="1462"/>
      <c r="D1" s="1462"/>
      <c r="E1" s="1462"/>
      <c r="F1" s="1462"/>
      <c r="G1" s="1462"/>
      <c r="H1" s="1462"/>
      <c r="I1" s="1462"/>
      <c r="J1" s="1462"/>
      <c r="K1" s="1462"/>
      <c r="L1" s="1462"/>
      <c r="M1" s="1462"/>
      <c r="N1" s="2"/>
      <c r="O1" s="2"/>
    </row>
    <row r="2" spans="1:15" ht="18">
      <c r="A2" s="1462" t="s">
        <v>1319</v>
      </c>
      <c r="B2" s="1462"/>
      <c r="C2" s="1462"/>
      <c r="D2" s="1462"/>
      <c r="E2" s="1462"/>
      <c r="F2" s="1462"/>
      <c r="G2" s="1462"/>
      <c r="H2" s="1462"/>
      <c r="I2" s="1462"/>
      <c r="J2" s="1462"/>
      <c r="K2" s="1462"/>
      <c r="L2" s="1462"/>
      <c r="M2" s="1462"/>
      <c r="N2" s="2"/>
      <c r="O2" s="2"/>
    </row>
    <row r="3" spans="1:15" ht="18">
      <c r="A3" s="1463" t="str">
        <f>'NOTES TO FIN ST (29)'!A3:L3</f>
        <v>FISCAL YEAR ENDING JUNE 30, 2017</v>
      </c>
      <c r="B3" s="1463"/>
      <c r="C3" s="1463"/>
      <c r="D3" s="1463"/>
      <c r="E3" s="1463"/>
      <c r="F3" s="1463"/>
      <c r="G3" s="1463"/>
      <c r="H3" s="1463"/>
      <c r="I3" s="1463"/>
      <c r="J3" s="1463"/>
      <c r="K3" s="1463"/>
      <c r="L3" s="1463"/>
      <c r="M3" s="1463"/>
      <c r="N3" s="2"/>
      <c r="O3" s="2"/>
    </row>
    <row r="4" spans="1:15" ht="6.75" customHeight="1">
      <c r="A4" s="1036"/>
      <c r="B4" s="1034"/>
      <c r="C4" s="1034"/>
      <c r="D4" s="1034"/>
      <c r="E4" s="1034"/>
      <c r="F4" s="1034"/>
      <c r="G4" s="1034"/>
      <c r="H4" s="1034"/>
      <c r="I4" s="1034"/>
      <c r="J4" s="1034"/>
      <c r="K4" s="1034"/>
      <c r="L4" s="1034"/>
      <c r="M4" s="2"/>
      <c r="N4" s="2"/>
      <c r="O4" s="2"/>
    </row>
    <row r="5" spans="1:15">
      <c r="A5" s="15" t="s">
        <v>86</v>
      </c>
      <c r="C5" s="785" t="s">
        <v>87</v>
      </c>
    </row>
    <row r="6" spans="1:15" ht="7.5" customHeight="1"/>
    <row r="7" spans="1:15" ht="12.75" customHeight="1">
      <c r="B7" s="1033" t="s">
        <v>1321</v>
      </c>
      <c r="C7" s="785" t="s">
        <v>88</v>
      </c>
    </row>
    <row r="8" spans="1:15" ht="4.5" customHeight="1">
      <c r="C8" s="1457"/>
      <c r="D8" s="1457"/>
      <c r="E8" s="1457"/>
      <c r="F8" s="1457"/>
      <c r="G8" s="1457"/>
      <c r="H8" s="1457"/>
      <c r="I8" s="1457"/>
      <c r="J8" s="1457"/>
      <c r="K8" s="1457"/>
      <c r="L8" s="1457"/>
    </row>
    <row r="9" spans="1:15" ht="39" customHeight="1">
      <c r="C9" s="1457" t="s">
        <v>3511</v>
      </c>
      <c r="D9" s="1457"/>
      <c r="E9" s="1457"/>
      <c r="F9" s="1457"/>
      <c r="G9" s="1457"/>
      <c r="H9" s="1457"/>
      <c r="I9" s="1457"/>
      <c r="J9" s="1457"/>
      <c r="K9" s="1457"/>
      <c r="L9" s="1457"/>
      <c r="M9" s="1457"/>
    </row>
    <row r="10" spans="1:15" s="1160" customFormat="1" ht="7.5" customHeight="1">
      <c r="C10" s="1161"/>
      <c r="D10" s="1161"/>
      <c r="E10" s="1161"/>
      <c r="F10" s="1161"/>
      <c r="G10" s="1161"/>
      <c r="H10" s="1161"/>
      <c r="I10" s="1161"/>
      <c r="J10" s="1161"/>
      <c r="K10" s="1161"/>
      <c r="L10" s="1161"/>
    </row>
    <row r="11" spans="1:15" s="1160" customFormat="1" ht="26.25" customHeight="1">
      <c r="C11" s="1457" t="s">
        <v>3512</v>
      </c>
      <c r="D11" s="1457"/>
      <c r="E11" s="1457"/>
      <c r="F11" s="1457"/>
      <c r="G11" s="1457"/>
      <c r="H11" s="1457"/>
      <c r="I11" s="1457"/>
      <c r="J11" s="1457"/>
      <c r="K11" s="1457"/>
      <c r="L11" s="1457"/>
      <c r="M11" s="1457"/>
    </row>
    <row r="12" spans="1:15" s="1160" customFormat="1" ht="10.5" customHeight="1">
      <c r="C12" s="1496" t="s">
        <v>3709</v>
      </c>
      <c r="D12" s="1494"/>
      <c r="E12" s="1494"/>
      <c r="F12" s="1494"/>
      <c r="G12" s="1494"/>
      <c r="H12" s="1494"/>
      <c r="I12" s="1494"/>
      <c r="J12" s="1494"/>
      <c r="K12" s="1494"/>
      <c r="L12" s="1494"/>
      <c r="M12" s="1494"/>
    </row>
    <row r="13" spans="1:15" s="1160" customFormat="1" ht="6" customHeight="1">
      <c r="C13" s="1161"/>
      <c r="D13" s="1161"/>
      <c r="E13" s="1161"/>
      <c r="F13" s="1161"/>
      <c r="G13" s="1161"/>
      <c r="H13" s="1161"/>
      <c r="I13" s="1161"/>
      <c r="J13" s="1161"/>
      <c r="K13" s="1161"/>
      <c r="L13" s="1161"/>
    </row>
    <row r="14" spans="1:15" s="1160" customFormat="1" ht="27.75" customHeight="1">
      <c r="C14" s="1457" t="s">
        <v>3513</v>
      </c>
      <c r="D14" s="1457"/>
      <c r="E14" s="1457"/>
      <c r="F14" s="1457"/>
      <c r="G14" s="1457"/>
      <c r="H14" s="1457"/>
      <c r="I14" s="1457"/>
      <c r="J14" s="1457"/>
      <c r="K14" s="1457"/>
      <c r="L14" s="1457"/>
      <c r="M14" s="1457"/>
    </row>
    <row r="15" spans="1:15" s="1160" customFormat="1" ht="9.75" customHeight="1">
      <c r="C15" s="1494" t="s">
        <v>3121</v>
      </c>
      <c r="D15" s="1494"/>
      <c r="E15" s="1494"/>
      <c r="F15" s="1494"/>
      <c r="G15" s="1494"/>
      <c r="H15" s="1494"/>
      <c r="I15" s="1494"/>
      <c r="J15" s="1494"/>
      <c r="K15" s="1494"/>
      <c r="L15" s="1494"/>
      <c r="M15" s="1494"/>
    </row>
    <row r="16" spans="1:15" s="1160" customFormat="1" ht="6.75" customHeight="1">
      <c r="C16" s="1183"/>
      <c r="D16" s="1183"/>
      <c r="E16" s="1183"/>
      <c r="F16" s="1183"/>
      <c r="G16" s="1183"/>
      <c r="H16" s="1183"/>
      <c r="I16" s="1183"/>
      <c r="J16" s="1183"/>
      <c r="K16" s="1183"/>
      <c r="L16" s="1183"/>
      <c r="M16" s="1183"/>
    </row>
    <row r="17" spans="3:13" s="1160" customFormat="1" ht="25.5" customHeight="1">
      <c r="C17" s="1457" t="s">
        <v>3514</v>
      </c>
      <c r="D17" s="1457"/>
      <c r="E17" s="1457"/>
      <c r="F17" s="1457"/>
      <c r="G17" s="1457"/>
      <c r="H17" s="1457"/>
      <c r="I17" s="1457"/>
      <c r="J17" s="1457"/>
      <c r="K17" s="1457"/>
      <c r="L17" s="1457"/>
      <c r="M17" s="1457"/>
    </row>
    <row r="18" spans="3:13" s="1160" customFormat="1" ht="9.75" customHeight="1">
      <c r="C18" s="1494"/>
      <c r="D18" s="1494"/>
      <c r="E18" s="1494"/>
      <c r="F18" s="1494"/>
      <c r="G18" s="1494"/>
      <c r="H18" s="1494"/>
      <c r="I18" s="1494"/>
      <c r="J18" s="1494"/>
      <c r="K18" s="1494"/>
      <c r="L18" s="1494"/>
      <c r="M18" s="1494"/>
    </row>
    <row r="19" spans="3:13" ht="6.75" customHeight="1">
      <c r="C19" s="1070"/>
      <c r="D19" s="1071"/>
      <c r="E19" s="1071"/>
      <c r="F19" s="1071"/>
      <c r="G19" s="1071"/>
      <c r="H19" s="1071"/>
      <c r="I19" s="1490"/>
      <c r="J19" s="1490"/>
    </row>
    <row r="20" spans="3:13" ht="117" customHeight="1">
      <c r="C20" s="1457" t="s">
        <v>3515</v>
      </c>
      <c r="D20" s="1457"/>
      <c r="E20" s="1457"/>
      <c r="F20" s="1457"/>
      <c r="G20" s="1457"/>
      <c r="H20" s="1457"/>
      <c r="I20" s="1457"/>
      <c r="J20" s="1457"/>
      <c r="K20" s="1457"/>
      <c r="L20" s="1457"/>
      <c r="M20" s="1457"/>
    </row>
    <row r="21" spans="3:13" ht="26.25" customHeight="1">
      <c r="C21" s="1491" t="s">
        <v>3516</v>
      </c>
      <c r="D21" s="1492"/>
      <c r="E21" s="1492"/>
      <c r="F21" s="1492"/>
      <c r="G21" s="1492"/>
      <c r="H21" s="1492"/>
      <c r="I21" s="1492"/>
      <c r="J21" s="1492"/>
      <c r="K21" s="1492"/>
      <c r="L21" s="1492"/>
      <c r="M21" s="1492"/>
    </row>
    <row r="22" spans="3:13" ht="26.25" customHeight="1">
      <c r="C22" s="1493" t="s">
        <v>3517</v>
      </c>
      <c r="D22" s="1493"/>
      <c r="E22" s="1493"/>
      <c r="F22" s="1493"/>
      <c r="G22" s="1493"/>
      <c r="H22" s="1493"/>
      <c r="I22" s="1493"/>
      <c r="J22" s="1493"/>
      <c r="K22" s="1493"/>
      <c r="L22" s="1493"/>
      <c r="M22" s="1493"/>
    </row>
    <row r="23" spans="3:13" ht="12" customHeight="1">
      <c r="C23" s="1072" t="s">
        <v>3709</v>
      </c>
      <c r="D23" s="1071"/>
      <c r="E23" s="1071"/>
      <c r="F23" s="1071"/>
      <c r="G23" s="1071"/>
      <c r="H23" s="1071"/>
      <c r="I23" s="1490"/>
      <c r="J23" s="1490"/>
    </row>
    <row r="24" spans="3:13" ht="40.5" customHeight="1">
      <c r="C24" s="1457" t="s">
        <v>3710</v>
      </c>
      <c r="D24" s="1457"/>
      <c r="E24" s="1457"/>
      <c r="F24" s="1457"/>
      <c r="G24" s="1457"/>
      <c r="H24" s="1457"/>
      <c r="I24" s="1457"/>
      <c r="J24" s="1457"/>
      <c r="K24" s="1457"/>
      <c r="L24" s="1457"/>
      <c r="M24" s="1457"/>
    </row>
    <row r="25" spans="3:13" s="1160" customFormat="1" ht="12.75" customHeight="1">
      <c r="C25" s="1457" t="s">
        <v>3431</v>
      </c>
      <c r="D25" s="1457"/>
      <c r="E25" s="1457"/>
      <c r="F25" s="1457"/>
      <c r="G25" s="1457"/>
      <c r="H25" s="1457"/>
      <c r="I25" s="1457"/>
      <c r="J25" s="1457"/>
      <c r="K25" s="1457"/>
      <c r="L25" s="1457"/>
    </row>
    <row r="26" spans="3:13" s="1160" customFormat="1" ht="12.75" customHeight="1">
      <c r="C26" s="1457" t="s">
        <v>1474</v>
      </c>
      <c r="D26" s="1457"/>
      <c r="E26" s="1457"/>
      <c r="F26" s="1457"/>
      <c r="G26" s="1457"/>
      <c r="H26" s="1457"/>
      <c r="I26" s="1457"/>
      <c r="J26" s="1457"/>
      <c r="K26" s="1457"/>
      <c r="L26" s="1457"/>
    </row>
    <row r="27" spans="3:13" s="1160" customFormat="1" ht="12.75" customHeight="1">
      <c r="C27" s="1457" t="s">
        <v>3519</v>
      </c>
      <c r="D27" s="1457"/>
      <c r="E27" s="1457"/>
      <c r="F27" s="1457"/>
      <c r="G27" s="1457"/>
      <c r="H27" s="1457"/>
      <c r="I27" s="1457"/>
      <c r="J27" s="1457"/>
      <c r="K27" s="1457"/>
      <c r="L27" s="1457"/>
    </row>
    <row r="28" spans="3:13" s="1160" customFormat="1" ht="12.75" customHeight="1">
      <c r="C28" s="1494"/>
      <c r="D28" s="1494"/>
      <c r="E28" s="1494"/>
      <c r="F28" s="1494"/>
      <c r="G28" s="1494"/>
      <c r="H28" s="1494"/>
      <c r="I28" s="1494"/>
      <c r="J28" s="1494"/>
      <c r="K28" s="1494"/>
      <c r="L28" s="1494"/>
      <c r="M28" s="1494"/>
    </row>
    <row r="29" spans="3:13" s="1160" customFormat="1" ht="7.5" customHeight="1">
      <c r="C29" s="1161"/>
      <c r="D29" s="1161"/>
      <c r="E29" s="1161"/>
      <c r="F29" s="1161"/>
      <c r="G29" s="1161"/>
      <c r="H29" s="1161"/>
      <c r="I29" s="1161"/>
      <c r="J29" s="1161"/>
      <c r="K29" s="1161"/>
      <c r="L29" s="1161"/>
    </row>
    <row r="30" spans="3:13" s="1160" customFormat="1" ht="15" customHeight="1">
      <c r="C30" s="1457" t="s">
        <v>3430</v>
      </c>
      <c r="D30" s="1457"/>
      <c r="E30" s="1457"/>
      <c r="F30" s="1457"/>
      <c r="G30" s="1457"/>
      <c r="H30" s="1457"/>
      <c r="I30" s="1457"/>
      <c r="J30" s="1457"/>
      <c r="K30" s="1457"/>
      <c r="L30" s="1457"/>
    </row>
    <row r="31" spans="3:13" s="1160" customFormat="1" ht="27" customHeight="1">
      <c r="C31" s="1161"/>
      <c r="D31" s="1495"/>
      <c r="E31" s="1495"/>
      <c r="F31" s="1457" t="s">
        <v>3429</v>
      </c>
      <c r="G31" s="1457"/>
      <c r="H31" s="1457"/>
      <c r="I31" s="1457"/>
      <c r="J31" s="1457"/>
      <c r="K31" s="1457"/>
      <c r="L31" s="1457"/>
      <c r="M31" s="1457"/>
    </row>
    <row r="32" spans="3:13" s="1160" customFormat="1" ht="12.75" customHeight="1">
      <c r="C32" s="1161"/>
      <c r="D32" s="1495"/>
      <c r="E32" s="1495"/>
      <c r="F32" s="1457" t="s">
        <v>3428</v>
      </c>
      <c r="G32" s="1457"/>
      <c r="H32" s="1457"/>
      <c r="I32" s="1457"/>
      <c r="J32" s="1457"/>
      <c r="K32" s="1457"/>
      <c r="L32" s="1457"/>
    </row>
    <row r="33" spans="3:13" s="1160" customFormat="1" ht="12.75" customHeight="1">
      <c r="C33" s="1161"/>
      <c r="D33" s="1495"/>
      <c r="E33" s="1495"/>
      <c r="F33" s="1457" t="s">
        <v>3441</v>
      </c>
      <c r="G33" s="1457"/>
      <c r="H33" s="1457"/>
      <c r="I33" s="1457"/>
      <c r="J33" s="1457"/>
      <c r="K33" s="1457"/>
      <c r="L33" s="1457"/>
    </row>
    <row r="34" spans="3:13" s="1160" customFormat="1" ht="12.75" customHeight="1">
      <c r="C34" s="1161"/>
      <c r="D34" s="1161"/>
      <c r="E34" s="1161"/>
      <c r="F34" s="1161"/>
      <c r="G34" s="1161"/>
      <c r="H34" s="1161"/>
      <c r="I34" s="1161"/>
      <c r="J34" s="1161"/>
      <c r="K34" s="1161"/>
      <c r="L34" s="1161"/>
    </row>
    <row r="35" spans="3:13" s="1160" customFormat="1" ht="39.75" customHeight="1">
      <c r="C35" s="1457" t="s">
        <v>3442</v>
      </c>
      <c r="D35" s="1457"/>
      <c r="E35" s="1457"/>
      <c r="F35" s="1457"/>
      <c r="G35" s="1457"/>
      <c r="H35" s="1457"/>
      <c r="I35" s="1457"/>
      <c r="J35" s="1457"/>
      <c r="K35" s="1457"/>
      <c r="L35" s="1457"/>
      <c r="M35" s="1457"/>
    </row>
    <row r="36" spans="3:13" s="1160" customFormat="1" ht="12.75" customHeight="1">
      <c r="C36" s="1457" t="s">
        <v>3520</v>
      </c>
      <c r="D36" s="1457"/>
      <c r="E36" s="1457"/>
      <c r="F36" s="1457"/>
      <c r="G36" s="1457"/>
      <c r="H36" s="1457"/>
      <c r="I36" s="1457"/>
      <c r="J36" s="1457"/>
      <c r="K36" s="1457"/>
      <c r="L36" s="1457"/>
    </row>
    <row r="37" spans="3:13" s="1160" customFormat="1" ht="12.75" customHeight="1">
      <c r="C37" s="1457" t="s">
        <v>3432</v>
      </c>
      <c r="D37" s="1457"/>
      <c r="E37" s="1457"/>
      <c r="F37" s="1457"/>
      <c r="G37" s="1457"/>
      <c r="H37" s="1457"/>
      <c r="I37" s="1457"/>
      <c r="J37" s="1457"/>
      <c r="K37" s="1457"/>
      <c r="L37" s="1457"/>
    </row>
    <row r="38" spans="3:13" s="1160" customFormat="1" ht="12.75" customHeight="1">
      <c r="C38" s="1161"/>
      <c r="D38" s="1161"/>
      <c r="E38" s="1161"/>
      <c r="F38" s="1161"/>
      <c r="G38" s="1161"/>
      <c r="H38" s="1161"/>
      <c r="I38" s="1161"/>
      <c r="J38" s="1161"/>
      <c r="K38" s="1161"/>
      <c r="L38" s="1161"/>
    </row>
    <row r="39" spans="3:13" ht="41.25" customHeight="1">
      <c r="C39" s="1457" t="s">
        <v>3711</v>
      </c>
      <c r="D39" s="1457"/>
      <c r="E39" s="1457"/>
      <c r="F39" s="1457"/>
      <c r="G39" s="1457"/>
      <c r="H39" s="1457"/>
      <c r="I39" s="1457"/>
      <c r="J39" s="1457"/>
      <c r="K39" s="1457"/>
      <c r="L39" s="1457"/>
      <c r="M39" s="1457"/>
    </row>
    <row r="40" spans="3:13" s="1160" customFormat="1" ht="12.75" customHeight="1">
      <c r="C40" s="1457" t="s">
        <v>3438</v>
      </c>
      <c r="D40" s="1457"/>
      <c r="E40" s="1457"/>
      <c r="F40" s="1457"/>
      <c r="G40" s="1457"/>
      <c r="H40" s="1457"/>
      <c r="I40" s="1457"/>
      <c r="J40" s="1457"/>
      <c r="K40" s="1457"/>
      <c r="L40" s="1457"/>
    </row>
    <row r="41" spans="3:13" s="1160" customFormat="1" ht="12.75" customHeight="1">
      <c r="C41" s="1161" t="s">
        <v>1474</v>
      </c>
      <c r="D41" s="1161"/>
      <c r="E41" s="1161"/>
      <c r="F41" s="1161"/>
      <c r="G41" s="1161"/>
      <c r="H41" s="1161"/>
      <c r="I41" s="1161"/>
      <c r="J41" s="1161"/>
      <c r="K41" s="1161"/>
      <c r="L41" s="1161"/>
    </row>
    <row r="42" spans="3:13" s="1160" customFormat="1" ht="12.75" customHeight="1">
      <c r="C42" s="1457" t="s">
        <v>3518</v>
      </c>
      <c r="D42" s="1457"/>
      <c r="E42" s="1457"/>
      <c r="F42" s="1457"/>
      <c r="G42" s="1457"/>
      <c r="H42" s="1457"/>
      <c r="I42" s="1457"/>
      <c r="J42" s="1457"/>
      <c r="K42" s="1457"/>
      <c r="L42" s="1457"/>
    </row>
    <row r="43" spans="3:13" s="1160" customFormat="1" ht="12.75" customHeight="1">
      <c r="C43" s="1487"/>
      <c r="D43" s="1487"/>
      <c r="E43" s="1487"/>
      <c r="F43" s="1487"/>
      <c r="G43" s="1487"/>
      <c r="H43" s="1487"/>
      <c r="I43" s="1487"/>
      <c r="J43" s="1487"/>
      <c r="K43" s="1487"/>
      <c r="L43" s="1487"/>
      <c r="M43" s="1487"/>
    </row>
    <row r="44" spans="3:13" s="1160" customFormat="1" ht="6" customHeight="1">
      <c r="C44" s="1494"/>
      <c r="D44" s="1494"/>
      <c r="E44" s="1494"/>
      <c r="F44" s="1494"/>
      <c r="G44" s="1494"/>
      <c r="H44" s="1494"/>
      <c r="I44" s="1494"/>
      <c r="J44" s="1494"/>
      <c r="K44" s="1494"/>
      <c r="L44" s="1494"/>
      <c r="M44" s="1494"/>
    </row>
    <row r="45" spans="3:13" s="1160" customFormat="1" ht="9" customHeight="1">
      <c r="C45" s="1161"/>
      <c r="D45" s="1161"/>
      <c r="E45" s="1161"/>
      <c r="F45" s="1161"/>
      <c r="G45" s="1161"/>
      <c r="H45" s="1161"/>
      <c r="I45" s="1161"/>
      <c r="J45" s="1161"/>
      <c r="K45" s="1161"/>
      <c r="L45" s="1161"/>
    </row>
    <row r="46" spans="3:13" s="1160" customFormat="1" ht="37.5" customHeight="1">
      <c r="C46" s="1457" t="s">
        <v>3437</v>
      </c>
      <c r="D46" s="1457"/>
      <c r="E46" s="1457"/>
      <c r="F46" s="1457"/>
      <c r="G46" s="1457"/>
      <c r="H46" s="1457"/>
      <c r="I46" s="1457"/>
      <c r="J46" s="1457"/>
      <c r="K46" s="1457"/>
      <c r="L46" s="1457"/>
      <c r="M46" s="1457"/>
    </row>
    <row r="47" spans="3:13" s="1160" customFormat="1" ht="4.5" customHeight="1">
      <c r="C47" s="1161"/>
      <c r="D47" s="1161"/>
      <c r="E47" s="1161"/>
      <c r="F47" s="1161"/>
      <c r="G47" s="1161"/>
      <c r="H47" s="1161"/>
      <c r="I47" s="1161"/>
      <c r="J47" s="1161"/>
      <c r="K47" s="1161"/>
      <c r="L47" s="1161"/>
    </row>
    <row r="48" spans="3:13" s="1160" customFormat="1" ht="36" customHeight="1">
      <c r="C48" s="1491" t="s">
        <v>3436</v>
      </c>
      <c r="D48" s="1491"/>
      <c r="E48" s="1491"/>
      <c r="F48" s="1491"/>
      <c r="G48" s="1491"/>
      <c r="H48" s="1491"/>
      <c r="I48" s="1491"/>
      <c r="J48" s="1491"/>
      <c r="K48" s="1491"/>
      <c r="L48" s="1491"/>
      <c r="M48" s="1491"/>
    </row>
    <row r="49" spans="1:13" s="1160" customFormat="1" ht="3.75" customHeight="1">
      <c r="C49" s="1161"/>
      <c r="D49" s="1161"/>
      <c r="E49" s="1161"/>
      <c r="F49" s="1161"/>
      <c r="G49" s="1161"/>
      <c r="H49" s="1161"/>
      <c r="I49" s="1161"/>
      <c r="J49" s="1161"/>
      <c r="K49" s="1161"/>
      <c r="L49" s="1161"/>
    </row>
    <row r="50" spans="1:13" s="1160" customFormat="1" ht="12.75" customHeight="1">
      <c r="C50" s="1457" t="s">
        <v>3435</v>
      </c>
      <c r="D50" s="1457"/>
      <c r="E50" s="1457"/>
      <c r="F50" s="1457"/>
      <c r="G50" s="1457"/>
      <c r="H50" s="1457"/>
      <c r="I50" s="1457"/>
      <c r="J50" s="1457"/>
      <c r="K50" s="1457"/>
      <c r="L50" s="1457"/>
    </row>
    <row r="51" spans="1:13" s="1160" customFormat="1" ht="12.75" customHeight="1">
      <c r="C51" s="1484" t="s">
        <v>686</v>
      </c>
      <c r="D51" s="1484"/>
      <c r="E51" s="1161"/>
      <c r="F51" s="1485" t="s">
        <v>314</v>
      </c>
      <c r="G51" s="1485"/>
      <c r="H51" s="1161"/>
      <c r="I51" s="1180" t="s">
        <v>3433</v>
      </c>
      <c r="J51" s="1161"/>
      <c r="K51" s="1485" t="s">
        <v>3434</v>
      </c>
      <c r="L51" s="1485"/>
    </row>
    <row r="52" spans="1:13" s="1160" customFormat="1" ht="12.75" customHeight="1">
      <c r="C52" s="1487"/>
      <c r="D52" s="1487"/>
      <c r="E52" s="1161"/>
      <c r="F52" s="1487"/>
      <c r="G52" s="1487"/>
      <c r="H52" s="1161"/>
      <c r="I52" s="1181"/>
      <c r="J52" s="1161"/>
      <c r="K52" s="1487"/>
      <c r="L52" s="1487"/>
    </row>
    <row r="53" spans="1:13" s="1160" customFormat="1" ht="12.75" customHeight="1">
      <c r="C53" s="1487"/>
      <c r="D53" s="1487"/>
      <c r="E53" s="1161"/>
      <c r="F53" s="1487"/>
      <c r="G53" s="1487"/>
      <c r="H53" s="1161"/>
      <c r="I53" s="1181"/>
      <c r="J53" s="1161"/>
      <c r="K53" s="1487"/>
      <c r="L53" s="1487"/>
    </row>
    <row r="54" spans="1:13" s="1160" customFormat="1" ht="12.75" customHeight="1">
      <c r="C54" s="1487"/>
      <c r="D54" s="1487"/>
      <c r="E54" s="1161"/>
      <c r="F54" s="1487"/>
      <c r="G54" s="1487"/>
      <c r="H54" s="1161"/>
      <c r="I54" s="1181"/>
      <c r="J54" s="1161"/>
      <c r="K54" s="1487"/>
      <c r="L54" s="1487"/>
    </row>
    <row r="55" spans="1:13" s="1160" customFormat="1" ht="12.75" customHeight="1">
      <c r="C55" s="1486"/>
      <c r="D55" s="1486"/>
      <c r="E55" s="1161"/>
      <c r="F55" s="1488"/>
      <c r="G55" s="1488"/>
      <c r="H55" s="1161"/>
      <c r="I55" s="1182"/>
      <c r="J55" s="1161"/>
      <c r="K55" s="1489"/>
      <c r="L55" s="1489"/>
    </row>
    <row r="56" spans="1:13" s="1160" customFormat="1" ht="6.75" customHeight="1">
      <c r="C56" s="1161"/>
      <c r="D56" s="1161"/>
      <c r="E56" s="1161"/>
      <c r="F56" s="1161"/>
      <c r="G56" s="1161"/>
      <c r="H56" s="1161"/>
      <c r="I56" s="1161"/>
      <c r="J56" s="1161"/>
      <c r="K56" s="1161"/>
      <c r="L56" s="1161"/>
    </row>
    <row r="57" spans="1:13" ht="15.75">
      <c r="A57" s="123" t="s">
        <v>1048</v>
      </c>
      <c r="B57" s="2"/>
      <c r="C57" s="2"/>
      <c r="D57" s="2"/>
      <c r="E57" s="2"/>
      <c r="F57" s="2"/>
      <c r="G57" s="2"/>
      <c r="H57" s="2"/>
      <c r="I57" s="2"/>
      <c r="J57" s="2"/>
      <c r="K57" s="2"/>
      <c r="L57" s="2"/>
      <c r="M57" s="2"/>
    </row>
  </sheetData>
  <mergeCells count="54">
    <mergeCell ref="C39:M39"/>
    <mergeCell ref="C43:M43"/>
    <mergeCell ref="C44:M44"/>
    <mergeCell ref="C46:M46"/>
    <mergeCell ref="C48:M48"/>
    <mergeCell ref="A1:M1"/>
    <mergeCell ref="A2:M2"/>
    <mergeCell ref="A3:M3"/>
    <mergeCell ref="C15:M15"/>
    <mergeCell ref="C18:M18"/>
    <mergeCell ref="C11:M11"/>
    <mergeCell ref="C12:M12"/>
    <mergeCell ref="C14:M14"/>
    <mergeCell ref="C17:M17"/>
    <mergeCell ref="F33:L33"/>
    <mergeCell ref="D33:E33"/>
    <mergeCell ref="F32:L32"/>
    <mergeCell ref="D32:E32"/>
    <mergeCell ref="D31:E31"/>
    <mergeCell ref="C30:L30"/>
    <mergeCell ref="C25:L25"/>
    <mergeCell ref="C26:L26"/>
    <mergeCell ref="C8:L8"/>
    <mergeCell ref="I19:J19"/>
    <mergeCell ref="C9:M9"/>
    <mergeCell ref="C27:L27"/>
    <mergeCell ref="C20:M20"/>
    <mergeCell ref="C21:M21"/>
    <mergeCell ref="C22:M22"/>
    <mergeCell ref="C24:M24"/>
    <mergeCell ref="C28:M28"/>
    <mergeCell ref="I23:J23"/>
    <mergeCell ref="C36:L36"/>
    <mergeCell ref="C37:L37"/>
    <mergeCell ref="F31:M31"/>
    <mergeCell ref="C35:M35"/>
    <mergeCell ref="C55:D55"/>
    <mergeCell ref="C54:D54"/>
    <mergeCell ref="F54:G54"/>
    <mergeCell ref="F55:G55"/>
    <mergeCell ref="K54:L54"/>
    <mergeCell ref="K55:L55"/>
    <mergeCell ref="C53:D53"/>
    <mergeCell ref="C52:D52"/>
    <mergeCell ref="F53:G53"/>
    <mergeCell ref="F52:G52"/>
    <mergeCell ref="K53:L53"/>
    <mergeCell ref="K52:L52"/>
    <mergeCell ref="C51:D51"/>
    <mergeCell ref="C50:L50"/>
    <mergeCell ref="F51:G51"/>
    <mergeCell ref="K51:L51"/>
    <mergeCell ref="C40:L40"/>
    <mergeCell ref="C42:L42"/>
  </mergeCells>
  <printOptions horizontalCentered="1" verticalCentered="1"/>
  <pageMargins left="0" right="0" top="0.25" bottom="0.25" header="0" footer="0"/>
  <pageSetup scale="7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71"/>
  <sheetViews>
    <sheetView zoomScaleNormal="100" workbookViewId="0">
      <selection activeCell="O30" sqref="O30"/>
    </sheetView>
  </sheetViews>
  <sheetFormatPr defaultRowHeight="12.75"/>
  <cols>
    <col min="1" max="2" width="3.7109375" style="784" customWidth="1"/>
    <col min="3" max="7" width="9.140625" style="784"/>
    <col min="8" max="8" width="12.42578125" style="784" customWidth="1"/>
    <col min="9" max="12" width="14.7109375" style="784" customWidth="1"/>
    <col min="13" max="16384" width="9.140625" style="784"/>
  </cols>
  <sheetData>
    <row r="1" spans="1:15" ht="18">
      <c r="A1" s="1462" t="str">
        <f>'NOTES TO FIN ST (30)'!A1:M1</f>
        <v>TOWN OF BROADUS</v>
      </c>
      <c r="B1" s="1462"/>
      <c r="C1" s="1462"/>
      <c r="D1" s="1462"/>
      <c r="E1" s="1462"/>
      <c r="F1" s="1462"/>
      <c r="G1" s="1462"/>
      <c r="H1" s="1462"/>
      <c r="I1" s="1462"/>
      <c r="J1" s="1462"/>
      <c r="K1" s="1462"/>
      <c r="L1" s="1462"/>
      <c r="M1" s="1462"/>
      <c r="N1" s="2"/>
      <c r="O1" s="2"/>
    </row>
    <row r="2" spans="1:15" ht="18">
      <c r="A2" s="1462" t="s">
        <v>1319</v>
      </c>
      <c r="B2" s="1462"/>
      <c r="C2" s="1462"/>
      <c r="D2" s="1462"/>
      <c r="E2" s="1462"/>
      <c r="F2" s="1462"/>
      <c r="G2" s="1462"/>
      <c r="H2" s="1462"/>
      <c r="I2" s="1462"/>
      <c r="J2" s="1462"/>
      <c r="K2" s="1462"/>
      <c r="L2" s="1462"/>
      <c r="M2" s="1462"/>
      <c r="N2" s="2"/>
      <c r="O2" s="2"/>
    </row>
    <row r="3" spans="1:15" ht="18">
      <c r="A3" s="1463" t="str">
        <f>'NOTES TO FIN ST (30)'!A3:M3</f>
        <v>FISCAL YEAR ENDING JUNE 30, 2017</v>
      </c>
      <c r="B3" s="1463"/>
      <c r="C3" s="1463"/>
      <c r="D3" s="1463"/>
      <c r="E3" s="1463"/>
      <c r="F3" s="1463"/>
      <c r="G3" s="1463"/>
      <c r="H3" s="1463"/>
      <c r="I3" s="1463"/>
      <c r="J3" s="1463"/>
      <c r="K3" s="1463"/>
      <c r="L3" s="1463"/>
      <c r="M3" s="1463"/>
      <c r="N3" s="2"/>
      <c r="O3" s="2"/>
    </row>
    <row r="4" spans="1:15" ht="8.25" customHeight="1">
      <c r="A4" s="1036"/>
      <c r="B4" s="1034"/>
      <c r="C4" s="1034"/>
      <c r="D4" s="1034"/>
      <c r="E4" s="1034"/>
      <c r="F4" s="1034"/>
      <c r="G4" s="1034"/>
      <c r="H4" s="1034"/>
      <c r="I4" s="1034"/>
      <c r="J4" s="1034"/>
      <c r="K4" s="1034"/>
      <c r="L4" s="1034"/>
      <c r="M4" s="2"/>
      <c r="N4" s="2"/>
      <c r="O4" s="2"/>
    </row>
    <row r="5" spans="1:15">
      <c r="A5" s="15" t="s">
        <v>86</v>
      </c>
      <c r="C5" s="785" t="s">
        <v>87</v>
      </c>
    </row>
    <row r="6" spans="1:15" ht="12.75" customHeight="1">
      <c r="B6" s="1033" t="s">
        <v>1321</v>
      </c>
      <c r="C6" s="785" t="s">
        <v>88</v>
      </c>
    </row>
    <row r="7" spans="1:15" ht="6.75" customHeight="1">
      <c r="C7" s="1457"/>
      <c r="D7" s="1457"/>
      <c r="E7" s="1457"/>
      <c r="F7" s="1457"/>
      <c r="G7" s="1457"/>
      <c r="H7" s="1457"/>
      <c r="I7" s="1457"/>
      <c r="J7" s="1457"/>
      <c r="K7" s="1457"/>
      <c r="L7" s="1457"/>
    </row>
    <row r="8" spans="1:15" ht="89.25" customHeight="1">
      <c r="C8" s="1497" t="s">
        <v>3521</v>
      </c>
      <c r="D8" s="1497"/>
      <c r="E8" s="1497"/>
      <c r="F8" s="1497"/>
      <c r="G8" s="1497"/>
      <c r="H8" s="1497"/>
      <c r="I8" s="1497"/>
      <c r="J8" s="1497"/>
      <c r="K8" s="1497"/>
      <c r="L8" s="1497"/>
      <c r="M8" s="1497"/>
    </row>
    <row r="9" spans="1:15" s="1160" customFormat="1" ht="12.75" customHeight="1">
      <c r="C9" s="1497" t="s">
        <v>3418</v>
      </c>
      <c r="D9" s="1497"/>
      <c r="E9" s="1497"/>
      <c r="F9" s="1497"/>
      <c r="G9" s="1497"/>
      <c r="H9" s="1497"/>
      <c r="I9" s="1497"/>
      <c r="J9" s="1497"/>
      <c r="K9" s="1497"/>
      <c r="L9" s="1497"/>
    </row>
    <row r="10" spans="1:15" s="1160" customFormat="1" ht="12.75" customHeight="1">
      <c r="C10" s="1179" t="s">
        <v>1474</v>
      </c>
      <c r="D10" s="1162"/>
      <c r="E10" s="1162"/>
      <c r="F10" s="1162"/>
      <c r="G10" s="1162"/>
      <c r="H10" s="1162"/>
      <c r="I10" s="1162"/>
      <c r="J10" s="1162"/>
      <c r="K10" s="1162"/>
      <c r="L10" s="1162"/>
    </row>
    <row r="11" spans="1:15" s="1160" customFormat="1" ht="12.75" customHeight="1">
      <c r="C11" s="1497" t="s">
        <v>3417</v>
      </c>
      <c r="D11" s="1497"/>
      <c r="E11" s="1497"/>
      <c r="F11" s="1497"/>
      <c r="G11" s="1497"/>
      <c r="H11" s="1497"/>
      <c r="I11" s="1497"/>
      <c r="J11" s="1497"/>
      <c r="K11" s="1497"/>
      <c r="L11" s="1497"/>
    </row>
    <row r="12" spans="1:15" s="1160" customFormat="1" ht="12.75" customHeight="1">
      <c r="C12" s="1499"/>
      <c r="D12" s="1499"/>
      <c r="E12" s="1499"/>
      <c r="F12" s="1499"/>
      <c r="G12" s="1499"/>
      <c r="H12" s="1499"/>
      <c r="I12" s="1499"/>
      <c r="J12" s="1499"/>
      <c r="K12" s="1499"/>
      <c r="L12" s="1499"/>
      <c r="M12" s="1499"/>
    </row>
    <row r="13" spans="1:15" s="1160" customFormat="1" ht="12.75" customHeight="1">
      <c r="C13" s="1500"/>
      <c r="D13" s="1500"/>
      <c r="E13" s="1500"/>
      <c r="F13" s="1500"/>
      <c r="G13" s="1500"/>
      <c r="H13" s="1500"/>
      <c r="I13" s="1500"/>
      <c r="J13" s="1500"/>
      <c r="K13" s="1500"/>
      <c r="L13" s="1500"/>
      <c r="M13" s="1500"/>
    </row>
    <row r="14" spans="1:15" s="1160" customFormat="1" ht="7.5" customHeight="1">
      <c r="C14" s="1162"/>
      <c r="D14" s="1162"/>
      <c r="E14" s="1162"/>
      <c r="F14" s="1162"/>
      <c r="G14" s="1162"/>
      <c r="H14" s="1162"/>
      <c r="I14" s="1162"/>
      <c r="J14" s="1162"/>
      <c r="K14" s="1162"/>
      <c r="L14" s="1162"/>
    </row>
    <row r="15" spans="1:15" s="1160" customFormat="1" ht="13.5" customHeight="1">
      <c r="C15" s="1510" t="s">
        <v>3522</v>
      </c>
      <c r="D15" s="1510"/>
      <c r="E15" s="1510"/>
      <c r="F15" s="1510"/>
      <c r="G15" s="1510"/>
      <c r="H15" s="1510"/>
      <c r="I15" s="1510"/>
      <c r="J15" s="1510"/>
      <c r="K15" s="1510"/>
      <c r="L15" s="1498" t="s">
        <v>3443</v>
      </c>
      <c r="M15" s="1498"/>
    </row>
    <row r="16" spans="1:15" s="1160" customFormat="1" ht="12.75" customHeight="1">
      <c r="C16" s="1497" t="s">
        <v>3421</v>
      </c>
      <c r="D16" s="1497"/>
      <c r="E16" s="1497"/>
      <c r="F16" s="1497"/>
      <c r="G16" s="1497"/>
      <c r="H16" s="1497"/>
      <c r="I16" s="1176"/>
      <c r="J16" s="1176"/>
      <c r="K16" s="1176"/>
      <c r="L16" s="1176"/>
      <c r="M16" s="1012"/>
    </row>
    <row r="17" spans="3:13" s="1160" customFormat="1" ht="12.75" customHeight="1">
      <c r="C17" s="1497" t="s">
        <v>3416</v>
      </c>
      <c r="D17" s="1497"/>
      <c r="E17" s="1497"/>
      <c r="F17" s="1497"/>
      <c r="G17" s="1497"/>
      <c r="H17" s="1497"/>
      <c r="I17" s="1162"/>
      <c r="J17" s="1162"/>
      <c r="K17" s="1162"/>
      <c r="L17" s="1162"/>
    </row>
    <row r="18" spans="3:13" s="1160" customFormat="1" ht="12.75" customHeight="1">
      <c r="C18" s="1497" t="s">
        <v>3422</v>
      </c>
      <c r="D18" s="1497"/>
      <c r="E18" s="1497"/>
      <c r="F18" s="1497"/>
      <c r="G18" s="1497"/>
      <c r="H18" s="1497"/>
      <c r="I18" s="1176"/>
      <c r="J18" s="1176"/>
      <c r="K18" s="1176"/>
      <c r="L18" s="1176"/>
      <c r="M18" s="1012"/>
    </row>
    <row r="19" spans="3:13" ht="7.5" customHeight="1">
      <c r="C19" s="1074"/>
      <c r="D19" s="1070"/>
      <c r="E19" s="1070"/>
      <c r="F19" s="1527"/>
      <c r="G19" s="1527"/>
      <c r="H19" s="1073"/>
      <c r="I19" s="1073"/>
      <c r="J19" s="1073"/>
    </row>
    <row r="20" spans="3:13" ht="51.75" customHeight="1">
      <c r="C20" s="1457" t="s">
        <v>3523</v>
      </c>
      <c r="D20" s="1457"/>
      <c r="E20" s="1457"/>
      <c r="F20" s="1457"/>
      <c r="G20" s="1457"/>
      <c r="H20" s="1457"/>
      <c r="I20" s="1457"/>
      <c r="J20" s="1457"/>
      <c r="K20" s="1457"/>
      <c r="L20" s="1457"/>
      <c r="M20" s="1457"/>
    </row>
    <row r="21" spans="3:13" s="1160" customFormat="1" ht="12.75" customHeight="1">
      <c r="C21" s="1457" t="s">
        <v>3440</v>
      </c>
      <c r="D21" s="1457"/>
      <c r="E21" s="1457"/>
      <c r="F21" s="1457"/>
      <c r="G21" s="1457"/>
      <c r="H21" s="1457"/>
      <c r="I21" s="1457"/>
      <c r="J21" s="1457"/>
      <c r="K21" s="1457"/>
      <c r="L21" s="1457"/>
    </row>
    <row r="22" spans="3:13" s="1160" customFormat="1" ht="12.75" customHeight="1">
      <c r="C22" s="1457" t="s">
        <v>1474</v>
      </c>
      <c r="D22" s="1457"/>
      <c r="E22" s="1457"/>
      <c r="F22" s="1457"/>
      <c r="G22" s="1457"/>
      <c r="H22" s="1457"/>
      <c r="I22" s="1457"/>
      <c r="J22" s="1457"/>
      <c r="K22" s="1457"/>
      <c r="L22" s="1457"/>
    </row>
    <row r="23" spans="3:13" s="1160" customFormat="1" ht="12.75" customHeight="1">
      <c r="C23" s="1457" t="s">
        <v>3419</v>
      </c>
      <c r="D23" s="1457"/>
      <c r="E23" s="1457"/>
      <c r="F23" s="1457"/>
      <c r="G23" s="1457"/>
      <c r="H23" s="1457"/>
      <c r="I23" s="1457"/>
      <c r="J23" s="1457"/>
      <c r="K23" s="1457"/>
      <c r="L23" s="1457"/>
    </row>
    <row r="24" spans="3:13" s="1160" customFormat="1" ht="12.75" customHeight="1">
      <c r="C24" s="1487"/>
      <c r="D24" s="1487"/>
      <c r="E24" s="1487"/>
      <c r="F24" s="1487"/>
      <c r="G24" s="1487"/>
      <c r="H24" s="1487"/>
      <c r="I24" s="1487"/>
      <c r="J24" s="1487"/>
      <c r="K24" s="1487"/>
      <c r="L24" s="1487"/>
      <c r="M24" s="1487"/>
    </row>
    <row r="25" spans="3:13" s="1160" customFormat="1" ht="12.75" customHeight="1">
      <c r="C25" s="1488"/>
      <c r="D25" s="1488"/>
      <c r="E25" s="1488"/>
      <c r="F25" s="1488"/>
      <c r="G25" s="1488"/>
      <c r="H25" s="1488"/>
      <c r="I25" s="1488"/>
      <c r="J25" s="1488"/>
      <c r="K25" s="1488"/>
      <c r="L25" s="1488"/>
      <c r="M25" s="1488"/>
    </row>
    <row r="26" spans="3:13" s="1160" customFormat="1" ht="8.25" customHeight="1">
      <c r="C26" s="1163"/>
      <c r="D26" s="1163"/>
      <c r="E26" s="1163"/>
      <c r="F26" s="1163"/>
      <c r="G26" s="1163"/>
      <c r="H26" s="1163"/>
      <c r="I26" s="1163"/>
      <c r="J26" s="1163"/>
      <c r="K26" s="1163"/>
      <c r="L26" s="1163"/>
    </row>
    <row r="27" spans="3:13" s="1160" customFormat="1" ht="12.75" customHeight="1">
      <c r="C27" s="1457" t="s">
        <v>3420</v>
      </c>
      <c r="D27" s="1457"/>
      <c r="E27" s="1457"/>
      <c r="F27" s="1457"/>
      <c r="G27" s="1457"/>
      <c r="H27" s="1457"/>
      <c r="I27" s="1457"/>
      <c r="J27" s="1457"/>
      <c r="K27" s="1457"/>
      <c r="L27" s="1457"/>
    </row>
    <row r="28" spans="3:13" ht="12.75" customHeight="1">
      <c r="C28" s="1498" t="s">
        <v>3112</v>
      </c>
      <c r="D28" s="1498"/>
      <c r="E28" s="1498"/>
      <c r="F28" s="1498"/>
      <c r="G28" s="1073"/>
      <c r="H28" s="1494" t="s">
        <v>3113</v>
      </c>
      <c r="I28" s="1494"/>
      <c r="J28" s="1073"/>
    </row>
    <row r="29" spans="3:13" ht="12.75" customHeight="1">
      <c r="C29" s="1501"/>
      <c r="D29" s="1501"/>
      <c r="E29" s="1501"/>
      <c r="F29" s="1501"/>
      <c r="G29" s="1073"/>
      <c r="H29" s="1080"/>
      <c r="I29" s="1037"/>
      <c r="J29" s="1073"/>
    </row>
    <row r="30" spans="3:13" ht="12.75" customHeight="1">
      <c r="C30" s="1502"/>
      <c r="D30" s="1502"/>
      <c r="E30" s="1502"/>
      <c r="F30" s="1502"/>
      <c r="G30" s="1073"/>
      <c r="H30" s="1081"/>
      <c r="I30" s="1073"/>
      <c r="J30" s="1073"/>
    </row>
    <row r="31" spans="3:13" ht="12.75" customHeight="1">
      <c r="C31" s="1503"/>
      <c r="D31" s="1503"/>
      <c r="E31" s="1503"/>
      <c r="F31" s="1082"/>
      <c r="G31" s="1073"/>
      <c r="H31" s="1081"/>
      <c r="I31" s="1073"/>
      <c r="J31" s="1073"/>
    </row>
    <row r="32" spans="3:13" ht="8.25" customHeight="1">
      <c r="C32" s="1504"/>
      <c r="D32" s="1504"/>
      <c r="E32" s="1504"/>
      <c r="F32" s="1505"/>
      <c r="G32" s="1505"/>
      <c r="H32" s="1073"/>
      <c r="I32" s="1073"/>
      <c r="J32" s="1073"/>
    </row>
    <row r="33" spans="3:13" ht="66.75" customHeight="1">
      <c r="C33" s="1457" t="s">
        <v>3426</v>
      </c>
      <c r="D33" s="1457"/>
      <c r="E33" s="1457"/>
      <c r="F33" s="1457"/>
      <c r="G33" s="1457"/>
      <c r="H33" s="1457"/>
      <c r="I33" s="1457"/>
      <c r="J33" s="1457"/>
      <c r="K33" s="1457"/>
      <c r="L33" s="1457"/>
      <c r="M33" s="1457"/>
    </row>
    <row r="34" spans="3:13" s="1160" customFormat="1" ht="13.5" customHeight="1">
      <c r="C34" s="1497" t="s">
        <v>3424</v>
      </c>
      <c r="D34" s="1497"/>
      <c r="E34" s="1497"/>
      <c r="F34" s="1497"/>
      <c r="G34" s="1497"/>
      <c r="H34" s="1497"/>
      <c r="I34" s="1497"/>
      <c r="J34" s="1497"/>
      <c r="K34" s="1497"/>
      <c r="L34" s="1497"/>
    </row>
    <row r="35" spans="3:13" s="1160" customFormat="1" ht="13.5" customHeight="1">
      <c r="C35" s="1162" t="s">
        <v>1474</v>
      </c>
      <c r="D35" s="1162"/>
      <c r="E35" s="1162"/>
      <c r="F35" s="1162"/>
      <c r="G35" s="1162"/>
      <c r="H35" s="1162"/>
      <c r="I35" s="1162"/>
      <c r="J35" s="1162"/>
      <c r="K35" s="1162"/>
      <c r="L35" s="1162"/>
    </row>
    <row r="36" spans="3:13" s="1160" customFormat="1" ht="13.5" customHeight="1">
      <c r="C36" s="1497" t="s">
        <v>3425</v>
      </c>
      <c r="D36" s="1497"/>
      <c r="E36" s="1497"/>
      <c r="F36" s="1497"/>
      <c r="G36" s="1497"/>
      <c r="H36" s="1497"/>
      <c r="I36" s="1497"/>
      <c r="J36" s="1497"/>
      <c r="K36" s="1497"/>
      <c r="L36" s="1497"/>
      <c r="M36" s="1497"/>
    </row>
    <row r="37" spans="3:13" s="1160" customFormat="1" ht="13.5" customHeight="1">
      <c r="C37" s="1499"/>
      <c r="D37" s="1499"/>
      <c r="E37" s="1499"/>
      <c r="F37" s="1499"/>
      <c r="G37" s="1499"/>
      <c r="H37" s="1499"/>
      <c r="I37" s="1499"/>
      <c r="J37" s="1499"/>
      <c r="K37" s="1499"/>
      <c r="L37" s="1499"/>
      <c r="M37" s="1499"/>
    </row>
    <row r="38" spans="3:13" s="1160" customFormat="1" ht="13.5" customHeight="1">
      <c r="C38" s="1500"/>
      <c r="D38" s="1500"/>
      <c r="E38" s="1500"/>
      <c r="F38" s="1500"/>
      <c r="G38" s="1500"/>
      <c r="H38" s="1500"/>
      <c r="I38" s="1500"/>
      <c r="J38" s="1500"/>
      <c r="K38" s="1500"/>
      <c r="L38" s="1500"/>
      <c r="M38" s="1500"/>
    </row>
    <row r="39" spans="3:13" s="1160" customFormat="1" ht="7.5" customHeight="1">
      <c r="C39" s="1162"/>
      <c r="D39" s="1162"/>
      <c r="E39" s="1162"/>
      <c r="F39" s="1162"/>
      <c r="G39" s="1162"/>
      <c r="H39" s="1162"/>
      <c r="I39" s="1162"/>
      <c r="J39" s="1162"/>
      <c r="K39" s="1162"/>
      <c r="L39" s="1162"/>
    </row>
    <row r="40" spans="3:13" s="1160" customFormat="1" ht="13.5" customHeight="1">
      <c r="C40" s="1497" t="s">
        <v>3423</v>
      </c>
      <c r="D40" s="1497"/>
      <c r="E40" s="1497"/>
      <c r="F40" s="1497"/>
      <c r="G40" s="1497"/>
      <c r="H40" s="1497"/>
      <c r="I40" s="1497"/>
      <c r="J40" s="1497"/>
      <c r="K40" s="1497"/>
      <c r="L40" s="1497"/>
    </row>
    <row r="41" spans="3:13" ht="12.75" customHeight="1">
      <c r="C41" s="1088"/>
      <c r="D41" s="1088"/>
      <c r="E41" s="1088"/>
      <c r="F41" s="1088"/>
      <c r="G41" s="1506" t="s">
        <v>3114</v>
      </c>
      <c r="H41" s="1507"/>
      <c r="I41" s="1507"/>
      <c r="J41" s="1073"/>
    </row>
    <row r="42" spans="3:13" ht="12.75" customHeight="1">
      <c r="C42" s="1509" t="s">
        <v>313</v>
      </c>
      <c r="D42" s="1510"/>
      <c r="E42" s="1506" t="s">
        <v>314</v>
      </c>
      <c r="F42" s="1507"/>
      <c r="G42" s="1089" t="s">
        <v>3115</v>
      </c>
      <c r="H42" s="1090" t="s">
        <v>3116</v>
      </c>
      <c r="I42" s="1089" t="s">
        <v>3439</v>
      </c>
      <c r="J42" s="1083"/>
    </row>
    <row r="43" spans="3:13" ht="12.75" customHeight="1">
      <c r="C43" s="1499"/>
      <c r="D43" s="1499"/>
      <c r="E43" s="1499" t="s">
        <v>315</v>
      </c>
      <c r="F43" s="1499"/>
      <c r="G43" s="1091"/>
      <c r="H43" s="1091"/>
      <c r="I43" s="1091"/>
      <c r="J43" s="1075"/>
    </row>
    <row r="44" spans="3:13" ht="12.75" customHeight="1">
      <c r="C44" s="1499"/>
      <c r="D44" s="1499"/>
      <c r="E44" s="1508" t="s">
        <v>315</v>
      </c>
      <c r="F44" s="1508"/>
      <c r="G44" s="1092"/>
      <c r="H44" s="1092"/>
      <c r="I44" s="1092"/>
      <c r="J44" s="1076"/>
    </row>
    <row r="45" spans="3:13" ht="12.75" customHeight="1">
      <c r="C45" s="1499"/>
      <c r="D45" s="1499"/>
      <c r="E45" s="1500" t="s">
        <v>315</v>
      </c>
      <c r="F45" s="1500"/>
      <c r="G45" s="1092"/>
      <c r="H45" s="1092"/>
      <c r="I45" s="1092"/>
      <c r="J45" s="1076"/>
    </row>
    <row r="46" spans="3:13" ht="12.75" customHeight="1">
      <c r="C46" s="1499"/>
      <c r="D46" s="1499"/>
      <c r="E46" s="1499" t="s">
        <v>315</v>
      </c>
      <c r="F46" s="1499"/>
      <c r="G46" s="1091"/>
      <c r="H46" s="1091"/>
      <c r="I46" s="1091"/>
      <c r="J46" s="1076"/>
    </row>
    <row r="47" spans="3:13" ht="9" customHeight="1">
      <c r="C47" s="1084"/>
      <c r="D47" s="1084"/>
      <c r="E47" s="1084"/>
      <c r="F47" s="1076"/>
      <c r="G47" s="1071"/>
      <c r="H47" s="1076"/>
      <c r="I47" s="1076"/>
      <c r="J47" s="1076"/>
    </row>
    <row r="48" spans="3:13" ht="12.75" customHeight="1">
      <c r="C48" s="1513" t="s">
        <v>3117</v>
      </c>
      <c r="D48" s="1513"/>
      <c r="E48" s="1513"/>
      <c r="F48" s="1513"/>
      <c r="G48" s="1086"/>
      <c r="H48" s="1086"/>
      <c r="I48" s="1086"/>
      <c r="J48" s="1086"/>
    </row>
    <row r="49" spans="2:13" ht="13.5" customHeight="1">
      <c r="C49" s="1457" t="s">
        <v>3427</v>
      </c>
      <c r="D49" s="1457"/>
      <c r="E49" s="1457"/>
      <c r="F49" s="1457"/>
      <c r="G49" s="1457"/>
      <c r="H49" s="1457"/>
      <c r="I49" s="1457"/>
      <c r="J49" s="1457"/>
      <c r="K49" s="1457"/>
      <c r="L49" s="1457"/>
      <c r="M49" s="1457"/>
    </row>
    <row r="50" spans="2:13" ht="12.75" customHeight="1">
      <c r="C50" s="1086"/>
      <c r="D50" s="1086"/>
      <c r="E50" s="1086"/>
      <c r="F50" s="1086"/>
      <c r="G50" s="1086"/>
      <c r="H50" s="1096" t="s">
        <v>3118</v>
      </c>
      <c r="I50" s="1096" t="s">
        <v>3119</v>
      </c>
      <c r="J50" s="1069"/>
    </row>
    <row r="51" spans="2:13" ht="12.75" customHeight="1">
      <c r="C51" s="1514" t="s">
        <v>3120</v>
      </c>
      <c r="D51" s="1514"/>
      <c r="E51" s="1514"/>
      <c r="F51" s="1514"/>
      <c r="G51" s="1086"/>
      <c r="H51" s="1086" t="s">
        <v>315</v>
      </c>
      <c r="I51" s="1086" t="s">
        <v>315</v>
      </c>
      <c r="J51" s="1068"/>
    </row>
    <row r="52" spans="2:13" ht="12.75" customHeight="1">
      <c r="C52" s="1093" t="s">
        <v>3121</v>
      </c>
      <c r="D52" s="1514" t="s">
        <v>3122</v>
      </c>
      <c r="E52" s="1514"/>
      <c r="F52" s="1514"/>
      <c r="G52" s="1086"/>
      <c r="H52" s="1087"/>
      <c r="I52" s="1086"/>
      <c r="J52" s="1077"/>
    </row>
    <row r="53" spans="2:13" ht="12.75" customHeight="1">
      <c r="C53" s="1093"/>
      <c r="D53" s="1514" t="s">
        <v>3123</v>
      </c>
      <c r="E53" s="1514"/>
      <c r="F53" s="1514"/>
      <c r="G53" s="1086"/>
      <c r="H53" s="1086"/>
      <c r="I53" s="1086"/>
      <c r="J53" s="1078"/>
    </row>
    <row r="54" spans="2:13" ht="12.75" customHeight="1">
      <c r="C54" s="1086"/>
      <c r="D54" s="1514" t="s">
        <v>3124</v>
      </c>
      <c r="E54" s="1514"/>
      <c r="F54" s="1514"/>
      <c r="G54" s="1086"/>
      <c r="H54" s="1086"/>
      <c r="I54" s="1086"/>
      <c r="J54" s="1078"/>
    </row>
    <row r="55" spans="2:13" ht="12.75" customHeight="1">
      <c r="C55" s="1086"/>
      <c r="D55" s="1515" t="s">
        <v>3125</v>
      </c>
      <c r="E55" s="1515"/>
      <c r="F55" s="1515"/>
      <c r="G55" s="1086"/>
      <c r="H55" s="1094"/>
      <c r="I55" s="1094"/>
      <c r="J55" s="1078"/>
    </row>
    <row r="56" spans="2:13" ht="12.75" customHeight="1" thickBot="1">
      <c r="C56" s="1516" t="s">
        <v>3126</v>
      </c>
      <c r="D56" s="1516"/>
      <c r="E56" s="1516"/>
      <c r="F56" s="1516"/>
      <c r="G56" s="1086"/>
      <c r="H56" s="1095" t="s">
        <v>315</v>
      </c>
      <c r="I56" s="1095" t="s">
        <v>315</v>
      </c>
      <c r="J56" s="1079"/>
    </row>
    <row r="57" spans="2:13" ht="6.75" customHeight="1" thickTop="1">
      <c r="C57" s="1086"/>
      <c r="D57" s="1086"/>
      <c r="E57" s="1086"/>
      <c r="F57" s="1086"/>
      <c r="G57" s="1086"/>
      <c r="H57" s="1086"/>
      <c r="I57" s="1086"/>
      <c r="J57" s="29"/>
    </row>
    <row r="59" spans="2:13" ht="12.75" customHeight="1">
      <c r="B59" s="1033" t="s">
        <v>117</v>
      </c>
      <c r="C59" s="785" t="s">
        <v>2099</v>
      </c>
    </row>
    <row r="60" spans="2:13" ht="12.75" customHeight="1">
      <c r="C60" s="784" t="s">
        <v>2100</v>
      </c>
    </row>
    <row r="61" spans="2:13" ht="6" customHeight="1" thickBot="1"/>
    <row r="62" spans="2:13" ht="12.75" customHeight="1" thickBot="1">
      <c r="C62" s="30" t="s">
        <v>2101</v>
      </c>
      <c r="D62" s="21"/>
      <c r="E62" s="21"/>
      <c r="F62" s="21"/>
      <c r="G62" s="21"/>
      <c r="H62" s="27"/>
      <c r="I62" s="30" t="s">
        <v>2102</v>
      </c>
      <c r="J62" s="21"/>
      <c r="K62" s="21"/>
      <c r="L62" s="22"/>
    </row>
    <row r="63" spans="2:13" ht="12.75" customHeight="1">
      <c r="C63" s="35"/>
      <c r="D63" s="29"/>
      <c r="E63" s="29"/>
      <c r="F63" s="1511"/>
      <c r="G63" s="1517"/>
      <c r="H63" s="1518"/>
      <c r="I63" s="38"/>
      <c r="J63" s="29"/>
      <c r="K63" s="1511"/>
      <c r="L63" s="1512"/>
    </row>
    <row r="64" spans="2:13" ht="12.75" customHeight="1">
      <c r="C64" s="36" t="s">
        <v>753</v>
      </c>
      <c r="D64" s="34"/>
      <c r="E64" s="34"/>
      <c r="F64" s="1519"/>
      <c r="G64" s="1520"/>
      <c r="H64" s="1521"/>
      <c r="I64" s="33" t="s">
        <v>754</v>
      </c>
      <c r="J64" s="34"/>
      <c r="K64" s="1519"/>
      <c r="L64" s="1522"/>
    </row>
    <row r="65" spans="1:13" ht="12.75" customHeight="1">
      <c r="C65" s="36" t="s">
        <v>753</v>
      </c>
      <c r="D65" s="34"/>
      <c r="E65" s="34"/>
      <c r="F65" s="1519"/>
      <c r="G65" s="1520"/>
      <c r="H65" s="1521"/>
      <c r="I65" s="33" t="s">
        <v>754</v>
      </c>
      <c r="J65" s="34"/>
      <c r="K65" s="1519"/>
      <c r="L65" s="1522"/>
    </row>
    <row r="66" spans="1:13" ht="12.75" customHeight="1">
      <c r="C66" s="36" t="s">
        <v>753</v>
      </c>
      <c r="D66" s="34"/>
      <c r="E66" s="34"/>
      <c r="F66" s="1519"/>
      <c r="G66" s="1520"/>
      <c r="H66" s="1521"/>
      <c r="I66" s="33" t="s">
        <v>754</v>
      </c>
      <c r="J66" s="34"/>
      <c r="K66" s="1519"/>
      <c r="L66" s="1522"/>
    </row>
    <row r="67" spans="1:13" ht="12.75" customHeight="1">
      <c r="C67" s="36" t="s">
        <v>753</v>
      </c>
      <c r="D67" s="34"/>
      <c r="E67" s="34"/>
      <c r="F67" s="1519"/>
      <c r="G67" s="1520"/>
      <c r="H67" s="1521"/>
      <c r="I67" s="33" t="s">
        <v>754</v>
      </c>
      <c r="J67" s="34"/>
      <c r="K67" s="1519"/>
      <c r="L67" s="1522"/>
    </row>
    <row r="68" spans="1:13" ht="12.75" customHeight="1">
      <c r="C68" s="36" t="s">
        <v>753</v>
      </c>
      <c r="D68" s="34"/>
      <c r="E68" s="34"/>
      <c r="F68" s="1519"/>
      <c r="G68" s="1520"/>
      <c r="H68" s="1521"/>
      <c r="I68" s="33" t="s">
        <v>754</v>
      </c>
      <c r="J68" s="34"/>
      <c r="K68" s="1519"/>
      <c r="L68" s="1522"/>
    </row>
    <row r="69" spans="1:13" ht="12.75" customHeight="1" thickBot="1">
      <c r="C69" s="37" t="s">
        <v>755</v>
      </c>
      <c r="D69" s="1"/>
      <c r="E69" s="1"/>
      <c r="F69" s="1523">
        <f>F63+F64+F65+F66+F67+F68</f>
        <v>0</v>
      </c>
      <c r="G69" s="1524"/>
      <c r="H69" s="1525"/>
      <c r="I69" s="39" t="s">
        <v>755</v>
      </c>
      <c r="J69" s="1"/>
      <c r="K69" s="1523">
        <f>K63+K64+K65+K66+K67+K68</f>
        <v>0</v>
      </c>
      <c r="L69" s="1526"/>
    </row>
    <row r="70" spans="1:13" ht="7.5" customHeight="1">
      <c r="F70" s="29"/>
      <c r="G70" s="29"/>
    </row>
    <row r="71" spans="1:13" ht="15.75">
      <c r="A71" s="123" t="s">
        <v>1049</v>
      </c>
      <c r="B71" s="2"/>
      <c r="C71" s="2"/>
      <c r="D71" s="2"/>
      <c r="E71" s="2"/>
      <c r="F71" s="2"/>
      <c r="G71" s="2"/>
      <c r="H71" s="2"/>
      <c r="I71" s="2"/>
      <c r="J71" s="2"/>
      <c r="K71" s="2"/>
      <c r="L71" s="2"/>
      <c r="M71" s="2"/>
    </row>
  </sheetData>
  <mergeCells count="68">
    <mergeCell ref="A1:M1"/>
    <mergeCell ref="A2:M2"/>
    <mergeCell ref="A3:M3"/>
    <mergeCell ref="C8:M8"/>
    <mergeCell ref="C20:M20"/>
    <mergeCell ref="C12:M12"/>
    <mergeCell ref="C13:M13"/>
    <mergeCell ref="C15:K15"/>
    <mergeCell ref="L15:M15"/>
    <mergeCell ref="C7:L7"/>
    <mergeCell ref="F19:G19"/>
    <mergeCell ref="C11:L11"/>
    <mergeCell ref="C9:L9"/>
    <mergeCell ref="F67:H67"/>
    <mergeCell ref="K67:L67"/>
    <mergeCell ref="F68:H68"/>
    <mergeCell ref="K68:L68"/>
    <mergeCell ref="F69:H69"/>
    <mergeCell ref="K69:L69"/>
    <mergeCell ref="F64:H64"/>
    <mergeCell ref="K64:L64"/>
    <mergeCell ref="F65:H65"/>
    <mergeCell ref="K65:L65"/>
    <mergeCell ref="F66:H66"/>
    <mergeCell ref="K66:L66"/>
    <mergeCell ref="C45:D45"/>
    <mergeCell ref="E45:F45"/>
    <mergeCell ref="K63:L63"/>
    <mergeCell ref="C46:D46"/>
    <mergeCell ref="E46:F46"/>
    <mergeCell ref="C48:F48"/>
    <mergeCell ref="C51:F51"/>
    <mergeCell ref="D52:F52"/>
    <mergeCell ref="D53:F53"/>
    <mergeCell ref="D54:F54"/>
    <mergeCell ref="D55:F55"/>
    <mergeCell ref="C56:F56"/>
    <mergeCell ref="F63:H63"/>
    <mergeCell ref="C49:M49"/>
    <mergeCell ref="G41:I41"/>
    <mergeCell ref="C43:D43"/>
    <mergeCell ref="E43:F43"/>
    <mergeCell ref="C44:D44"/>
    <mergeCell ref="E44:F44"/>
    <mergeCell ref="C42:D42"/>
    <mergeCell ref="E42:F42"/>
    <mergeCell ref="C21:L21"/>
    <mergeCell ref="C22:L22"/>
    <mergeCell ref="C23:L23"/>
    <mergeCell ref="C16:H16"/>
    <mergeCell ref="C17:H17"/>
    <mergeCell ref="C18:H18"/>
    <mergeCell ref="C27:L27"/>
    <mergeCell ref="C40:L40"/>
    <mergeCell ref="C34:L34"/>
    <mergeCell ref="C28:F28"/>
    <mergeCell ref="C24:M24"/>
    <mergeCell ref="C25:M25"/>
    <mergeCell ref="C33:M33"/>
    <mergeCell ref="C37:M37"/>
    <mergeCell ref="C36:M36"/>
    <mergeCell ref="C38:M38"/>
    <mergeCell ref="H28:I28"/>
    <mergeCell ref="C29:F29"/>
    <mergeCell ref="C30:F30"/>
    <mergeCell ref="C31:E31"/>
    <mergeCell ref="C32:E32"/>
    <mergeCell ref="F32:G32"/>
  </mergeCells>
  <printOptions horizontalCentered="1" verticalCentered="1"/>
  <pageMargins left="0" right="0" top="0.25" bottom="0.25" header="0" footer="0"/>
  <pageSetup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K98"/>
  <sheetViews>
    <sheetView zoomScale="90" zoomScaleNormal="90" workbookViewId="0">
      <selection activeCell="M93" sqref="M93"/>
    </sheetView>
  </sheetViews>
  <sheetFormatPr defaultRowHeight="15"/>
  <cols>
    <col min="1" max="1" width="63.28515625" style="597" bestFit="1" customWidth="1"/>
    <col min="2" max="2" width="21.7109375" style="597" customWidth="1"/>
    <col min="3" max="7" width="7.7109375" style="597" customWidth="1"/>
    <col min="8" max="16384" width="9.140625" style="597"/>
  </cols>
  <sheetData>
    <row r="1" spans="1:11" ht="18">
      <c r="A1" s="1416" t="s">
        <v>1450</v>
      </c>
      <c r="B1" s="1416"/>
      <c r="C1" s="1416"/>
      <c r="D1" s="1416"/>
      <c r="E1" s="1416"/>
      <c r="F1" s="1416"/>
      <c r="G1" s="1416"/>
      <c r="H1" s="596"/>
      <c r="I1" s="596"/>
      <c r="J1" s="596"/>
      <c r="K1" s="596"/>
    </row>
    <row r="2" spans="1:11" ht="15.75">
      <c r="A2" s="1417" t="str">
        <f>'COVER PAGE'!A30</f>
        <v>FISCAL YEAR ENDING JUNE 30, 2017</v>
      </c>
      <c r="B2" s="1417"/>
      <c r="C2" s="1417"/>
      <c r="D2" s="1417"/>
      <c r="E2" s="1417"/>
      <c r="F2" s="1417"/>
      <c r="G2" s="1417"/>
      <c r="H2" s="598"/>
      <c r="I2" s="598"/>
      <c r="J2" s="598"/>
      <c r="K2" s="598"/>
    </row>
    <row r="4" spans="1:11" ht="17.100000000000001" customHeight="1">
      <c r="A4" s="599"/>
      <c r="B4" s="1418" t="s">
        <v>1452</v>
      </c>
      <c r="C4" s="1419"/>
      <c r="D4" s="1419"/>
      <c r="E4" s="1419"/>
      <c r="F4" s="1419"/>
      <c r="G4" s="1419"/>
    </row>
    <row r="5" spans="1:11" ht="17.100000000000001" customHeight="1">
      <c r="A5" s="795" t="str">
        <f>'COVER PAGE'!E7</f>
        <v>023801</v>
      </c>
      <c r="B5" s="1418" t="s">
        <v>1453</v>
      </c>
      <c r="C5" s="1419"/>
      <c r="D5" s="1419"/>
      <c r="E5" s="1419"/>
      <c r="F5" s="1419"/>
      <c r="G5" s="1419"/>
    </row>
    <row r="6" spans="1:11" ht="17.100000000000001" customHeight="1">
      <c r="A6" s="600" t="str">
        <f>'COVER PAGE'!A9</f>
        <v>TOWN OF BROADUS</v>
      </c>
      <c r="B6" s="1418" t="s">
        <v>1454</v>
      </c>
      <c r="C6" s="1419"/>
      <c r="D6" s="1419"/>
      <c r="E6" s="1419"/>
      <c r="F6" s="1419"/>
      <c r="G6" s="1419"/>
    </row>
    <row r="7" spans="1:11" ht="17.100000000000001" customHeight="1">
      <c r="A7" s="600" t="str">
        <f>'COVER PAGE'!A10:K10</f>
        <v>PO BOX 659, 210 E HOLT STREET</v>
      </c>
      <c r="B7" s="1420"/>
      <c r="C7" s="1421"/>
      <c r="D7" s="1421"/>
      <c r="E7" s="1421"/>
      <c r="F7" s="1421"/>
      <c r="G7" s="1421"/>
    </row>
    <row r="8" spans="1:11" ht="17.100000000000001" customHeight="1">
      <c r="A8" s="600" t="str">
        <f>'COVER PAGE'!A11:K11</f>
        <v>BROADUS MT 59317</v>
      </c>
      <c r="B8" s="1425"/>
      <c r="C8" s="1426"/>
      <c r="D8" s="1426"/>
      <c r="E8" s="1426"/>
      <c r="F8" s="1426"/>
      <c r="G8" s="1426"/>
    </row>
    <row r="9" spans="1:11" ht="17.100000000000001" customHeight="1">
      <c r="A9" s="601"/>
      <c r="B9" s="1425"/>
      <c r="C9" s="1426"/>
      <c r="D9" s="1426"/>
      <c r="E9" s="1426"/>
      <c r="F9" s="1426"/>
      <c r="G9" s="1426"/>
    </row>
    <row r="10" spans="1:11" ht="17.100000000000001" customHeight="1">
      <c r="A10" s="602"/>
      <c r="B10" s="603"/>
      <c r="C10" s="603"/>
      <c r="D10" s="603"/>
      <c r="E10" s="603"/>
      <c r="F10" s="603"/>
      <c r="G10" s="603"/>
    </row>
    <row r="11" spans="1:11" ht="6.75" customHeight="1">
      <c r="A11" s="1245"/>
    </row>
    <row r="12" spans="1:11">
      <c r="A12" s="1246" t="s">
        <v>3227</v>
      </c>
    </row>
    <row r="13" spans="1:11" ht="7.5" customHeight="1">
      <c r="A13" s="604"/>
    </row>
    <row r="14" spans="1:11" ht="15.75">
      <c r="B14" s="605" t="s">
        <v>1451</v>
      </c>
      <c r="C14" s="606"/>
      <c r="D14" s="606"/>
      <c r="E14" s="606"/>
      <c r="F14" s="606"/>
      <c r="G14" s="606"/>
    </row>
    <row r="15" spans="1:11" ht="15.75">
      <c r="B15" s="605" t="s">
        <v>1046</v>
      </c>
      <c r="C15" s="606"/>
      <c r="D15" s="606"/>
      <c r="E15" s="606"/>
      <c r="F15" s="606"/>
      <c r="G15" s="606"/>
    </row>
    <row r="16" spans="1:11" ht="15.75">
      <c r="B16" s="605" t="s">
        <v>3023</v>
      </c>
      <c r="C16" s="606"/>
      <c r="D16" s="606"/>
      <c r="E16" s="606"/>
      <c r="F16" s="606"/>
      <c r="G16" s="606"/>
    </row>
    <row r="17" spans="1:7" ht="15.75">
      <c r="B17" s="605" t="s">
        <v>1455</v>
      </c>
      <c r="C17" s="606"/>
      <c r="D17" s="606"/>
      <c r="E17" s="606"/>
      <c r="F17" s="606"/>
      <c r="G17" s="606"/>
    </row>
    <row r="18" spans="1:7" ht="15.75">
      <c r="B18" s="605" t="s">
        <v>1456</v>
      </c>
      <c r="C18" s="606"/>
      <c r="D18" s="606"/>
      <c r="E18" s="606"/>
      <c r="F18" s="606"/>
      <c r="G18" s="606"/>
    </row>
    <row r="19" spans="1:7" ht="10.5" customHeight="1" thickBot="1">
      <c r="B19" s="605"/>
      <c r="C19" s="606"/>
      <c r="D19" s="606"/>
      <c r="E19" s="606"/>
      <c r="F19" s="606"/>
      <c r="G19" s="606"/>
    </row>
    <row r="20" spans="1:7" ht="64.5" customHeight="1" thickBot="1">
      <c r="A20" s="1429" t="s">
        <v>3641</v>
      </c>
      <c r="B20" s="1430"/>
      <c r="C20" s="1430"/>
      <c r="D20" s="1430"/>
      <c r="E20" s="1430"/>
      <c r="F20" s="1430"/>
      <c r="G20" s="1431"/>
    </row>
    <row r="21" spans="1:7" ht="10.5" customHeight="1">
      <c r="B21" s="605"/>
      <c r="C21" s="606"/>
      <c r="D21" s="606"/>
      <c r="E21" s="606"/>
      <c r="F21" s="606"/>
      <c r="G21" s="606"/>
    </row>
    <row r="22" spans="1:7" ht="10.5" customHeight="1" thickBot="1"/>
    <row r="23" spans="1:7" ht="63.75" customHeight="1" thickBot="1">
      <c r="A23" s="1422" t="s">
        <v>3644</v>
      </c>
      <c r="B23" s="1423"/>
      <c r="C23" s="1423"/>
      <c r="D23" s="1423"/>
      <c r="E23" s="1423"/>
      <c r="F23" s="1423"/>
      <c r="G23" s="1424"/>
    </row>
    <row r="24" spans="1:7" ht="12.75" customHeight="1">
      <c r="A24" s="1356"/>
      <c r="B24" s="1356"/>
      <c r="C24" s="1356"/>
      <c r="D24" s="1356"/>
      <c r="E24" s="1356"/>
      <c r="F24" s="1356"/>
      <c r="G24" s="1356"/>
    </row>
    <row r="25" spans="1:7">
      <c r="A25" s="607"/>
      <c r="B25" s="608"/>
      <c r="C25" s="608"/>
      <c r="D25" s="608"/>
      <c r="E25" s="608"/>
      <c r="F25" s="608"/>
      <c r="G25" s="608"/>
    </row>
    <row r="26" spans="1:7">
      <c r="A26" s="1427" t="s">
        <v>1860</v>
      </c>
      <c r="B26" s="1427"/>
      <c r="C26" s="1427"/>
      <c r="D26" s="1427"/>
      <c r="E26" s="1427"/>
      <c r="F26" s="1427"/>
      <c r="G26" s="1427"/>
    </row>
    <row r="27" spans="1:7">
      <c r="A27" s="1427"/>
      <c r="B27" s="1427"/>
      <c r="C27" s="1427"/>
      <c r="D27" s="1427"/>
      <c r="E27" s="1427"/>
      <c r="F27" s="1427"/>
      <c r="G27" s="1427"/>
    </row>
    <row r="28" spans="1:7">
      <c r="A28" s="607"/>
      <c r="B28" s="608"/>
      <c r="C28" s="608"/>
      <c r="D28" s="608"/>
      <c r="E28" s="608"/>
      <c r="F28" s="608"/>
      <c r="G28" s="608"/>
    </row>
    <row r="29" spans="1:7">
      <c r="A29" s="607"/>
      <c r="B29" s="608"/>
      <c r="C29" s="608"/>
      <c r="D29" s="608"/>
      <c r="E29" s="608"/>
      <c r="F29" s="608"/>
      <c r="G29" s="608"/>
    </row>
    <row r="30" spans="1:7">
      <c r="A30" s="1428" t="s">
        <v>1461</v>
      </c>
      <c r="B30" s="1428"/>
      <c r="C30" s="1428"/>
      <c r="D30" s="1428"/>
      <c r="E30" s="1428"/>
      <c r="F30" s="1428"/>
      <c r="G30" s="1428"/>
    </row>
    <row r="31" spans="1:7">
      <c r="A31" s="1415" t="s">
        <v>1861</v>
      </c>
      <c r="B31" s="1415"/>
      <c r="C31" s="1415"/>
      <c r="D31" s="1415"/>
      <c r="E31" s="1415"/>
      <c r="F31" s="1415"/>
      <c r="G31" s="1415"/>
    </row>
    <row r="32" spans="1:7">
      <c r="A32" s="1415"/>
      <c r="B32" s="1415"/>
      <c r="C32" s="1415"/>
      <c r="D32" s="1415"/>
      <c r="E32" s="1415"/>
      <c r="F32" s="1415"/>
      <c r="G32" s="1415"/>
    </row>
    <row r="33" spans="1:11">
      <c r="A33" s="609"/>
      <c r="B33" s="609"/>
      <c r="C33" s="609"/>
      <c r="D33" s="609"/>
      <c r="E33" s="609"/>
      <c r="F33" s="609"/>
      <c r="G33" s="609"/>
    </row>
    <row r="34" spans="1:11">
      <c r="A34" s="610" t="s">
        <v>3051</v>
      </c>
      <c r="B34" s="1408" t="s">
        <v>3051</v>
      </c>
      <c r="C34" s="1408"/>
      <c r="D34" s="1408" t="s">
        <v>1463</v>
      </c>
      <c r="E34" s="1408"/>
      <c r="F34" s="1408"/>
      <c r="G34" s="1409"/>
    </row>
    <row r="35" spans="1:11">
      <c r="A35" s="611" t="s">
        <v>3224</v>
      </c>
      <c r="B35" s="1410" t="s">
        <v>3074</v>
      </c>
      <c r="C35" s="1410"/>
      <c r="D35" s="1410" t="s">
        <v>1462</v>
      </c>
      <c r="E35" s="1410"/>
      <c r="F35" s="1410"/>
      <c r="G35" s="1411"/>
    </row>
    <row r="36" spans="1:11">
      <c r="A36" s="612">
        <v>0</v>
      </c>
      <c r="B36" s="1412">
        <v>750000</v>
      </c>
      <c r="C36" s="1412"/>
      <c r="D36" s="1413">
        <v>0</v>
      </c>
      <c r="E36" s="1413"/>
      <c r="F36" s="1413"/>
      <c r="G36" s="1414"/>
    </row>
    <row r="37" spans="1:11">
      <c r="A37" s="613">
        <v>750000</v>
      </c>
      <c r="B37" s="1407">
        <v>1000000</v>
      </c>
      <c r="C37" s="1404"/>
      <c r="D37" s="1405">
        <v>550</v>
      </c>
      <c r="E37" s="1405"/>
      <c r="F37" s="1405"/>
      <c r="G37" s="1406"/>
    </row>
    <row r="38" spans="1:11">
      <c r="A38" s="614">
        <v>1000000</v>
      </c>
      <c r="B38" s="1401">
        <v>1500000</v>
      </c>
      <c r="C38" s="1401">
        <v>1500000</v>
      </c>
      <c r="D38" s="1402">
        <v>800</v>
      </c>
      <c r="E38" s="1402"/>
      <c r="F38" s="1402"/>
      <c r="G38" s="1403"/>
    </row>
    <row r="39" spans="1:11">
      <c r="A39" s="613">
        <v>1500000</v>
      </c>
      <c r="B39" s="1404">
        <v>2500000</v>
      </c>
      <c r="C39" s="1404">
        <v>2500000</v>
      </c>
      <c r="D39" s="1405">
        <v>950</v>
      </c>
      <c r="E39" s="1405"/>
      <c r="F39" s="1405"/>
      <c r="G39" s="1406"/>
    </row>
    <row r="40" spans="1:11">
      <c r="A40" s="615">
        <v>2500000</v>
      </c>
      <c r="B40" s="1401">
        <v>5000000</v>
      </c>
      <c r="C40" s="1401">
        <v>5000000</v>
      </c>
      <c r="D40" s="1402">
        <v>1300</v>
      </c>
      <c r="E40" s="1402"/>
      <c r="F40" s="1402"/>
      <c r="G40" s="1403"/>
    </row>
    <row r="41" spans="1:11">
      <c r="A41" s="613">
        <v>5000000</v>
      </c>
      <c r="B41" s="1404">
        <v>10000000</v>
      </c>
      <c r="C41" s="1404">
        <v>10000000</v>
      </c>
      <c r="D41" s="1405">
        <v>1700</v>
      </c>
      <c r="E41" s="1405"/>
      <c r="F41" s="1405"/>
      <c r="G41" s="1406"/>
    </row>
    <row r="42" spans="1:11">
      <c r="A42" s="615">
        <v>10000000</v>
      </c>
      <c r="B42" s="1401">
        <v>50000000</v>
      </c>
      <c r="C42" s="1401">
        <v>50000000</v>
      </c>
      <c r="D42" s="1402">
        <v>2500</v>
      </c>
      <c r="E42" s="1402"/>
      <c r="F42" s="1402"/>
      <c r="G42" s="1403"/>
    </row>
    <row r="43" spans="1:11">
      <c r="A43" s="616">
        <v>50000000</v>
      </c>
      <c r="B43" s="617"/>
      <c r="C43" s="617"/>
      <c r="D43" s="1392">
        <v>3000</v>
      </c>
      <c r="E43" s="1392"/>
      <c r="F43" s="1392"/>
      <c r="G43" s="1393"/>
    </row>
    <row r="44" spans="1:11">
      <c r="A44" s="618"/>
      <c r="B44" s="618"/>
      <c r="C44" s="618"/>
      <c r="D44" s="618"/>
      <c r="E44" s="618"/>
      <c r="F44" s="618"/>
      <c r="G44" s="618"/>
    </row>
    <row r="45" spans="1:11" ht="6.75" customHeight="1">
      <c r="A45" s="618"/>
      <c r="B45" s="618"/>
      <c r="C45" s="618"/>
      <c r="D45" s="618"/>
      <c r="E45" s="618"/>
      <c r="F45" s="618"/>
      <c r="G45" s="618"/>
    </row>
    <row r="46" spans="1:11" ht="15.75" thickBot="1">
      <c r="A46" s="1394" t="s">
        <v>1776</v>
      </c>
      <c r="B46" s="1394"/>
      <c r="C46" s="1394"/>
      <c r="D46" s="1394"/>
      <c r="E46" s="1394"/>
      <c r="F46" s="1394"/>
      <c r="G46" s="1394"/>
      <c r="H46" s="619"/>
      <c r="I46" s="619"/>
      <c r="J46" s="619"/>
      <c r="K46" s="619"/>
    </row>
    <row r="47" spans="1:11">
      <c r="A47" s="1395" t="s">
        <v>1862</v>
      </c>
      <c r="B47" s="1397" t="s">
        <v>1457</v>
      </c>
      <c r="C47" s="1398"/>
      <c r="D47" s="620"/>
      <c r="E47" s="620"/>
      <c r="F47" s="620"/>
      <c r="G47" s="621"/>
    </row>
    <row r="48" spans="1:11">
      <c r="A48" s="1396"/>
      <c r="B48" s="622"/>
      <c r="C48" s="623"/>
      <c r="D48" s="623"/>
      <c r="E48" s="623"/>
      <c r="F48" s="623"/>
      <c r="G48" s="624"/>
    </row>
    <row r="49" spans="1:11" ht="5.25" customHeight="1">
      <c r="A49" s="1396"/>
      <c r="B49" s="622"/>
      <c r="C49" s="623"/>
      <c r="D49" s="623"/>
      <c r="E49" s="623"/>
      <c r="F49" s="623"/>
      <c r="G49" s="624"/>
    </row>
    <row r="50" spans="1:11" ht="15.75" thickBot="1">
      <c r="A50" s="1396"/>
      <c r="B50" s="1382" t="s">
        <v>315</v>
      </c>
      <c r="C50" s="1383"/>
      <c r="D50" s="625" t="s">
        <v>1459</v>
      </c>
      <c r="E50" s="1399"/>
      <c r="F50" s="1399"/>
      <c r="G50" s="1400"/>
    </row>
    <row r="51" spans="1:11">
      <c r="A51" s="1380" t="s">
        <v>1863</v>
      </c>
      <c r="B51" s="622"/>
      <c r="C51" s="623"/>
      <c r="D51" s="623"/>
      <c r="E51" s="623"/>
      <c r="F51" s="623"/>
      <c r="G51" s="624"/>
    </row>
    <row r="52" spans="1:11" ht="7.5" customHeight="1">
      <c r="A52" s="1381"/>
      <c r="B52" s="622"/>
      <c r="C52" s="623"/>
      <c r="D52" s="623"/>
      <c r="E52" s="623"/>
      <c r="F52" s="623"/>
      <c r="G52" s="624"/>
    </row>
    <row r="53" spans="1:11">
      <c r="A53" s="1381"/>
      <c r="B53" s="1382" t="s">
        <v>1458</v>
      </c>
      <c r="C53" s="1383"/>
      <c r="D53" s="1383"/>
      <c r="E53" s="1383"/>
      <c r="F53" s="1383"/>
      <c r="G53" s="1384"/>
    </row>
    <row r="54" spans="1:11" ht="15.75" thickBot="1">
      <c r="A54" s="626"/>
      <c r="B54" s="627"/>
      <c r="C54" s="628"/>
      <c r="D54" s="628"/>
      <c r="E54" s="628"/>
      <c r="F54" s="628"/>
      <c r="G54" s="629"/>
    </row>
    <row r="55" spans="1:11" ht="10.5" customHeight="1"/>
    <row r="56" spans="1:11">
      <c r="A56" s="630" t="s">
        <v>3444</v>
      </c>
      <c r="B56" s="631"/>
      <c r="C56" s="631"/>
      <c r="D56" s="631"/>
      <c r="E56" s="631"/>
      <c r="F56" s="631"/>
      <c r="G56" s="631"/>
    </row>
    <row r="57" spans="1:11" ht="18" customHeight="1">
      <c r="A57" s="1355" t="s">
        <v>1460</v>
      </c>
      <c r="B57" s="1355"/>
      <c r="C57" s="1355"/>
      <c r="D57" s="1355"/>
      <c r="E57" s="1355"/>
      <c r="F57" s="1355"/>
      <c r="G57" s="1355"/>
      <c r="H57" s="632"/>
      <c r="I57" s="632"/>
      <c r="J57" s="632"/>
      <c r="K57" s="632"/>
    </row>
    <row r="58" spans="1:11" ht="3.75" customHeight="1">
      <c r="A58" s="1247"/>
      <c r="B58" s="1247"/>
      <c r="C58" s="1247"/>
      <c r="D58" s="1247"/>
      <c r="E58" s="1247"/>
      <c r="F58" s="1247"/>
      <c r="G58" s="1247"/>
      <c r="H58" s="632"/>
      <c r="I58" s="632"/>
      <c r="J58" s="632"/>
      <c r="K58" s="632"/>
    </row>
    <row r="59" spans="1:11" ht="16.5" customHeight="1">
      <c r="A59" s="1385" t="s">
        <v>1864</v>
      </c>
      <c r="B59" s="1385"/>
      <c r="C59" s="1385"/>
      <c r="D59" s="1385"/>
      <c r="E59" s="1385"/>
      <c r="F59" s="1385"/>
      <c r="G59" s="1385"/>
    </row>
    <row r="60" spans="1:11">
      <c r="A60" s="1386" t="s">
        <v>3226</v>
      </c>
      <c r="B60" s="1387"/>
      <c r="C60" s="1387"/>
      <c r="D60" s="1387"/>
      <c r="E60" s="1387"/>
      <c r="F60" s="1387"/>
      <c r="G60" s="1387"/>
    </row>
    <row r="61" spans="1:11" ht="16.5" customHeight="1" thickBot="1">
      <c r="A61" s="1388"/>
      <c r="B61" s="1388"/>
      <c r="C61" s="1388"/>
      <c r="D61" s="1388"/>
      <c r="E61" s="1388"/>
      <c r="F61" s="1388"/>
      <c r="G61" s="1388"/>
    </row>
    <row r="62" spans="1:11" ht="138" customHeight="1" thickBot="1">
      <c r="A62" s="1389" t="s">
        <v>3650</v>
      </c>
      <c r="B62" s="1390"/>
      <c r="C62" s="1390"/>
      <c r="D62" s="1390"/>
      <c r="E62" s="1390"/>
      <c r="F62" s="1390"/>
      <c r="G62" s="1391"/>
    </row>
    <row r="63" spans="1:11" ht="9" customHeight="1">
      <c r="A63" s="633"/>
    </row>
    <row r="64" spans="1:11" ht="18.75">
      <c r="A64" s="1357" t="s">
        <v>1865</v>
      </c>
      <c r="B64" s="1357"/>
      <c r="C64" s="1357"/>
      <c r="D64" s="1357"/>
      <c r="E64" s="1357"/>
      <c r="F64" s="1357"/>
      <c r="G64" s="1357"/>
    </row>
    <row r="65" spans="1:7" ht="18.75" customHeight="1">
      <c r="A65" s="634" t="s">
        <v>1866</v>
      </c>
      <c r="B65" s="635">
        <f>'GOVERMENTAL FUNDS-OPERATING(16)'!M19</f>
        <v>286652.75</v>
      </c>
    </row>
    <row r="66" spans="1:7" ht="18.75" customHeight="1">
      <c r="A66" s="636" t="s">
        <v>1867</v>
      </c>
      <c r="B66" s="635">
        <f>'GOVERMENTAL FUNDS-OPERATING(16)'!M45</f>
        <v>0</v>
      </c>
    </row>
    <row r="67" spans="1:7" ht="18.75" customHeight="1">
      <c r="A67" s="636" t="s">
        <v>1868</v>
      </c>
      <c r="B67" s="635">
        <f>'GOVERMENTAL FUNDS-OPERATING(16)'!M48+'GOVERMENTAL FUNDS-OPERATING(16)'!M49</f>
        <v>0</v>
      </c>
    </row>
    <row r="68" spans="1:7" ht="18.75">
      <c r="A68" s="1358" t="s">
        <v>3225</v>
      </c>
      <c r="B68" s="1358"/>
      <c r="C68" s="1358"/>
      <c r="D68" s="1358"/>
      <c r="E68" s="1358"/>
      <c r="F68" s="1358"/>
      <c r="G68" s="1358"/>
    </row>
    <row r="69" spans="1:7" ht="16.5" thickBot="1">
      <c r="A69" s="1359" t="s">
        <v>1869</v>
      </c>
      <c r="B69" s="1359"/>
      <c r="C69" s="1359"/>
      <c r="D69" s="1359"/>
      <c r="E69" s="1359"/>
      <c r="F69" s="1359"/>
      <c r="G69" s="1359"/>
    </row>
    <row r="70" spans="1:7" ht="18.75" customHeight="1" thickBot="1">
      <c r="A70" s="634" t="s">
        <v>826</v>
      </c>
      <c r="B70" s="637">
        <f>'CHANGE NET POSITION-PROP.(19)'!H16</f>
        <v>263860.65000000002</v>
      </c>
      <c r="C70" s="1365" t="s">
        <v>1870</v>
      </c>
      <c r="D70" s="1366"/>
      <c r="E70" s="1366"/>
      <c r="F70" s="1366"/>
      <c r="G70" s="1367"/>
    </row>
    <row r="71" spans="1:7" ht="31.5" customHeight="1">
      <c r="A71" s="638" t="s">
        <v>1871</v>
      </c>
      <c r="B71" s="639"/>
      <c r="C71" s="1368" t="s">
        <v>1872</v>
      </c>
      <c r="D71" s="1369"/>
      <c r="E71" s="1369"/>
      <c r="F71" s="1374" t="str">
        <f>IF(B84&lt;750001,"0",IF(B84&lt;1000001,"$550.00",IF(B84&lt;1500001,"$800.00",IF(B84&lt;2500001,"$950.00", IF(B84&lt;5000001,"$1300.00", IF(B84&lt;10000001,"$1700.00", IF(B84&lt;50000001,"$2500.00", IF(B84&gt;50000000,"$3000.00"))))))))</f>
        <v>0</v>
      </c>
      <c r="G71" s="1375"/>
    </row>
    <row r="72" spans="1:7" ht="18.75" customHeight="1">
      <c r="A72" s="640" t="s">
        <v>1873</v>
      </c>
      <c r="B72" s="637">
        <f>'CHANGE NET POSITION-PROP.(19)'!H30</f>
        <v>0</v>
      </c>
      <c r="C72" s="1370"/>
      <c r="D72" s="1371"/>
      <c r="E72" s="1371"/>
      <c r="F72" s="1376"/>
      <c r="G72" s="1377"/>
    </row>
    <row r="73" spans="1:7" ht="18.75" customHeight="1">
      <c r="A73" s="640" t="s">
        <v>296</v>
      </c>
      <c r="B73" s="637">
        <f>'CHANGE NET POSITION-PROP.(19)'!H31</f>
        <v>0</v>
      </c>
      <c r="C73" s="1370"/>
      <c r="D73" s="1371"/>
      <c r="E73" s="1371"/>
      <c r="F73" s="1376"/>
      <c r="G73" s="1377"/>
    </row>
    <row r="74" spans="1:7" ht="18.75" customHeight="1">
      <c r="A74" s="640" t="s">
        <v>1874</v>
      </c>
      <c r="B74" s="637">
        <f>'CHANGE NET POSITION-PROP.(19)'!H32</f>
        <v>13010.1</v>
      </c>
      <c r="C74" s="1370"/>
      <c r="D74" s="1371"/>
      <c r="E74" s="1371"/>
      <c r="F74" s="1376"/>
      <c r="G74" s="1377"/>
    </row>
    <row r="75" spans="1:7" ht="18.75" customHeight="1">
      <c r="A75" s="640" t="s">
        <v>1875</v>
      </c>
      <c r="B75" s="637">
        <f>'CHANGE NET POSITION-PROP.(19)'!H33</f>
        <v>438.76000000000005</v>
      </c>
      <c r="C75" s="1370"/>
      <c r="D75" s="1371"/>
      <c r="E75" s="1371"/>
      <c r="F75" s="1376"/>
      <c r="G75" s="1377"/>
    </row>
    <row r="76" spans="1:7" ht="18.75" customHeight="1">
      <c r="A76" s="640" t="s">
        <v>1876</v>
      </c>
      <c r="B76" s="772"/>
      <c r="C76" s="1370"/>
      <c r="D76" s="1371"/>
      <c r="E76" s="1371"/>
      <c r="F76" s="1376"/>
      <c r="G76" s="1377"/>
    </row>
    <row r="77" spans="1:7" ht="18.75" customHeight="1">
      <c r="A77" s="634" t="s">
        <v>1877</v>
      </c>
      <c r="B77" s="637">
        <f>'CHANGE NET POSITION-PROP.(19)'!H42</f>
        <v>0</v>
      </c>
      <c r="C77" s="1370"/>
      <c r="D77" s="1371"/>
      <c r="E77" s="1371"/>
      <c r="F77" s="1376"/>
      <c r="G77" s="1377"/>
    </row>
    <row r="78" spans="1:7" ht="18.75" customHeight="1" thickBot="1">
      <c r="A78" s="634" t="s">
        <v>1868</v>
      </c>
      <c r="B78" s="637">
        <f>'CHANGE NET POSITION-PROP.(19)'!H36+'CHANGE NET POSITION-PROP.(19)'!H37</f>
        <v>900</v>
      </c>
      <c r="C78" s="1372"/>
      <c r="D78" s="1373"/>
      <c r="E78" s="1373"/>
      <c r="F78" s="1378"/>
      <c r="G78" s="1379"/>
    </row>
    <row r="79" spans="1:7" ht="18.75" customHeight="1">
      <c r="A79" s="1357" t="s">
        <v>1878</v>
      </c>
      <c r="B79" s="1357"/>
      <c r="C79" s="1357"/>
      <c r="D79" s="1357"/>
      <c r="E79" s="1357"/>
      <c r="F79" s="1357"/>
      <c r="G79" s="1357"/>
    </row>
    <row r="80" spans="1:7" ht="18.75" customHeight="1">
      <c r="A80" s="641" t="s">
        <v>1879</v>
      </c>
      <c r="B80" s="635">
        <f>'ST. OF CASH FLOWS-PROP.(20)'!G30</f>
        <v>-7298.36</v>
      </c>
    </row>
    <row r="81" spans="1:11" ht="18.75">
      <c r="A81" s="1358" t="s">
        <v>1880</v>
      </c>
      <c r="B81" s="1358"/>
      <c r="C81" s="1358"/>
      <c r="D81" s="1358"/>
      <c r="E81" s="1358"/>
      <c r="F81" s="1358"/>
      <c r="G81" s="1358"/>
    </row>
    <row r="82" spans="1:11" ht="15.75">
      <c r="A82" s="1359" t="s">
        <v>1881</v>
      </c>
      <c r="B82" s="1359"/>
      <c r="C82" s="1359"/>
      <c r="D82" s="1359"/>
      <c r="E82" s="1359"/>
      <c r="F82" s="1359"/>
      <c r="G82" s="1359"/>
    </row>
    <row r="83" spans="1:11" ht="18.75" customHeight="1">
      <c r="A83" s="634" t="s">
        <v>1882</v>
      </c>
      <c r="B83" s="635">
        <f>'CHANGE NET POSITION-FIDUC(22)'!D19+'CHANGE NET POSITION-FIDUC(22)'!F19</f>
        <v>0</v>
      </c>
      <c r="J83" s="647"/>
    </row>
    <row r="84" spans="1:11" ht="18.75" customHeight="1" thickBot="1">
      <c r="A84" s="649" t="s">
        <v>1883</v>
      </c>
      <c r="B84" s="845">
        <f>B65+B66+B67+B70+B72+B73+B74+B75+B76+B77+B78+B80+B83</f>
        <v>557563.9</v>
      </c>
    </row>
    <row r="85" spans="1:11" ht="125.25" customHeight="1" thickTop="1">
      <c r="A85" s="643"/>
      <c r="B85" s="1360" t="s">
        <v>3657</v>
      </c>
      <c r="C85" s="1361"/>
      <c r="D85" s="1361"/>
      <c r="E85" s="1361"/>
      <c r="F85" s="1361"/>
      <c r="G85" s="1361"/>
    </row>
    <row r="86" spans="1:11" ht="19.5" thickBot="1">
      <c r="A86" s="1358" t="s">
        <v>3658</v>
      </c>
      <c r="B86" s="1358"/>
      <c r="C86" s="1358"/>
      <c r="D86" s="1358"/>
      <c r="E86" s="1358"/>
      <c r="F86" s="1358"/>
      <c r="G86" s="1358"/>
    </row>
    <row r="87" spans="1:11" ht="32.25" customHeight="1" thickBot="1">
      <c r="A87" s="644" t="s">
        <v>3655</v>
      </c>
      <c r="B87" s="1249"/>
      <c r="C87" s="1362" t="s">
        <v>1884</v>
      </c>
      <c r="D87" s="1363"/>
      <c r="E87" s="1363"/>
      <c r="F87" s="1363"/>
      <c r="G87" s="1364"/>
    </row>
    <row r="88" spans="1:11" ht="47.25" customHeight="1">
      <c r="A88" s="645" t="s">
        <v>3647</v>
      </c>
      <c r="B88" s="1249">
        <f>'GOVERMENTAL FUNDS-OPERATING(16)'!M41+'GOVERMENTAL FUNDS-OPERATING(16)'!M42+'GOVERMENTAL FUNDS-OPERATING(16)'!M43+'GOVERMENTAL FUNDS-OPERATING(16)'!M44</f>
        <v>0</v>
      </c>
      <c r="C88" s="1342" t="s">
        <v>1885</v>
      </c>
      <c r="D88" s="1343"/>
      <c r="E88" s="1343"/>
      <c r="F88" s="1348" t="str">
        <f>IF(B95&gt;750000,"YES","NO")</f>
        <v>NO</v>
      </c>
      <c r="G88" s="1349"/>
    </row>
    <row r="89" spans="1:11" ht="33.75" customHeight="1">
      <c r="A89" s="645" t="s">
        <v>3648</v>
      </c>
      <c r="B89" s="1249">
        <f>'ST. OF CASH FLOWS-PROP.(20)'!G24</f>
        <v>32401.47</v>
      </c>
      <c r="C89" s="1344"/>
      <c r="D89" s="1345"/>
      <c r="E89" s="1345"/>
      <c r="F89" s="1350"/>
      <c r="G89" s="1351"/>
      <c r="K89" s="643"/>
    </row>
    <row r="90" spans="1:11" ht="48.75" customHeight="1">
      <c r="A90" s="1302" t="s">
        <v>3656</v>
      </c>
      <c r="B90" s="1256"/>
      <c r="C90" s="1344"/>
      <c r="D90" s="1345"/>
      <c r="E90" s="1345"/>
      <c r="F90" s="1350"/>
      <c r="G90" s="1351"/>
    </row>
    <row r="91" spans="1:11" ht="18.75" customHeight="1">
      <c r="A91" s="1251" t="s">
        <v>3645</v>
      </c>
      <c r="B91" s="1249">
        <f>B88+B89+B90</f>
        <v>32401.47</v>
      </c>
      <c r="C91" s="1344"/>
      <c r="D91" s="1345"/>
      <c r="E91" s="1345"/>
      <c r="F91" s="1350"/>
      <c r="G91" s="1351"/>
    </row>
    <row r="92" spans="1:11" ht="33" customHeight="1">
      <c r="A92" s="1253" t="s">
        <v>3659</v>
      </c>
      <c r="B92" s="1254"/>
      <c r="C92" s="1344"/>
      <c r="D92" s="1345"/>
      <c r="E92" s="1345"/>
      <c r="F92" s="1350"/>
      <c r="G92" s="1351"/>
    </row>
    <row r="93" spans="1:11" ht="18.75" customHeight="1">
      <c r="A93" s="642" t="s">
        <v>3646</v>
      </c>
      <c r="B93" s="1252">
        <f>B91+B92</f>
        <v>32401.47</v>
      </c>
      <c r="C93" s="1344"/>
      <c r="D93" s="1345"/>
      <c r="E93" s="1345"/>
      <c r="F93" s="1350"/>
      <c r="G93" s="1351"/>
    </row>
    <row r="94" spans="1:11" ht="10.5" customHeight="1">
      <c r="A94" s="646"/>
      <c r="B94" s="1250"/>
      <c r="C94" s="1344"/>
      <c r="D94" s="1345"/>
      <c r="E94" s="1345"/>
      <c r="F94" s="1350"/>
      <c r="G94" s="1351"/>
    </row>
    <row r="95" spans="1:11" ht="18.75" customHeight="1" thickBot="1">
      <c r="A95" s="648" t="s">
        <v>3649</v>
      </c>
      <c r="B95" s="1255">
        <f>B84+B93</f>
        <v>589965.37</v>
      </c>
      <c r="C95" s="1346"/>
      <c r="D95" s="1347"/>
      <c r="E95" s="1347"/>
      <c r="F95" s="1352"/>
      <c r="G95" s="1353"/>
    </row>
    <row r="96" spans="1:11" ht="19.5" customHeight="1" thickTop="1">
      <c r="A96" s="647"/>
      <c r="B96" s="1354" t="s">
        <v>3445</v>
      </c>
      <c r="C96" s="1354"/>
      <c r="D96" s="1354"/>
      <c r="E96" s="1354"/>
      <c r="F96" s="1354"/>
      <c r="G96" s="1354"/>
    </row>
    <row r="97" spans="1:7" ht="18.75">
      <c r="A97" s="647"/>
      <c r="B97" s="1354"/>
      <c r="C97" s="1354"/>
      <c r="D97" s="1354"/>
      <c r="E97" s="1354"/>
      <c r="F97" s="1354"/>
      <c r="G97" s="1354"/>
    </row>
    <row r="98" spans="1:7">
      <c r="A98" s="1355" t="s">
        <v>1464</v>
      </c>
      <c r="B98" s="1355"/>
      <c r="C98" s="1355"/>
      <c r="D98" s="1355"/>
      <c r="E98" s="1355"/>
      <c r="F98" s="1355"/>
      <c r="G98" s="1355"/>
    </row>
  </sheetData>
  <sheetProtection algorithmName="SHA-512" hashValue="Dk1l4OswXX/4hmvR02J8gIb7jW7zDpurT2uvaQL4PD5WH8LrBnJ9Rvmy7HsRweZ6VgANm6U0B1RCTZAd0Byxrw==" saltValue="GQV0TqLU0HcDceWylG+lAg==" spinCount="100000" sheet="1" objects="1" scenarios="1"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60">
    <mergeCell ref="A31:G32"/>
    <mergeCell ref="A1:G1"/>
    <mergeCell ref="A2:G2"/>
    <mergeCell ref="B4:G4"/>
    <mergeCell ref="B5:G5"/>
    <mergeCell ref="B6:G6"/>
    <mergeCell ref="B7:G7"/>
    <mergeCell ref="A23:G23"/>
    <mergeCell ref="B8:G8"/>
    <mergeCell ref="B9:G9"/>
    <mergeCell ref="A26:G27"/>
    <mergeCell ref="A30:G30"/>
    <mergeCell ref="A20:G20"/>
    <mergeCell ref="B34:C34"/>
    <mergeCell ref="D34:G34"/>
    <mergeCell ref="B35:C35"/>
    <mergeCell ref="D35:G35"/>
    <mergeCell ref="B36:C36"/>
    <mergeCell ref="D36:G36"/>
    <mergeCell ref="B37:C37"/>
    <mergeCell ref="D37:G37"/>
    <mergeCell ref="B38:C38"/>
    <mergeCell ref="D38:G38"/>
    <mergeCell ref="B39:C39"/>
    <mergeCell ref="D39:G39"/>
    <mergeCell ref="B40:C40"/>
    <mergeCell ref="D40:G40"/>
    <mergeCell ref="B41:C41"/>
    <mergeCell ref="D41:G41"/>
    <mergeCell ref="B42:C42"/>
    <mergeCell ref="D42:G42"/>
    <mergeCell ref="D43:G43"/>
    <mergeCell ref="A46:G46"/>
    <mergeCell ref="A47:A50"/>
    <mergeCell ref="B47:C47"/>
    <mergeCell ref="B50:C50"/>
    <mergeCell ref="E50:G50"/>
    <mergeCell ref="F71:G78"/>
    <mergeCell ref="A51:A53"/>
    <mergeCell ref="B53:G53"/>
    <mergeCell ref="A57:G57"/>
    <mergeCell ref="A59:G59"/>
    <mergeCell ref="A60:G61"/>
    <mergeCell ref="A62:G62"/>
    <mergeCell ref="C88:E95"/>
    <mergeCell ref="F88:G95"/>
    <mergeCell ref="B96:G97"/>
    <mergeCell ref="A98:G98"/>
    <mergeCell ref="A24:G24"/>
    <mergeCell ref="A79:G79"/>
    <mergeCell ref="A81:G81"/>
    <mergeCell ref="A82:G82"/>
    <mergeCell ref="B85:G85"/>
    <mergeCell ref="A86:G86"/>
    <mergeCell ref="C87:G87"/>
    <mergeCell ref="A64:G64"/>
    <mergeCell ref="A68:G68"/>
    <mergeCell ref="A69:G69"/>
    <mergeCell ref="C70:G70"/>
    <mergeCell ref="C71:E78"/>
  </mergeCells>
  <printOptions horizontalCentered="1" verticalCentered="1"/>
  <pageMargins left="0.25" right="0.25" top="0.5" bottom="0.5" header="0" footer="0"/>
  <pageSetup scale="70" fitToWidth="0" fitToHeight="0" orientation="portrait" r:id="rId2"/>
  <rowBreaks count="1" manualBreakCount="1">
    <brk id="57" max="6" man="1"/>
  </rowBreaks>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2"/>
  <sheetViews>
    <sheetView topLeftCell="A38" workbookViewId="0">
      <selection activeCell="G49" sqref="G49"/>
    </sheetView>
  </sheetViews>
  <sheetFormatPr defaultColWidth="8.85546875" defaultRowHeight="12.75"/>
  <cols>
    <col min="1" max="2" width="3.7109375" style="261" customWidth="1"/>
    <col min="3" max="6" width="8.85546875" style="261"/>
    <col min="7" max="7" width="12.7109375" style="261" customWidth="1"/>
    <col min="8" max="8" width="3.7109375" style="261" customWidth="1"/>
    <col min="9" max="9" width="12.7109375" style="261" customWidth="1"/>
    <col min="10" max="10" width="3.7109375" style="261" customWidth="1"/>
    <col min="11" max="11" width="12.7109375" style="261" customWidth="1"/>
    <col min="12" max="12" width="3.7109375" style="261" customWidth="1"/>
    <col min="13" max="13" width="12.7109375" style="261" customWidth="1"/>
    <col min="14" max="16384" width="8.85546875" style="261"/>
  </cols>
  <sheetData>
    <row r="1" spans="1:15" ht="18">
      <c r="A1" s="259" t="str">
        <f>'NOTES TO FIN ST (31)'!A1:M1</f>
        <v>TOWN OF BROADUS</v>
      </c>
      <c r="B1" s="276"/>
      <c r="C1" s="276"/>
      <c r="D1" s="276"/>
      <c r="E1" s="276"/>
      <c r="F1" s="276"/>
      <c r="G1" s="276"/>
      <c r="H1" s="276"/>
      <c r="I1" s="276"/>
      <c r="J1" s="276"/>
      <c r="K1" s="276"/>
      <c r="L1" s="276"/>
      <c r="M1" s="276"/>
      <c r="N1" s="276"/>
      <c r="O1" s="276"/>
    </row>
    <row r="2" spans="1:15" ht="18">
      <c r="A2" s="259" t="s">
        <v>1319</v>
      </c>
      <c r="B2" s="276"/>
      <c r="C2" s="276"/>
      <c r="D2" s="276"/>
      <c r="E2" s="276"/>
      <c r="F2" s="276"/>
      <c r="G2" s="276"/>
      <c r="H2" s="276"/>
      <c r="I2" s="276"/>
      <c r="J2" s="276"/>
      <c r="K2" s="276"/>
      <c r="L2" s="276"/>
      <c r="M2" s="276"/>
      <c r="N2" s="276"/>
      <c r="O2" s="276"/>
    </row>
    <row r="3" spans="1:15" ht="18">
      <c r="A3" s="262" t="str">
        <f>'NOTES TO FIN ST (31)'!A3:M3</f>
        <v>FISCAL YEAR ENDING JUNE 30, 2017</v>
      </c>
      <c r="B3" s="276"/>
      <c r="C3" s="276"/>
      <c r="D3" s="276"/>
      <c r="E3" s="276"/>
      <c r="F3" s="276"/>
      <c r="G3" s="276"/>
      <c r="H3" s="276"/>
      <c r="I3" s="276"/>
      <c r="J3" s="276"/>
      <c r="K3" s="276"/>
      <c r="L3" s="276"/>
      <c r="M3" s="276"/>
      <c r="N3" s="276"/>
      <c r="O3" s="276"/>
    </row>
    <row r="5" spans="1:15">
      <c r="A5" s="333" t="s">
        <v>86</v>
      </c>
      <c r="C5" s="334" t="s">
        <v>756</v>
      </c>
    </row>
    <row r="7" spans="1:15">
      <c r="B7" s="335" t="s">
        <v>547</v>
      </c>
      <c r="C7" s="336" t="s">
        <v>757</v>
      </c>
    </row>
    <row r="8" spans="1:15">
      <c r="C8" s="261" t="s">
        <v>3253</v>
      </c>
    </row>
    <row r="10" spans="1:15">
      <c r="G10" s="337" t="s">
        <v>759</v>
      </c>
      <c r="H10" s="337"/>
      <c r="I10" s="337"/>
      <c r="J10" s="337"/>
      <c r="K10" s="337"/>
      <c r="M10" s="337" t="s">
        <v>763</v>
      </c>
    </row>
    <row r="11" spans="1:15">
      <c r="G11" s="338" t="s">
        <v>760</v>
      </c>
      <c r="I11" s="338" t="s">
        <v>761</v>
      </c>
      <c r="K11" s="338" t="s">
        <v>762</v>
      </c>
      <c r="M11" s="338" t="s">
        <v>760</v>
      </c>
    </row>
    <row r="12" spans="1:15">
      <c r="C12" s="336" t="s">
        <v>758</v>
      </c>
    </row>
    <row r="13" spans="1:15">
      <c r="C13" s="261" t="s">
        <v>764</v>
      </c>
      <c r="G13" s="339"/>
      <c r="I13" s="339"/>
      <c r="K13" s="339"/>
      <c r="M13" s="339"/>
    </row>
    <row r="14" spans="1:15">
      <c r="C14" s="261" t="s">
        <v>765</v>
      </c>
      <c r="G14" s="341">
        <f>+'GOV CAP ASSETS-9000(GCAAG)'!D11</f>
        <v>2540</v>
      </c>
      <c r="H14" s="308"/>
      <c r="I14" s="341">
        <f>+'GOV CAP ASSETS-9000(GCAAG)'!E11+'GOV CAP ASSETS-9000(GCAAG)'!G11</f>
        <v>0</v>
      </c>
      <c r="J14" s="308"/>
      <c r="K14" s="341">
        <f>-'GOV CAP ASSETS-9000(GCAAG)'!F11</f>
        <v>0</v>
      </c>
      <c r="L14" s="308"/>
      <c r="M14" s="341">
        <f>+G14+I14+K14</f>
        <v>2540</v>
      </c>
    </row>
    <row r="15" spans="1:15">
      <c r="C15" s="261" t="s">
        <v>766</v>
      </c>
      <c r="G15" s="341">
        <f>+'GOV CAP ASSETS-9000(GCAAG)'!D12</f>
        <v>0</v>
      </c>
      <c r="H15" s="308"/>
      <c r="I15" s="341">
        <f>+'GOV CAP ASSETS-9000(GCAAG)'!E12+'GOV CAP ASSETS-9000(GCAAG)'!G12</f>
        <v>0</v>
      </c>
      <c r="J15" s="308"/>
      <c r="K15" s="341">
        <f>-'GOV CAP ASSETS-9000(GCAAG)'!F12</f>
        <v>0</v>
      </c>
      <c r="L15" s="308"/>
      <c r="M15" s="341">
        <f>+G15+I15+K15</f>
        <v>0</v>
      </c>
    </row>
    <row r="16" spans="1:15">
      <c r="C16" s="261" t="s">
        <v>767</v>
      </c>
      <c r="G16" s="327">
        <f>SUM(G14:G15)</f>
        <v>2540</v>
      </c>
      <c r="H16" s="308"/>
      <c r="I16" s="327">
        <f>SUM(I14:I15)</f>
        <v>0</v>
      </c>
      <c r="J16" s="308"/>
      <c r="K16" s="327">
        <f>SUM(K14:K15)</f>
        <v>0</v>
      </c>
      <c r="L16" s="308"/>
      <c r="M16" s="327">
        <f>SUM(M14:M15)</f>
        <v>2540</v>
      </c>
    </row>
    <row r="17" spans="3:13">
      <c r="G17" s="308"/>
      <c r="H17" s="308"/>
      <c r="I17" s="308"/>
      <c r="J17" s="308"/>
      <c r="K17" s="308"/>
      <c r="L17" s="308"/>
      <c r="M17" s="308"/>
    </row>
    <row r="18" spans="3:13">
      <c r="C18" s="261" t="s">
        <v>768</v>
      </c>
      <c r="G18" s="308"/>
      <c r="H18" s="308"/>
      <c r="I18" s="308"/>
      <c r="J18" s="308"/>
      <c r="K18" s="308"/>
      <c r="L18" s="308"/>
      <c r="M18" s="308"/>
    </row>
    <row r="19" spans="3:13">
      <c r="C19" s="261" t="s">
        <v>1166</v>
      </c>
      <c r="G19" s="341">
        <f>+'GOV CAP ASSETS-9000(GCAAG)'!D13</f>
        <v>73966.240000000005</v>
      </c>
      <c r="H19" s="308"/>
      <c r="I19" s="341">
        <f>+'GOV CAP ASSETS-9000(GCAAG)'!E13+'GOV CAP ASSETS-9000(GCAAG)'!G13</f>
        <v>0</v>
      </c>
      <c r="J19" s="308"/>
      <c r="K19" s="341">
        <f>-'GOV CAP ASSETS-9000(GCAAG)'!F13</f>
        <v>0</v>
      </c>
      <c r="L19" s="308"/>
      <c r="M19" s="341">
        <f>+G19+I19+K19</f>
        <v>73966.240000000005</v>
      </c>
    </row>
    <row r="20" spans="3:13">
      <c r="C20" s="261" t="s">
        <v>959</v>
      </c>
      <c r="G20" s="341">
        <f>+'GOV CAP ASSETS-9000(GCAAG)'!D16</f>
        <v>0</v>
      </c>
      <c r="H20" s="308"/>
      <c r="I20" s="341">
        <f>+'GOV CAP ASSETS-9000(GCAAG)'!E16+'GOV CAP ASSETS-9000(GCAAG)'!G16</f>
        <v>0</v>
      </c>
      <c r="J20" s="308"/>
      <c r="K20" s="341">
        <f>+'GOV CAP ASSETS-9000(GCAAG)'!F16</f>
        <v>0</v>
      </c>
      <c r="L20" s="308"/>
      <c r="M20" s="341">
        <f>+'GOV CAP ASSETS-9000(GCAAG)'!H16</f>
        <v>0</v>
      </c>
    </row>
    <row r="21" spans="3:13">
      <c r="C21" s="261" t="s">
        <v>769</v>
      </c>
      <c r="G21" s="341">
        <f>+'GOV CAP ASSETS-9000(GCAAG)'!D19</f>
        <v>10683.89</v>
      </c>
      <c r="H21" s="308"/>
      <c r="I21" s="341">
        <f>+'GOV CAP ASSETS-9000(GCAAG)'!E19+'GOV CAP ASSETS-9000(GCAAG)'!G19</f>
        <v>0</v>
      </c>
      <c r="J21" s="308"/>
      <c r="K21" s="341">
        <f>-'GOV CAP ASSETS-9000(GCAAG)'!F19</f>
        <v>0</v>
      </c>
      <c r="L21" s="308"/>
      <c r="M21" s="341">
        <f>+G21+I21+K21</f>
        <v>10683.89</v>
      </c>
    </row>
    <row r="22" spans="3:13">
      <c r="C22" s="261" t="s">
        <v>770</v>
      </c>
      <c r="G22" s="341">
        <f>+'GOV CAP ASSETS-9000(GCAAG)'!D22</f>
        <v>322889.28000000003</v>
      </c>
      <c r="H22" s="308"/>
      <c r="I22" s="341">
        <f>+'GOV CAP ASSETS-9000(GCAAG)'!E22+'GOV CAP ASSETS-9000(GCAAG)'!G22</f>
        <v>57261.59</v>
      </c>
      <c r="J22" s="308"/>
      <c r="K22" s="341">
        <f>-'GOV CAP ASSETS-9000(GCAAG)'!F22</f>
        <v>0</v>
      </c>
      <c r="L22" s="308"/>
      <c r="M22" s="341">
        <f>+G22+I22+K22</f>
        <v>380150.87</v>
      </c>
    </row>
    <row r="23" spans="3:13">
      <c r="C23" s="261" t="s">
        <v>771</v>
      </c>
      <c r="G23" s="341">
        <f>+'GOV CAP ASSETS-9000(GCAAG)'!D25</f>
        <v>69585.649999999994</v>
      </c>
      <c r="H23" s="308"/>
      <c r="I23" s="341">
        <f>+'GOV CAP ASSETS-9000(GCAAG)'!E25+'GOV CAP ASSETS-9000(GCAAG)'!G25</f>
        <v>13000</v>
      </c>
      <c r="J23" s="308"/>
      <c r="K23" s="341">
        <f>-'GOV CAP ASSETS-9000(GCAAG)'!F25</f>
        <v>0</v>
      </c>
      <c r="L23" s="308"/>
      <c r="M23" s="341">
        <f>+G23+I23+K23</f>
        <v>82585.649999999994</v>
      </c>
    </row>
    <row r="24" spans="3:13">
      <c r="C24" s="261" t="s">
        <v>772</v>
      </c>
      <c r="G24" s="327">
        <f>SUM(G19:G23)</f>
        <v>477125.06000000006</v>
      </c>
      <c r="H24" s="308"/>
      <c r="I24" s="327">
        <f>SUM(I19:I23)</f>
        <v>70261.59</v>
      </c>
      <c r="J24" s="308"/>
      <c r="K24" s="327">
        <f>SUM(K19:K23)</f>
        <v>0</v>
      </c>
      <c r="L24" s="308"/>
      <c r="M24" s="327">
        <f>SUM(M19:M23)</f>
        <v>547386.65</v>
      </c>
    </row>
    <row r="25" spans="3:13">
      <c r="G25" s="308"/>
      <c r="H25" s="308"/>
      <c r="I25" s="308"/>
      <c r="J25" s="308"/>
      <c r="K25" s="308"/>
      <c r="L25" s="308"/>
      <c r="M25" s="308"/>
    </row>
    <row r="26" spans="3:13">
      <c r="C26" s="261" t="s">
        <v>773</v>
      </c>
      <c r="G26" s="308"/>
      <c r="H26" s="308"/>
      <c r="I26" s="308"/>
      <c r="J26" s="308"/>
      <c r="K26" s="308"/>
      <c r="L26" s="308"/>
      <c r="M26" s="308"/>
    </row>
    <row r="27" spans="3:13">
      <c r="C27" s="261" t="s">
        <v>1166</v>
      </c>
      <c r="G27" s="341">
        <f>+'GOV CAP ASSETS-9000(GCAAG)'!D14</f>
        <v>-55157.42</v>
      </c>
      <c r="H27" s="308"/>
      <c r="I27" s="341">
        <f>+'GOV CAP ASSETS-9000(GCAAG)'!E14</f>
        <v>0</v>
      </c>
      <c r="J27" s="308"/>
      <c r="K27" s="341">
        <f>-'GOV CAP ASSETS-9000(GCAAG)'!F14+'GOV CAP ASSETS-9000(GCAAG)'!G14</f>
        <v>-3122.21</v>
      </c>
      <c r="L27" s="308"/>
      <c r="M27" s="341">
        <f>+G27+I27+K27</f>
        <v>-58279.63</v>
      </c>
    </row>
    <row r="28" spans="3:13">
      <c r="C28" s="261" t="s">
        <v>959</v>
      </c>
      <c r="G28" s="341">
        <f>+'GOV CAP ASSETS-9000(GCAAG)'!D17</f>
        <v>0</v>
      </c>
      <c r="H28" s="308"/>
      <c r="I28" s="341">
        <f>+'GOV CAP ASSETS-9000(GCAAG)'!E17</f>
        <v>0</v>
      </c>
      <c r="J28" s="308"/>
      <c r="K28" s="341">
        <f>-'GOV CAP ASSETS-9000(GCAAG)'!F17+'GOV CAP ASSETS-9000(GCAAG)'!G17</f>
        <v>0</v>
      </c>
      <c r="L28" s="308"/>
      <c r="M28" s="341">
        <f>+'GOV CAP ASSETS-9000(GCAAG)'!H17</f>
        <v>0</v>
      </c>
    </row>
    <row r="29" spans="3:13">
      <c r="C29" s="261" t="s">
        <v>769</v>
      </c>
      <c r="G29" s="341">
        <f>+'GOV CAP ASSETS-9000(GCAAG)'!D20</f>
        <v>-8629.32</v>
      </c>
      <c r="H29" s="308"/>
      <c r="I29" s="341">
        <f>+'GOV CAP ASSETS-9000(GCAAG)'!E20</f>
        <v>0</v>
      </c>
      <c r="J29" s="308"/>
      <c r="K29" s="341">
        <f>-'GOV CAP ASSETS-9000(GCAAG)'!F20+'GOV CAP ASSETS-9000(GCAAG)'!G20</f>
        <v>-483.43</v>
      </c>
      <c r="L29" s="308"/>
      <c r="M29" s="341">
        <f>+G29+I29+K29</f>
        <v>-9112.75</v>
      </c>
    </row>
    <row r="30" spans="3:13">
      <c r="C30" s="261" t="s">
        <v>770</v>
      </c>
      <c r="G30" s="341">
        <f>+'GOV CAP ASSETS-9000(GCAAG)'!D23</f>
        <v>-276476.15999999997</v>
      </c>
      <c r="H30" s="308"/>
      <c r="I30" s="341">
        <f>+'GOV CAP ASSETS-9000(GCAAG)'!E23</f>
        <v>0</v>
      </c>
      <c r="J30" s="308"/>
      <c r="K30" s="341">
        <f>-'GOV CAP ASSETS-9000(GCAAG)'!F23+'GOV CAP ASSETS-9000(GCAAG)'!G23</f>
        <v>-13769.66</v>
      </c>
      <c r="L30" s="308"/>
      <c r="M30" s="341">
        <f>+G30+I30+K30</f>
        <v>-290245.81999999995</v>
      </c>
    </row>
    <row r="31" spans="3:13">
      <c r="C31" s="261" t="s">
        <v>771</v>
      </c>
      <c r="G31" s="341">
        <f>+'GOV CAP ASSETS-9000(GCAAG)'!D26</f>
        <v>-15092.25</v>
      </c>
      <c r="H31" s="308"/>
      <c r="I31" s="341">
        <f>+'GOV CAP ASSETS-9000(GCAAG)'!E26</f>
        <v>0</v>
      </c>
      <c r="J31" s="308"/>
      <c r="K31" s="341">
        <f>-'GOV CAP ASSETS-9000(GCAAG)'!F26+'GOV CAP ASSETS-9000(GCAAG)'!G26</f>
        <v>-8499.49</v>
      </c>
      <c r="L31" s="308"/>
      <c r="M31" s="341">
        <f>+G31+I31+K31</f>
        <v>-23591.739999999998</v>
      </c>
    </row>
    <row r="32" spans="3:13">
      <c r="C32" s="261" t="s">
        <v>774</v>
      </c>
      <c r="G32" s="341">
        <f>SUM(G27:G31)</f>
        <v>-355355.14999999997</v>
      </c>
      <c r="H32" s="308"/>
      <c r="I32" s="341">
        <f>SUM(I27:I31)</f>
        <v>0</v>
      </c>
      <c r="J32" s="308"/>
      <c r="K32" s="341">
        <f>SUM(K27:K31)</f>
        <v>-25874.79</v>
      </c>
      <c r="L32" s="308"/>
      <c r="M32" s="341">
        <f>SUM(M27:M31)</f>
        <v>-381229.93999999994</v>
      </c>
    </row>
    <row r="33" spans="3:13">
      <c r="G33" s="308"/>
      <c r="H33" s="308"/>
      <c r="I33" s="308"/>
      <c r="J33" s="308"/>
      <c r="K33" s="308"/>
      <c r="L33" s="308"/>
      <c r="M33" s="308"/>
    </row>
    <row r="34" spans="3:13">
      <c r="C34" s="261" t="s">
        <v>772</v>
      </c>
      <c r="G34" s="341">
        <f>+G24+G32</f>
        <v>121769.91000000009</v>
      </c>
      <c r="H34" s="308"/>
      <c r="I34" s="341">
        <f>+I24+I32</f>
        <v>70261.59</v>
      </c>
      <c r="J34" s="308"/>
      <c r="K34" s="341">
        <f>+K24+K32</f>
        <v>-25874.79</v>
      </c>
      <c r="L34" s="308"/>
      <c r="M34" s="341">
        <f>+M24+M32</f>
        <v>166156.71000000008</v>
      </c>
    </row>
    <row r="35" spans="3:13">
      <c r="G35" s="308"/>
      <c r="H35" s="308"/>
      <c r="I35" s="308"/>
      <c r="J35" s="308"/>
      <c r="K35" s="308"/>
      <c r="L35" s="308"/>
      <c r="M35" s="308"/>
    </row>
    <row r="36" spans="3:13" ht="13.5" thickBot="1">
      <c r="C36" s="261" t="s">
        <v>775</v>
      </c>
      <c r="G36" s="342">
        <f>+G16+G34</f>
        <v>124309.91000000009</v>
      </c>
      <c r="H36" s="308"/>
      <c r="I36" s="342">
        <f>+I16+I34</f>
        <v>70261.59</v>
      </c>
      <c r="J36" s="308"/>
      <c r="K36" s="342">
        <f>+K16+K34</f>
        <v>-25874.79</v>
      </c>
      <c r="L36" s="308"/>
      <c r="M36" s="342">
        <f>+M16+M34</f>
        <v>168696.71000000008</v>
      </c>
    </row>
    <row r="37" spans="3:13" ht="13.5" thickTop="1">
      <c r="M37" s="308"/>
    </row>
    <row r="38" spans="3:13">
      <c r="C38" s="336" t="s">
        <v>560</v>
      </c>
      <c r="M38" s="308"/>
    </row>
    <row r="39" spans="3:13">
      <c r="C39" s="261" t="s">
        <v>764</v>
      </c>
      <c r="G39" s="340"/>
      <c r="H39" s="302"/>
      <c r="I39" s="340"/>
      <c r="J39" s="302"/>
      <c r="K39" s="340"/>
      <c r="L39" s="302"/>
      <c r="M39" s="341">
        <f>+G39+I39+K39</f>
        <v>0</v>
      </c>
    </row>
    <row r="40" spans="3:13">
      <c r="C40" s="261" t="s">
        <v>765</v>
      </c>
      <c r="G40" s="340">
        <v>37180</v>
      </c>
      <c r="H40" s="302"/>
      <c r="I40" s="340"/>
      <c r="J40" s="302"/>
      <c r="K40" s="340"/>
      <c r="L40" s="302"/>
      <c r="M40" s="341">
        <f>+G40+I40+K40</f>
        <v>37180</v>
      </c>
    </row>
    <row r="41" spans="3:13">
      <c r="C41" s="261" t="s">
        <v>766</v>
      </c>
      <c r="G41" s="340"/>
      <c r="H41" s="302"/>
      <c r="I41" s="340"/>
      <c r="J41" s="302"/>
      <c r="K41" s="340"/>
      <c r="L41" s="302"/>
      <c r="M41" s="341">
        <f>+G41+I41+K41</f>
        <v>0</v>
      </c>
    </row>
    <row r="42" spans="3:13">
      <c r="C42" s="261" t="s">
        <v>767</v>
      </c>
      <c r="G42" s="341">
        <f>SUM(G40:G41)</f>
        <v>37180</v>
      </c>
      <c r="H42" s="327"/>
      <c r="I42" s="341">
        <f>SUM(I40:I41)</f>
        <v>0</v>
      </c>
      <c r="J42" s="327"/>
      <c r="K42" s="341">
        <f>SUM(K40:K41)</f>
        <v>0</v>
      </c>
      <c r="L42" s="302"/>
      <c r="M42" s="341">
        <f>SUM(M40:M41)</f>
        <v>37180</v>
      </c>
    </row>
    <row r="43" spans="3:13">
      <c r="G43" s="302"/>
      <c r="H43" s="302"/>
      <c r="I43" s="302"/>
      <c r="J43" s="302"/>
      <c r="K43" s="302"/>
      <c r="L43" s="302"/>
      <c r="M43" s="327"/>
    </row>
    <row r="44" spans="3:13">
      <c r="C44" s="261" t="s">
        <v>768</v>
      </c>
      <c r="G44" s="302"/>
      <c r="H44" s="302"/>
      <c r="I44" s="302"/>
      <c r="J44" s="302"/>
      <c r="K44" s="302"/>
      <c r="L44" s="302"/>
      <c r="M44" s="327"/>
    </row>
    <row r="45" spans="3:13">
      <c r="C45" s="261" t="s">
        <v>660</v>
      </c>
      <c r="G45" s="340">
        <v>4986.32</v>
      </c>
      <c r="H45" s="302"/>
      <c r="I45" s="340"/>
      <c r="J45" s="302"/>
      <c r="K45" s="340"/>
      <c r="L45" s="302"/>
      <c r="M45" s="341">
        <f t="shared" ref="M45:M53" si="0">+G45+I45+K45</f>
        <v>4986.32</v>
      </c>
    </row>
    <row r="46" spans="3:13">
      <c r="C46" s="261" t="s">
        <v>959</v>
      </c>
      <c r="G46" s="340"/>
      <c r="H46" s="302"/>
      <c r="I46" s="340"/>
      <c r="J46" s="302"/>
      <c r="K46" s="340"/>
      <c r="L46" s="302"/>
      <c r="M46" s="341">
        <f t="shared" si="0"/>
        <v>0</v>
      </c>
    </row>
    <row r="47" spans="3:13">
      <c r="C47" s="261" t="s">
        <v>769</v>
      </c>
      <c r="G47" s="340"/>
      <c r="H47" s="302"/>
      <c r="I47" s="340"/>
      <c r="J47" s="302"/>
      <c r="K47" s="340"/>
      <c r="L47" s="302"/>
      <c r="M47" s="341">
        <f t="shared" si="0"/>
        <v>0</v>
      </c>
    </row>
    <row r="48" spans="3:13">
      <c r="C48" s="261" t="s">
        <v>770</v>
      </c>
      <c r="G48" s="340">
        <v>203300.77</v>
      </c>
      <c r="H48" s="302"/>
      <c r="I48" s="340"/>
      <c r="J48" s="302"/>
      <c r="K48" s="340"/>
      <c r="L48" s="302"/>
      <c r="M48" s="341">
        <f t="shared" si="0"/>
        <v>203300.77</v>
      </c>
    </row>
    <row r="49" spans="3:13">
      <c r="C49" s="261" t="s">
        <v>562</v>
      </c>
      <c r="G49" s="340">
        <v>253552.73</v>
      </c>
      <c r="H49" s="302"/>
      <c r="I49" s="340"/>
      <c r="J49" s="302"/>
      <c r="K49" s="340"/>
      <c r="L49" s="302"/>
      <c r="M49" s="341">
        <f t="shared" si="0"/>
        <v>253552.73</v>
      </c>
    </row>
    <row r="50" spans="3:13">
      <c r="C50" s="261" t="s">
        <v>563</v>
      </c>
      <c r="G50" s="340">
        <v>15395</v>
      </c>
      <c r="H50" s="302"/>
      <c r="I50" s="340"/>
      <c r="J50" s="302"/>
      <c r="K50" s="340"/>
      <c r="L50" s="302"/>
      <c r="M50" s="341">
        <f t="shared" si="0"/>
        <v>15395</v>
      </c>
    </row>
    <row r="51" spans="3:13">
      <c r="C51" s="261" t="s">
        <v>564</v>
      </c>
      <c r="G51" s="340">
        <v>129852.52</v>
      </c>
      <c r="H51" s="302"/>
      <c r="I51" s="340"/>
      <c r="J51" s="302"/>
      <c r="K51" s="340"/>
      <c r="L51" s="302"/>
      <c r="M51" s="341">
        <f t="shared" si="0"/>
        <v>129852.52</v>
      </c>
    </row>
    <row r="52" spans="3:13">
      <c r="C52" s="261" t="s">
        <v>565</v>
      </c>
      <c r="G52" s="340">
        <v>314596.64</v>
      </c>
      <c r="H52" s="302"/>
      <c r="I52" s="340"/>
      <c r="J52" s="302"/>
      <c r="K52" s="340"/>
      <c r="L52" s="302"/>
      <c r="M52" s="341">
        <f t="shared" si="0"/>
        <v>314596.64</v>
      </c>
    </row>
    <row r="53" spans="3:13">
      <c r="C53" s="261" t="s">
        <v>561</v>
      </c>
      <c r="G53" s="340"/>
      <c r="H53" s="302"/>
      <c r="I53" s="340"/>
      <c r="J53" s="302"/>
      <c r="K53" s="340"/>
      <c r="L53" s="302"/>
      <c r="M53" s="341">
        <f t="shared" si="0"/>
        <v>0</v>
      </c>
    </row>
    <row r="54" spans="3:13">
      <c r="C54" s="261" t="s">
        <v>772</v>
      </c>
      <c r="G54" s="341">
        <f>SUM(G45:G53)</f>
        <v>921683.98</v>
      </c>
      <c r="H54" s="327"/>
      <c r="I54" s="341">
        <f>SUM(I45:I53)</f>
        <v>0</v>
      </c>
      <c r="J54" s="327"/>
      <c r="K54" s="341">
        <f>SUM(K45:K53)</f>
        <v>0</v>
      </c>
      <c r="L54" s="302"/>
      <c r="M54" s="341">
        <f>SUM(M45:M53)</f>
        <v>921683.98</v>
      </c>
    </row>
    <row r="55" spans="3:13">
      <c r="G55" s="302"/>
      <c r="H55" s="302"/>
      <c r="I55" s="302"/>
      <c r="J55" s="302"/>
      <c r="K55" s="302"/>
      <c r="L55" s="302"/>
      <c r="M55" s="327"/>
    </row>
    <row r="56" spans="3:13">
      <c r="C56" s="261" t="s">
        <v>773</v>
      </c>
      <c r="G56" s="302"/>
      <c r="H56" s="302"/>
      <c r="I56" s="302"/>
      <c r="J56" s="302"/>
      <c r="K56" s="302"/>
      <c r="L56" s="302"/>
      <c r="M56" s="327"/>
    </row>
    <row r="57" spans="3:13">
      <c r="C57" s="261" t="s">
        <v>660</v>
      </c>
      <c r="G57" s="340">
        <v>-4986.32</v>
      </c>
      <c r="H57" s="302"/>
      <c r="I57" s="340"/>
      <c r="J57" s="302"/>
      <c r="K57" s="340"/>
      <c r="L57" s="302"/>
      <c r="M57" s="341">
        <f t="shared" ref="M57:M65" si="1">+G57+I57+K57</f>
        <v>-4986.32</v>
      </c>
    </row>
    <row r="58" spans="3:13">
      <c r="C58" s="261" t="s">
        <v>959</v>
      </c>
      <c r="G58" s="340"/>
      <c r="H58" s="302"/>
      <c r="I58" s="340"/>
      <c r="J58" s="302"/>
      <c r="K58" s="340"/>
      <c r="L58" s="302"/>
      <c r="M58" s="341">
        <f t="shared" si="1"/>
        <v>0</v>
      </c>
    </row>
    <row r="59" spans="3:13">
      <c r="C59" s="261" t="s">
        <v>769</v>
      </c>
      <c r="G59" s="340"/>
      <c r="H59" s="302"/>
      <c r="I59" s="340"/>
      <c r="J59" s="302"/>
      <c r="K59" s="340"/>
      <c r="L59" s="302"/>
      <c r="M59" s="341">
        <f t="shared" si="1"/>
        <v>0</v>
      </c>
    </row>
    <row r="60" spans="3:13">
      <c r="C60" s="261" t="s">
        <v>770</v>
      </c>
      <c r="G60" s="340">
        <v>-177022.68</v>
      </c>
      <c r="H60" s="302"/>
      <c r="I60" s="340"/>
      <c r="J60" s="302"/>
      <c r="K60" s="340"/>
      <c r="L60" s="302"/>
      <c r="M60" s="341">
        <f t="shared" si="1"/>
        <v>-177022.68</v>
      </c>
    </row>
    <row r="61" spans="3:13">
      <c r="C61" s="261" t="s">
        <v>562</v>
      </c>
      <c r="G61" s="340">
        <v>-211023.46</v>
      </c>
      <c r="H61" s="302"/>
      <c r="I61" s="340"/>
      <c r="J61" s="302"/>
      <c r="K61" s="340"/>
      <c r="L61" s="302"/>
      <c r="M61" s="341">
        <f t="shared" si="1"/>
        <v>-211023.46</v>
      </c>
    </row>
    <row r="62" spans="3:13">
      <c r="C62" s="261" t="s">
        <v>563</v>
      </c>
      <c r="G62" s="340">
        <v>-15395</v>
      </c>
      <c r="H62" s="302"/>
      <c r="I62" s="340"/>
      <c r="J62" s="302"/>
      <c r="K62" s="340"/>
      <c r="L62" s="302"/>
      <c r="M62" s="341">
        <f t="shared" si="1"/>
        <v>-15395</v>
      </c>
    </row>
    <row r="63" spans="3:13">
      <c r="C63" s="261" t="s">
        <v>564</v>
      </c>
      <c r="G63" s="340">
        <v>-129852.52</v>
      </c>
      <c r="H63" s="302"/>
      <c r="I63" s="340"/>
      <c r="J63" s="302"/>
      <c r="K63" s="340"/>
      <c r="L63" s="302"/>
      <c r="M63" s="341">
        <f t="shared" si="1"/>
        <v>-129852.52</v>
      </c>
    </row>
    <row r="64" spans="3:13">
      <c r="C64" s="261" t="s">
        <v>565</v>
      </c>
      <c r="G64" s="340">
        <v>-302796.28000000003</v>
      </c>
      <c r="H64" s="302"/>
      <c r="I64" s="340"/>
      <c r="J64" s="302"/>
      <c r="K64" s="340"/>
      <c r="L64" s="302"/>
      <c r="M64" s="341">
        <f t="shared" si="1"/>
        <v>-302796.28000000003</v>
      </c>
    </row>
    <row r="65" spans="1:14">
      <c r="C65" s="261" t="s">
        <v>561</v>
      </c>
      <c r="G65" s="340"/>
      <c r="H65" s="302"/>
      <c r="I65" s="340"/>
      <c r="J65" s="302"/>
      <c r="K65" s="340"/>
      <c r="L65" s="302"/>
      <c r="M65" s="341">
        <f t="shared" si="1"/>
        <v>0</v>
      </c>
    </row>
    <row r="66" spans="1:14">
      <c r="C66" s="261" t="s">
        <v>774</v>
      </c>
      <c r="G66" s="341">
        <f>SUM(G57:G65)</f>
        <v>-841076.26</v>
      </c>
      <c r="H66" s="327"/>
      <c r="I66" s="341">
        <f>SUM(I57:I65)</f>
        <v>0</v>
      </c>
      <c r="J66" s="327"/>
      <c r="K66" s="341">
        <f>SUM(K57:K65)</f>
        <v>0</v>
      </c>
      <c r="L66" s="302"/>
      <c r="M66" s="341">
        <f>SUM(M57:M65)</f>
        <v>-841076.26</v>
      </c>
    </row>
    <row r="67" spans="1:14">
      <c r="G67" s="327"/>
      <c r="H67" s="327"/>
      <c r="I67" s="327"/>
      <c r="J67" s="327"/>
      <c r="K67" s="327"/>
      <c r="L67" s="302"/>
      <c r="M67" s="327"/>
    </row>
    <row r="68" spans="1:14">
      <c r="C68" s="261" t="s">
        <v>772</v>
      </c>
      <c r="G68" s="341">
        <f>+G54+G66</f>
        <v>80607.719999999972</v>
      </c>
      <c r="H68" s="327"/>
      <c r="I68" s="341">
        <f>+I54+I66</f>
        <v>0</v>
      </c>
      <c r="J68" s="327"/>
      <c r="K68" s="341">
        <f>+K54+K66</f>
        <v>0</v>
      </c>
      <c r="L68" s="302"/>
      <c r="M68" s="341">
        <f>+M54+M66</f>
        <v>80607.719999999972</v>
      </c>
    </row>
    <row r="69" spans="1:14">
      <c r="G69" s="327"/>
      <c r="H69" s="327"/>
      <c r="I69" s="327"/>
      <c r="J69" s="327"/>
      <c r="K69" s="327"/>
      <c r="L69" s="302"/>
      <c r="M69" s="327"/>
    </row>
    <row r="70" spans="1:14" ht="13.5" thickBot="1">
      <c r="C70" s="261" t="s">
        <v>480</v>
      </c>
      <c r="G70" s="342">
        <f>+G42+G68</f>
        <v>117787.71999999997</v>
      </c>
      <c r="H70" s="327"/>
      <c r="I70" s="342">
        <f>+I42+I68</f>
        <v>0</v>
      </c>
      <c r="J70" s="327"/>
      <c r="K70" s="342">
        <f>+K42+K68</f>
        <v>0</v>
      </c>
      <c r="L70" s="302"/>
      <c r="M70" s="342">
        <f>+M42+M68</f>
        <v>117787.71999999997</v>
      </c>
    </row>
    <row r="71" spans="1:14" ht="13.5" thickTop="1">
      <c r="I71" s="1528" t="s">
        <v>1779</v>
      </c>
      <c r="J71" s="1528"/>
      <c r="K71" s="1528"/>
      <c r="M71" s="1214">
        <f>M70-'NET POSITION-PROPRIETARY(18)'!H37</f>
        <v>0</v>
      </c>
    </row>
    <row r="72" spans="1:14" ht="15.75">
      <c r="A72" s="274" t="s">
        <v>1050</v>
      </c>
      <c r="B72" s="276"/>
      <c r="C72" s="276"/>
      <c r="D72" s="276"/>
      <c r="E72" s="276"/>
      <c r="F72" s="276"/>
      <c r="G72" s="276"/>
      <c r="H72" s="276"/>
      <c r="I72" s="276"/>
      <c r="J72" s="276"/>
      <c r="K72" s="276"/>
      <c r="L72" s="276"/>
      <c r="M72" s="276"/>
      <c r="N72" s="276"/>
    </row>
  </sheetData>
  <sheetProtection password="D950" sheet="1" scenarios="1"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1">
    <mergeCell ref="I71:K71"/>
  </mergeCells>
  <phoneticPr fontId="0" type="noConversion"/>
  <printOptions horizontalCentered="1" verticalCentered="1"/>
  <pageMargins left="0.5" right="0.5" top="0.5" bottom="0.25" header="0.5" footer="0.5"/>
  <pageSetup scale="81" orientation="portrait" horizontalDpi="360" verticalDpi="360" r:id="rId2"/>
  <headerFooter alignWithMargins="0"/>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O62"/>
  <sheetViews>
    <sheetView topLeftCell="A12" workbookViewId="0">
      <selection activeCell="J27" sqref="J27"/>
    </sheetView>
  </sheetViews>
  <sheetFormatPr defaultColWidth="8.85546875" defaultRowHeight="12.75"/>
  <cols>
    <col min="1" max="2" width="3.7109375" style="261" customWidth="1"/>
    <col min="3" max="16384" width="8.85546875" style="261"/>
  </cols>
  <sheetData>
    <row r="1" spans="1:15" ht="18">
      <c r="A1" s="1533" t="str">
        <f>'NOTES TO FIN ST (32)'!A1</f>
        <v>TOWN OF BROADUS</v>
      </c>
      <c r="B1" s="1534"/>
      <c r="C1" s="1534"/>
      <c r="D1" s="1534"/>
      <c r="E1" s="1534"/>
      <c r="F1" s="1534"/>
      <c r="G1" s="1534"/>
      <c r="H1" s="1534"/>
      <c r="I1" s="1534"/>
      <c r="J1" s="1534"/>
      <c r="K1" s="1534"/>
      <c r="L1" s="1534"/>
      <c r="M1" s="1534"/>
      <c r="N1" s="276"/>
      <c r="O1" s="276"/>
    </row>
    <row r="2" spans="1:15" ht="18">
      <c r="A2" s="1533" t="s">
        <v>1319</v>
      </c>
      <c r="B2" s="1534"/>
      <c r="C2" s="1534"/>
      <c r="D2" s="1534"/>
      <c r="E2" s="1534"/>
      <c r="F2" s="1534"/>
      <c r="G2" s="1534"/>
      <c r="H2" s="1534"/>
      <c r="I2" s="1534"/>
      <c r="J2" s="1534"/>
      <c r="K2" s="1534"/>
      <c r="L2" s="1534"/>
      <c r="M2" s="1534"/>
      <c r="N2" s="276"/>
      <c r="O2" s="276"/>
    </row>
    <row r="3" spans="1:15" ht="18">
      <c r="A3" s="1535" t="str">
        <f>'NOTES TO FIN ST (32)'!A3</f>
        <v>FISCAL YEAR ENDING JUNE 30, 2017</v>
      </c>
      <c r="B3" s="1534"/>
      <c r="C3" s="1534"/>
      <c r="D3" s="1534"/>
      <c r="E3" s="1534"/>
      <c r="F3" s="1534"/>
      <c r="G3" s="1534"/>
      <c r="H3" s="1534"/>
      <c r="I3" s="1534"/>
      <c r="J3" s="1534"/>
      <c r="K3" s="1534"/>
      <c r="L3" s="1534"/>
      <c r="M3" s="1534"/>
      <c r="N3" s="276"/>
      <c r="O3" s="276"/>
    </row>
    <row r="5" spans="1:15">
      <c r="A5" s="333" t="s">
        <v>86</v>
      </c>
      <c r="C5" s="334" t="s">
        <v>756</v>
      </c>
    </row>
    <row r="7" spans="1:15">
      <c r="B7" s="335" t="s">
        <v>547</v>
      </c>
      <c r="C7" s="336" t="s">
        <v>566</v>
      </c>
    </row>
    <row r="9" spans="1:15">
      <c r="C9" s="261" t="s">
        <v>567</v>
      </c>
    </row>
    <row r="11" spans="1:15">
      <c r="D11" s="336" t="s">
        <v>758</v>
      </c>
    </row>
    <row r="12" spans="1:15">
      <c r="D12" s="261" t="s">
        <v>494</v>
      </c>
      <c r="J12" s="361">
        <f>'GOV CAP ASSETS-9000(GCAAG)'!E31</f>
        <v>0</v>
      </c>
      <c r="K12" s="361"/>
    </row>
    <row r="13" spans="1:15">
      <c r="D13" s="261" t="s">
        <v>219</v>
      </c>
      <c r="J13" s="361">
        <f>'GOV CAP ASSETS-9000(GCAAG)'!E32</f>
        <v>0</v>
      </c>
      <c r="K13" s="361"/>
    </row>
    <row r="14" spans="1:15">
      <c r="D14" s="261" t="s">
        <v>220</v>
      </c>
      <c r="J14" s="361">
        <f>'GOV CAP ASSETS-9000(GCAAG)'!E33</f>
        <v>25874.79</v>
      </c>
      <c r="K14" s="361"/>
    </row>
    <row r="15" spans="1:15">
      <c r="D15" s="261" t="s">
        <v>188</v>
      </c>
      <c r="J15" s="361">
        <f>'GOV CAP ASSETS-9000(GCAAG)'!E34</f>
        <v>0</v>
      </c>
      <c r="K15" s="361"/>
    </row>
    <row r="16" spans="1:15">
      <c r="D16" s="261" t="s">
        <v>222</v>
      </c>
      <c r="J16" s="361">
        <f>'GOV CAP ASSETS-9000(GCAAG)'!E35</f>
        <v>0</v>
      </c>
      <c r="K16" s="361"/>
    </row>
    <row r="17" spans="4:11">
      <c r="D17" s="261" t="s">
        <v>223</v>
      </c>
      <c r="J17" s="361">
        <f>'GOV CAP ASSETS-9000(GCAAG)'!E36</f>
        <v>0</v>
      </c>
      <c r="K17" s="361"/>
    </row>
    <row r="18" spans="4:11">
      <c r="D18" s="261" t="s">
        <v>224</v>
      </c>
      <c r="J18" s="361">
        <f>'GOV CAP ASSETS-9000(GCAAG)'!E37</f>
        <v>0</v>
      </c>
      <c r="K18" s="361"/>
    </row>
    <row r="19" spans="4:11">
      <c r="D19" s="261" t="s">
        <v>225</v>
      </c>
      <c r="J19" s="361">
        <f>'GOV CAP ASSETS-9000(GCAAG)'!E38</f>
        <v>0</v>
      </c>
      <c r="K19" s="361"/>
    </row>
    <row r="20" spans="4:11">
      <c r="D20" s="261" t="s">
        <v>1162</v>
      </c>
      <c r="J20" s="362">
        <f>'GOV CAP ASSETS-9000(GCAAG)'!E39</f>
        <v>0</v>
      </c>
      <c r="K20" s="362"/>
    </row>
    <row r="21" spans="4:11" ht="13.5" thickBot="1">
      <c r="E21" s="261" t="s">
        <v>568</v>
      </c>
      <c r="J21" s="363">
        <f>SUM(J12:J20)</f>
        <v>25874.79</v>
      </c>
      <c r="K21" s="363"/>
    </row>
    <row r="22" spans="4:11" ht="13.5" thickTop="1">
      <c r="J22" s="344"/>
      <c r="K22" s="344"/>
    </row>
    <row r="23" spans="4:11">
      <c r="D23" s="336" t="s">
        <v>560</v>
      </c>
      <c r="J23" s="344"/>
      <c r="K23" s="344"/>
    </row>
    <row r="24" spans="4:11">
      <c r="D24" s="261" t="str">
        <f>'NET POSITION-PROPRIETARY(18)'!C10</f>
        <v>WATER</v>
      </c>
      <c r="J24" s="343">
        <v>5906.23</v>
      </c>
      <c r="K24" s="343"/>
    </row>
    <row r="25" spans="4:11">
      <c r="D25" s="261" t="str">
        <f>'NET POSITION-PROPRIETARY(18)'!D10</f>
        <v>SEWER</v>
      </c>
      <c r="J25" s="343">
        <v>2671.69</v>
      </c>
      <c r="K25" s="343"/>
    </row>
    <row r="26" spans="4:11">
      <c r="D26" s="261" t="str">
        <f>'NET POSITION-PROPRIETARY(18)'!E10</f>
        <v>SOLID WASTE</v>
      </c>
      <c r="J26" s="343">
        <v>1489</v>
      </c>
      <c r="K26" s="343"/>
    </row>
    <row r="27" spans="4:11">
      <c r="D27" s="261" t="str">
        <f>'NET POSITION-PROPRIETARY(18)'!F10</f>
        <v>Name</v>
      </c>
      <c r="J27" s="343"/>
      <c r="K27" s="343"/>
    </row>
    <row r="28" spans="4:11">
      <c r="D28" s="261" t="s">
        <v>569</v>
      </c>
      <c r="J28" s="343"/>
      <c r="K28" s="343"/>
    </row>
    <row r="29" spans="4:11">
      <c r="J29" s="343"/>
      <c r="K29" s="343"/>
    </row>
    <row r="30" spans="4:11">
      <c r="J30" s="344"/>
      <c r="K30" s="344"/>
    </row>
    <row r="31" spans="4:11" ht="13.5" thickBot="1">
      <c r="E31" s="261" t="s">
        <v>571</v>
      </c>
      <c r="J31" s="363">
        <f>SUM(J24:J30)</f>
        <v>10066.92</v>
      </c>
      <c r="K31" s="363"/>
    </row>
    <row r="32" spans="4:11" ht="13.5" thickTop="1"/>
    <row r="34" spans="2:11">
      <c r="B34" s="335" t="s">
        <v>1186</v>
      </c>
      <c r="C34" s="334" t="s">
        <v>572</v>
      </c>
      <c r="F34" s="261" t="s">
        <v>3707</v>
      </c>
    </row>
    <row r="35" spans="2:11">
      <c r="C35" s="392" t="s">
        <v>2103</v>
      </c>
    </row>
    <row r="36" spans="2:11">
      <c r="C36" s="261" t="s">
        <v>2105</v>
      </c>
    </row>
    <row r="37" spans="2:11">
      <c r="C37" s="261" t="s">
        <v>2104</v>
      </c>
    </row>
    <row r="39" spans="2:11">
      <c r="E39" s="261" t="s">
        <v>442</v>
      </c>
      <c r="J39" s="345" t="s">
        <v>445</v>
      </c>
      <c r="K39" s="276"/>
    </row>
    <row r="40" spans="2:11">
      <c r="E40" s="261" t="s">
        <v>443</v>
      </c>
      <c r="J40" s="343"/>
      <c r="K40" s="343"/>
    </row>
    <row r="41" spans="2:11">
      <c r="E41" s="261" t="s">
        <v>443</v>
      </c>
      <c r="J41" s="343"/>
      <c r="K41" s="343"/>
    </row>
    <row r="42" spans="2:11">
      <c r="E42" s="261" t="s">
        <v>443</v>
      </c>
      <c r="J42" s="343"/>
      <c r="K42" s="343"/>
    </row>
    <row r="43" spans="2:11">
      <c r="E43" s="261" t="s">
        <v>443</v>
      </c>
      <c r="J43" s="343"/>
      <c r="K43" s="343"/>
    </row>
    <row r="44" spans="2:11">
      <c r="E44" s="261" t="s">
        <v>443</v>
      </c>
      <c r="J44" s="343"/>
      <c r="K44" s="343"/>
    </row>
    <row r="45" spans="2:11">
      <c r="E45" s="261" t="s">
        <v>444</v>
      </c>
      <c r="J45" s="343"/>
      <c r="K45" s="343"/>
    </row>
    <row r="46" spans="2:11" ht="13.5" thickBot="1">
      <c r="F46" s="261" t="s">
        <v>1058</v>
      </c>
      <c r="J46" s="364">
        <f>SUM(J40:J45)</f>
        <v>0</v>
      </c>
      <c r="K46" s="364"/>
    </row>
    <row r="47" spans="2:11" ht="13.5" thickTop="1"/>
    <row r="48" spans="2:11">
      <c r="B48" s="335" t="s">
        <v>446</v>
      </c>
      <c r="C48" s="334" t="s">
        <v>447</v>
      </c>
      <c r="F48" s="261" t="s">
        <v>3707</v>
      </c>
    </row>
    <row r="49" spans="1:13">
      <c r="C49" s="392" t="s">
        <v>1892</v>
      </c>
    </row>
    <row r="51" spans="1:13">
      <c r="C51" s="336" t="s">
        <v>169</v>
      </c>
      <c r="F51" s="392" t="s">
        <v>3254</v>
      </c>
    </row>
    <row r="53" spans="1:13">
      <c r="C53" s="346"/>
      <c r="D53" s="347"/>
      <c r="E53" s="348" t="s">
        <v>449</v>
      </c>
      <c r="F53" s="348" t="s">
        <v>451</v>
      </c>
      <c r="G53" s="348" t="s">
        <v>453</v>
      </c>
      <c r="H53" s="348" t="s">
        <v>455</v>
      </c>
      <c r="I53" s="348" t="s">
        <v>457</v>
      </c>
      <c r="J53" s="349" t="s">
        <v>459</v>
      </c>
      <c r="K53" s="350"/>
      <c r="L53" s="349" t="s">
        <v>460</v>
      </c>
      <c r="M53" s="351"/>
    </row>
    <row r="54" spans="1:13">
      <c r="C54" s="352" t="s">
        <v>448</v>
      </c>
      <c r="D54" s="345"/>
      <c r="E54" s="353" t="s">
        <v>450</v>
      </c>
      <c r="F54" s="353" t="s">
        <v>452</v>
      </c>
      <c r="G54" s="353" t="s">
        <v>454</v>
      </c>
      <c r="H54" s="353" t="s">
        <v>456</v>
      </c>
      <c r="I54" s="353" t="s">
        <v>458</v>
      </c>
      <c r="J54" s="651" t="s">
        <v>3255</v>
      </c>
      <c r="K54" s="354"/>
      <c r="L54" s="352" t="s">
        <v>461</v>
      </c>
      <c r="M54" s="355"/>
    </row>
    <row r="55" spans="1:13">
      <c r="C55" s="1536"/>
      <c r="D55" s="1537"/>
      <c r="E55" s="594"/>
      <c r="F55" s="754"/>
      <c r="G55" s="358"/>
      <c r="H55" s="594"/>
      <c r="I55" s="358"/>
      <c r="J55" s="1536"/>
      <c r="K55" s="1537"/>
      <c r="L55" s="1536"/>
      <c r="M55" s="1537"/>
    </row>
    <row r="56" spans="1:13">
      <c r="C56" s="1529"/>
      <c r="D56" s="1530"/>
      <c r="E56" s="594"/>
      <c r="F56" s="754"/>
      <c r="G56" s="358"/>
      <c r="H56" s="594"/>
      <c r="I56" s="358"/>
      <c r="J56" s="1531"/>
      <c r="K56" s="1532"/>
      <c r="L56" s="1531"/>
      <c r="M56" s="1532"/>
    </row>
    <row r="57" spans="1:13">
      <c r="C57" s="1529"/>
      <c r="D57" s="1530"/>
      <c r="E57" s="594"/>
      <c r="F57" s="754"/>
      <c r="G57" s="358"/>
      <c r="H57" s="594"/>
      <c r="I57" s="358"/>
      <c r="J57" s="1531"/>
      <c r="K57" s="1532"/>
      <c r="L57" s="1531"/>
      <c r="M57" s="1532"/>
    </row>
    <row r="58" spans="1:13">
      <c r="C58" s="1529"/>
      <c r="D58" s="1530"/>
      <c r="E58" s="872"/>
      <c r="F58" s="879"/>
      <c r="G58" s="870"/>
      <c r="H58" s="872"/>
      <c r="I58" s="878"/>
      <c r="J58" s="1531"/>
      <c r="K58" s="1532"/>
      <c r="L58" s="1531"/>
      <c r="M58" s="1532"/>
    </row>
    <row r="59" spans="1:13">
      <c r="C59" s="359" t="s">
        <v>172</v>
      </c>
      <c r="D59" s="360"/>
      <c r="E59" s="876"/>
      <c r="F59" s="897"/>
      <c r="G59" s="885"/>
      <c r="H59" s="874"/>
      <c r="I59" s="878">
        <f>SUM(I55:I58)</f>
        <v>0</v>
      </c>
      <c r="J59" s="1538">
        <f>SUM(J55:J58)</f>
        <v>0</v>
      </c>
      <c r="K59" s="1539"/>
      <c r="L59" s="365">
        <f>SUM(L55:L58)</f>
        <v>0</v>
      </c>
      <c r="M59" s="366"/>
    </row>
    <row r="62" spans="1:13" ht="15.75">
      <c r="A62" s="274" t="s">
        <v>1051</v>
      </c>
      <c r="B62" s="276"/>
      <c r="C62" s="276"/>
      <c r="D62" s="276"/>
      <c r="E62" s="276"/>
      <c r="F62" s="276"/>
      <c r="G62" s="276"/>
      <c r="H62" s="276"/>
      <c r="I62" s="276"/>
      <c r="J62" s="276"/>
      <c r="K62" s="276"/>
      <c r="L62" s="276"/>
      <c r="M62" s="276"/>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16">
    <mergeCell ref="J59:K59"/>
    <mergeCell ref="L55:M55"/>
    <mergeCell ref="L56:M56"/>
    <mergeCell ref="L57:M57"/>
    <mergeCell ref="L58:M58"/>
    <mergeCell ref="C57:D57"/>
    <mergeCell ref="C58:D58"/>
    <mergeCell ref="J57:K57"/>
    <mergeCell ref="J58:K58"/>
    <mergeCell ref="A1:M1"/>
    <mergeCell ref="A2:M2"/>
    <mergeCell ref="A3:M3"/>
    <mergeCell ref="J55:K55"/>
    <mergeCell ref="J56:K56"/>
    <mergeCell ref="C55:D55"/>
    <mergeCell ref="C56:D56"/>
  </mergeCells>
  <phoneticPr fontId="0" type="noConversion"/>
  <printOptions horizontalCentered="1" verticalCentered="1"/>
  <pageMargins left="0.75" right="0.75" top="0.75" bottom="0.75" header="0.5" footer="0.5"/>
  <pageSetup scale="86" orientation="portrait" horizontalDpi="360" verticalDpi="36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O61"/>
  <sheetViews>
    <sheetView workbookViewId="0">
      <selection activeCell="G46" sqref="G46:H46"/>
    </sheetView>
  </sheetViews>
  <sheetFormatPr defaultColWidth="8.85546875" defaultRowHeight="12.75"/>
  <cols>
    <col min="1" max="2" width="3.7109375" style="261" customWidth="1"/>
    <col min="3" max="4" width="11.7109375" style="261" customWidth="1"/>
    <col min="5" max="16384" width="8.85546875" style="261"/>
  </cols>
  <sheetData>
    <row r="1" spans="1:15" ht="18">
      <c r="A1" s="1533" t="str">
        <f>'NOTES TO FIN ST (33)'!A1:M1</f>
        <v>TOWN OF BROADUS</v>
      </c>
      <c r="B1" s="1534"/>
      <c r="C1" s="1534"/>
      <c r="D1" s="1534"/>
      <c r="E1" s="1534"/>
      <c r="F1" s="1534"/>
      <c r="G1" s="1534"/>
      <c r="H1" s="1534"/>
      <c r="I1" s="1534"/>
      <c r="J1" s="1534"/>
      <c r="K1" s="1534"/>
      <c r="L1" s="1534"/>
      <c r="M1" s="1534"/>
      <c r="N1" s="276"/>
      <c r="O1" s="276"/>
    </row>
    <row r="2" spans="1:15" ht="18">
      <c r="A2" s="1533" t="s">
        <v>1319</v>
      </c>
      <c r="B2" s="1534"/>
      <c r="C2" s="1534"/>
      <c r="D2" s="1534"/>
      <c r="E2" s="1534"/>
      <c r="F2" s="1534"/>
      <c r="G2" s="1534"/>
      <c r="H2" s="1534"/>
      <c r="I2" s="1534"/>
      <c r="J2" s="1534"/>
      <c r="K2" s="1534"/>
      <c r="L2" s="1534"/>
      <c r="M2" s="1534"/>
      <c r="N2" s="276"/>
      <c r="O2" s="276"/>
    </row>
    <row r="3" spans="1:15" ht="18">
      <c r="A3" s="1535" t="str">
        <f>'NOTES TO FIN ST (33)'!A3:M3</f>
        <v>FISCAL YEAR ENDING JUNE 30, 2017</v>
      </c>
      <c r="B3" s="1534"/>
      <c r="C3" s="1534"/>
      <c r="D3" s="1534"/>
      <c r="E3" s="1534"/>
      <c r="F3" s="1534"/>
      <c r="G3" s="1534"/>
      <c r="H3" s="1534"/>
      <c r="I3" s="1534"/>
      <c r="J3" s="1534"/>
      <c r="K3" s="1534"/>
      <c r="L3" s="1534"/>
      <c r="M3" s="1534"/>
      <c r="N3" s="276"/>
      <c r="O3" s="276"/>
    </row>
    <row r="5" spans="1:15">
      <c r="A5" s="333" t="s">
        <v>86</v>
      </c>
      <c r="C5" s="334" t="s">
        <v>756</v>
      </c>
    </row>
    <row r="8" spans="1:15">
      <c r="B8" s="335" t="s">
        <v>446</v>
      </c>
      <c r="C8" s="334" t="s">
        <v>168</v>
      </c>
    </row>
    <row r="10" spans="1:15">
      <c r="C10" s="336" t="s">
        <v>170</v>
      </c>
      <c r="F10" s="392" t="s">
        <v>3254</v>
      </c>
    </row>
    <row r="12" spans="1:15">
      <c r="C12" s="346"/>
      <c r="D12" s="347"/>
      <c r="E12" s="348" t="s">
        <v>449</v>
      </c>
      <c r="F12" s="348" t="s">
        <v>451</v>
      </c>
      <c r="G12" s="348" t="s">
        <v>453</v>
      </c>
      <c r="H12" s="348" t="s">
        <v>455</v>
      </c>
      <c r="I12" s="348" t="s">
        <v>457</v>
      </c>
      <c r="J12" s="349" t="s">
        <v>459</v>
      </c>
      <c r="K12" s="350"/>
      <c r="L12" s="349" t="s">
        <v>460</v>
      </c>
      <c r="M12" s="351"/>
    </row>
    <row r="13" spans="1:15">
      <c r="C13" s="352" t="s">
        <v>448</v>
      </c>
      <c r="D13" s="345"/>
      <c r="E13" s="353" t="s">
        <v>450</v>
      </c>
      <c r="F13" s="353" t="s">
        <v>452</v>
      </c>
      <c r="G13" s="353" t="s">
        <v>454</v>
      </c>
      <c r="H13" s="353" t="s">
        <v>456</v>
      </c>
      <c r="I13" s="353" t="s">
        <v>458</v>
      </c>
      <c r="J13" s="652" t="s">
        <v>3256</v>
      </c>
      <c r="K13" s="354"/>
      <c r="L13" s="352" t="s">
        <v>461</v>
      </c>
      <c r="M13" s="355"/>
    </row>
    <row r="14" spans="1:15">
      <c r="C14" s="368"/>
      <c r="D14" s="339"/>
      <c r="E14" s="720"/>
      <c r="F14" s="757"/>
      <c r="G14" s="368"/>
      <c r="H14" s="720"/>
      <c r="I14" s="368"/>
      <c r="J14" s="1536"/>
      <c r="K14" s="1537"/>
      <c r="L14" s="1536"/>
      <c r="M14" s="1537"/>
    </row>
    <row r="15" spans="1:15">
      <c r="C15" s="1540" t="s">
        <v>3707</v>
      </c>
      <c r="D15" s="1541"/>
      <c r="E15" s="594"/>
      <c r="F15" s="754"/>
      <c r="G15" s="358"/>
      <c r="H15" s="594"/>
      <c r="I15" s="358"/>
      <c r="J15" s="1531"/>
      <c r="K15" s="1532"/>
      <c r="L15" s="1531"/>
      <c r="M15" s="1532"/>
    </row>
    <row r="16" spans="1:15">
      <c r="C16" s="1540"/>
      <c r="D16" s="1541"/>
      <c r="E16" s="594"/>
      <c r="F16" s="754"/>
      <c r="G16" s="358"/>
      <c r="H16" s="594"/>
      <c r="I16" s="358"/>
      <c r="J16" s="1531"/>
      <c r="K16" s="1532"/>
      <c r="L16" s="1531"/>
      <c r="M16" s="1532"/>
    </row>
    <row r="17" spans="3:13">
      <c r="C17" s="356"/>
      <c r="D17" s="357"/>
      <c r="E17" s="872"/>
      <c r="F17" s="879"/>
      <c r="G17" s="870"/>
      <c r="H17" s="912"/>
      <c r="I17" s="358"/>
      <c r="J17" s="1531"/>
      <c r="K17" s="1532"/>
      <c r="L17" s="1531"/>
      <c r="M17" s="1532"/>
    </row>
    <row r="18" spans="3:13">
      <c r="C18" s="369" t="s">
        <v>173</v>
      </c>
      <c r="D18" s="339"/>
      <c r="E18" s="877"/>
      <c r="F18" s="897"/>
      <c r="G18" s="885"/>
      <c r="H18" s="874"/>
      <c r="I18" s="878">
        <f>SUM(I14:I17)</f>
        <v>0</v>
      </c>
      <c r="J18" s="1546">
        <f>SUM(J14:J17)</f>
        <v>0</v>
      </c>
      <c r="K18" s="1547"/>
      <c r="L18" s="1546">
        <f>SUM(L14:L17)</f>
        <v>0</v>
      </c>
      <c r="M18" s="1547"/>
    </row>
    <row r="21" spans="3:13">
      <c r="C21" s="336" t="s">
        <v>171</v>
      </c>
      <c r="F21" s="261" t="str">
        <f>F10</f>
        <v>Bonds payable at June 30, 2017 are comprised of the following issues:</v>
      </c>
    </row>
    <row r="23" spans="3:13">
      <c r="C23" s="346"/>
      <c r="D23" s="347"/>
      <c r="E23" s="348" t="s">
        <v>449</v>
      </c>
      <c r="F23" s="348" t="s">
        <v>451</v>
      </c>
      <c r="G23" s="348" t="s">
        <v>453</v>
      </c>
      <c r="H23" s="348" t="s">
        <v>455</v>
      </c>
      <c r="I23" s="348" t="s">
        <v>457</v>
      </c>
      <c r="J23" s="349" t="s">
        <v>459</v>
      </c>
      <c r="K23" s="350"/>
      <c r="L23" s="349" t="s">
        <v>460</v>
      </c>
      <c r="M23" s="351"/>
    </row>
    <row r="24" spans="3:13">
      <c r="C24" s="352" t="s">
        <v>448</v>
      </c>
      <c r="D24" s="345"/>
      <c r="E24" s="353" t="s">
        <v>450</v>
      </c>
      <c r="F24" s="353" t="s">
        <v>452</v>
      </c>
      <c r="G24" s="353" t="s">
        <v>454</v>
      </c>
      <c r="H24" s="353" t="s">
        <v>456</v>
      </c>
      <c r="I24" s="353" t="s">
        <v>458</v>
      </c>
      <c r="J24" s="367" t="str">
        <f>J13</f>
        <v>6/30/2017</v>
      </c>
      <c r="K24" s="354"/>
      <c r="L24" s="352" t="s">
        <v>461</v>
      </c>
      <c r="M24" s="355"/>
    </row>
    <row r="25" spans="3:13">
      <c r="C25" s="1536"/>
      <c r="D25" s="1537"/>
      <c r="E25" s="594"/>
      <c r="F25" s="754"/>
      <c r="G25" s="358"/>
      <c r="H25" s="594"/>
      <c r="I25" s="358"/>
      <c r="J25" s="1542"/>
      <c r="K25" s="1543"/>
      <c r="L25" s="1542"/>
      <c r="M25" s="1543"/>
    </row>
    <row r="26" spans="3:13">
      <c r="C26" s="1529" t="s">
        <v>3707</v>
      </c>
      <c r="D26" s="1530"/>
      <c r="E26" s="594"/>
      <c r="F26" s="754"/>
      <c r="G26" s="358"/>
      <c r="H26" s="594"/>
      <c r="I26" s="358"/>
      <c r="J26" s="1544"/>
      <c r="K26" s="1545"/>
      <c r="L26" s="1544"/>
      <c r="M26" s="1545"/>
    </row>
    <row r="27" spans="3:13">
      <c r="C27" s="1529"/>
      <c r="D27" s="1530"/>
      <c r="E27" s="594"/>
      <c r="F27" s="754"/>
      <c r="G27" s="358"/>
      <c r="H27" s="594"/>
      <c r="I27" s="358"/>
      <c r="J27" s="1544"/>
      <c r="K27" s="1545"/>
      <c r="L27" s="1544"/>
      <c r="M27" s="1545"/>
    </row>
    <row r="28" spans="3:13">
      <c r="C28" s="1529"/>
      <c r="D28" s="1530"/>
      <c r="E28" s="594"/>
      <c r="F28" s="754"/>
      <c r="G28" s="358"/>
      <c r="H28" s="594"/>
      <c r="I28" s="358"/>
      <c r="J28" s="1544"/>
      <c r="K28" s="1545"/>
      <c r="L28" s="1544"/>
      <c r="M28" s="1545"/>
    </row>
    <row r="29" spans="3:13">
      <c r="C29" s="1529"/>
      <c r="D29" s="1530"/>
      <c r="E29" s="594"/>
      <c r="F29" s="754"/>
      <c r="G29" s="358"/>
      <c r="H29" s="594"/>
      <c r="I29" s="358"/>
      <c r="J29" s="1544"/>
      <c r="K29" s="1545"/>
      <c r="L29" s="1544"/>
      <c r="M29" s="1545"/>
    </row>
    <row r="30" spans="3:13">
      <c r="C30" s="1529"/>
      <c r="D30" s="1530"/>
      <c r="E30" s="594"/>
      <c r="F30" s="754"/>
      <c r="G30" s="358"/>
      <c r="H30" s="594"/>
      <c r="I30" s="358"/>
      <c r="J30" s="1544"/>
      <c r="K30" s="1545"/>
      <c r="L30" s="1544"/>
      <c r="M30" s="1545"/>
    </row>
    <row r="31" spans="3:13">
      <c r="C31" s="1529"/>
      <c r="D31" s="1530"/>
      <c r="E31" s="594"/>
      <c r="F31" s="754"/>
      <c r="G31" s="358"/>
      <c r="H31" s="594"/>
      <c r="I31" s="358"/>
      <c r="J31" s="1544"/>
      <c r="K31" s="1545"/>
      <c r="L31" s="1544"/>
      <c r="M31" s="1545"/>
    </row>
    <row r="32" spans="3:13">
      <c r="C32" s="1529"/>
      <c r="D32" s="1530"/>
      <c r="E32" s="872"/>
      <c r="F32" s="879"/>
      <c r="G32" s="870"/>
      <c r="H32" s="872"/>
      <c r="I32" s="878"/>
      <c r="J32" s="1544"/>
      <c r="K32" s="1545"/>
      <c r="L32" s="1544"/>
      <c r="M32" s="1545"/>
    </row>
    <row r="33" spans="3:13">
      <c r="C33" s="369" t="s">
        <v>174</v>
      </c>
      <c r="D33" s="339"/>
      <c r="E33" s="876"/>
      <c r="F33" s="885"/>
      <c r="G33" s="885"/>
      <c r="H33" s="885"/>
      <c r="I33" s="878">
        <f>SUM(I25:I32)</f>
        <v>0</v>
      </c>
      <c r="J33" s="1550">
        <f>SUM(J25:J32)</f>
        <v>0</v>
      </c>
      <c r="K33" s="1551"/>
      <c r="L33" s="1552">
        <f>SUM(L25:L32)</f>
        <v>0</v>
      </c>
      <c r="M33" s="1551"/>
    </row>
    <row r="36" spans="3:13">
      <c r="C36" s="336" t="s">
        <v>1312</v>
      </c>
    </row>
    <row r="37" spans="3:13">
      <c r="C37" s="336"/>
    </row>
    <row r="38" spans="3:13">
      <c r="C38" s="346"/>
      <c r="D38" s="347"/>
      <c r="E38" s="346"/>
      <c r="F38" s="347"/>
      <c r="G38" s="347"/>
      <c r="H38" s="347"/>
      <c r="I38" s="346"/>
      <c r="J38" s="346"/>
      <c r="K38" s="347"/>
      <c r="L38" s="347"/>
      <c r="M38" s="370" t="s">
        <v>952</v>
      </c>
    </row>
    <row r="39" spans="3:13">
      <c r="C39" s="371"/>
      <c r="D39" s="305"/>
      <c r="E39" s="371"/>
      <c r="F39" s="305"/>
      <c r="G39" s="371"/>
      <c r="H39" s="305"/>
      <c r="I39" s="372" t="s">
        <v>451</v>
      </c>
      <c r="J39" s="1553" t="s">
        <v>459</v>
      </c>
      <c r="K39" s="1554"/>
      <c r="L39" s="1555"/>
      <c r="M39" s="373" t="s">
        <v>455</v>
      </c>
    </row>
    <row r="40" spans="3:13">
      <c r="C40" s="374" t="s">
        <v>448</v>
      </c>
      <c r="D40" s="375"/>
      <c r="E40" s="374" t="s">
        <v>950</v>
      </c>
      <c r="F40" s="375"/>
      <c r="G40" s="374" t="s">
        <v>951</v>
      </c>
      <c r="H40" s="354"/>
      <c r="I40" s="376" t="s">
        <v>452</v>
      </c>
      <c r="J40" s="377" t="str">
        <f>J13</f>
        <v>6/30/2017</v>
      </c>
      <c r="K40" s="375"/>
      <c r="L40" s="375"/>
      <c r="M40" s="378" t="s">
        <v>953</v>
      </c>
    </row>
    <row r="41" spans="3:13">
      <c r="C41" s="1536"/>
      <c r="D41" s="1537"/>
      <c r="E41" s="379"/>
      <c r="F41" s="276"/>
      <c r="G41" s="1560"/>
      <c r="H41" s="1561"/>
      <c r="I41" s="380"/>
      <c r="J41" s="1542"/>
      <c r="K41" s="1548"/>
      <c r="L41" s="1543"/>
      <c r="M41" s="755"/>
    </row>
    <row r="42" spans="3:13">
      <c r="C42" s="1531"/>
      <c r="D42" s="1532"/>
      <c r="E42" s="1531"/>
      <c r="F42" s="1532"/>
      <c r="G42" s="1557"/>
      <c r="H42" s="1558"/>
      <c r="I42" s="381"/>
      <c r="J42" s="1544"/>
      <c r="K42" s="1549"/>
      <c r="L42" s="1545"/>
      <c r="M42" s="756"/>
    </row>
    <row r="43" spans="3:13">
      <c r="C43" s="1531"/>
      <c r="D43" s="1532"/>
      <c r="E43" s="1531"/>
      <c r="F43" s="1532"/>
      <c r="G43" s="1557"/>
      <c r="H43" s="1558"/>
      <c r="I43" s="381"/>
      <c r="J43" s="1544"/>
      <c r="K43" s="1549"/>
      <c r="L43" s="1545"/>
      <c r="M43" s="756"/>
    </row>
    <row r="44" spans="3:13">
      <c r="C44" s="1531"/>
      <c r="D44" s="1532"/>
      <c r="E44" s="1531"/>
      <c r="F44" s="1532"/>
      <c r="G44" s="1557"/>
      <c r="H44" s="1558"/>
      <c r="I44" s="381"/>
      <c r="J44" s="1544"/>
      <c r="K44" s="1549"/>
      <c r="L44" s="1545"/>
      <c r="M44" s="756"/>
    </row>
    <row r="45" spans="3:13">
      <c r="C45" s="1531"/>
      <c r="D45" s="1532"/>
      <c r="E45" s="1531"/>
      <c r="F45" s="1532"/>
      <c r="G45" s="1557"/>
      <c r="H45" s="1558"/>
      <c r="I45" s="381"/>
      <c r="J45" s="1544"/>
      <c r="K45" s="1549"/>
      <c r="L45" s="1545"/>
      <c r="M45" s="756"/>
    </row>
    <row r="46" spans="3:13">
      <c r="C46" s="1531"/>
      <c r="D46" s="1532"/>
      <c r="E46" s="1529"/>
      <c r="F46" s="1530"/>
      <c r="G46" s="1557"/>
      <c r="H46" s="1558"/>
      <c r="I46" s="909"/>
      <c r="J46" s="1544"/>
      <c r="K46" s="1549"/>
      <c r="L46" s="1545"/>
      <c r="M46" s="912"/>
    </row>
    <row r="47" spans="3:13">
      <c r="C47" s="881" t="s">
        <v>1058</v>
      </c>
      <c r="D47" s="383"/>
      <c r="E47" s="910"/>
      <c r="F47" s="329"/>
      <c r="G47" s="305"/>
      <c r="H47" s="305"/>
      <c r="I47" s="911"/>
      <c r="J47" s="1550">
        <f>SUM(J42:J46)</f>
        <v>0</v>
      </c>
      <c r="K47" s="1550"/>
      <c r="L47" s="1550"/>
      <c r="M47" s="371"/>
    </row>
    <row r="49" spans="1:13">
      <c r="B49" s="335" t="s">
        <v>954</v>
      </c>
      <c r="C49" s="334" t="s">
        <v>955</v>
      </c>
    </row>
    <row r="50" spans="1:13">
      <c r="C50" s="392" t="s">
        <v>1893</v>
      </c>
    </row>
    <row r="51" spans="1:13">
      <c r="C51" s="261" t="s">
        <v>956</v>
      </c>
    </row>
    <row r="53" spans="1:13">
      <c r="C53" s="389" t="s">
        <v>957</v>
      </c>
      <c r="D53" s="390"/>
      <c r="E53" s="389" t="s">
        <v>958</v>
      </c>
      <c r="F53" s="390"/>
      <c r="G53" s="390"/>
      <c r="H53" s="389" t="s">
        <v>926</v>
      </c>
      <c r="I53" s="390"/>
      <c r="J53" s="390"/>
      <c r="K53" s="389" t="s">
        <v>927</v>
      </c>
      <c r="L53" s="390"/>
      <c r="M53" s="391"/>
    </row>
    <row r="54" spans="1:13">
      <c r="C54" s="1536"/>
      <c r="D54" s="1537"/>
      <c r="E54" s="1536"/>
      <c r="F54" s="1559"/>
      <c r="G54" s="1537"/>
      <c r="H54" s="1536"/>
      <c r="I54" s="1559"/>
      <c r="J54" s="1537"/>
      <c r="K54" s="1542"/>
      <c r="L54" s="1548"/>
      <c r="M54" s="1543"/>
    </row>
    <row r="55" spans="1:13">
      <c r="C55" s="1529" t="s">
        <v>3707</v>
      </c>
      <c r="D55" s="1530"/>
      <c r="E55" s="1529"/>
      <c r="F55" s="1556"/>
      <c r="G55" s="1530"/>
      <c r="H55" s="1529"/>
      <c r="I55" s="1556"/>
      <c r="J55" s="1530"/>
      <c r="K55" s="1544"/>
      <c r="L55" s="1549"/>
      <c r="M55" s="1545"/>
    </row>
    <row r="56" spans="1:13">
      <c r="C56" s="1529"/>
      <c r="D56" s="1530"/>
      <c r="E56" s="1529"/>
      <c r="F56" s="1556"/>
      <c r="G56" s="1530"/>
      <c r="H56" s="1529"/>
      <c r="I56" s="1556"/>
      <c r="J56" s="1530"/>
      <c r="K56" s="1544"/>
      <c r="L56" s="1549"/>
      <c r="M56" s="1545"/>
    </row>
    <row r="57" spans="1:13">
      <c r="C57" s="1529"/>
      <c r="D57" s="1530"/>
      <c r="E57" s="1529"/>
      <c r="F57" s="1556"/>
      <c r="G57" s="1530"/>
      <c r="H57" s="1529"/>
      <c r="I57" s="1556"/>
      <c r="J57" s="1530"/>
      <c r="K57" s="1544"/>
      <c r="L57" s="1549"/>
      <c r="M57" s="1545"/>
    </row>
    <row r="58" spans="1:13">
      <c r="C58" s="1529"/>
      <c r="D58" s="1530"/>
      <c r="E58" s="1529"/>
      <c r="F58" s="1556"/>
      <c r="G58" s="1530"/>
      <c r="H58" s="1529"/>
      <c r="I58" s="1556"/>
      <c r="J58" s="1530"/>
      <c r="K58" s="1544"/>
      <c r="L58" s="1549"/>
      <c r="M58" s="1545"/>
    </row>
    <row r="59" spans="1:13">
      <c r="C59" s="1529"/>
      <c r="D59" s="1530"/>
      <c r="E59" s="1529"/>
      <c r="F59" s="1556"/>
      <c r="G59" s="1530"/>
      <c r="H59" s="1529"/>
      <c r="I59" s="1556"/>
      <c r="J59" s="1530"/>
      <c r="K59" s="1544"/>
      <c r="L59" s="1549"/>
      <c r="M59" s="1545"/>
    </row>
    <row r="61" spans="1:13" ht="15.75">
      <c r="A61" s="274" t="s">
        <v>1322</v>
      </c>
      <c r="B61" s="276"/>
      <c r="C61" s="276"/>
      <c r="D61" s="276"/>
      <c r="E61" s="276"/>
      <c r="F61" s="276"/>
      <c r="G61" s="276"/>
      <c r="H61" s="276"/>
      <c r="I61" s="276"/>
      <c r="J61" s="276"/>
      <c r="K61" s="276"/>
      <c r="L61" s="276"/>
      <c r="M61" s="276"/>
    </row>
  </sheetData>
  <customSheetViews>
    <customSheetView guid="{FC3B3501-CA52-40D7-B049-0E027A15B235}" fitToPage="1" topLeftCell="A22">
      <selection activeCell="J14" sqref="J14:K14"/>
      <pageMargins left="0.5" right="0.5" top="1" bottom="0.75" header="0.5" footer="0.5"/>
      <printOptions horizontalCentered="1"/>
      <pageSetup scale="84" orientation="portrait" horizontalDpi="360" verticalDpi="360" r:id="rId1"/>
      <headerFooter alignWithMargins="0"/>
    </customSheetView>
  </customSheetViews>
  <mergeCells count="90">
    <mergeCell ref="C58:D58"/>
    <mergeCell ref="C59:D59"/>
    <mergeCell ref="E54:G54"/>
    <mergeCell ref="E55:G55"/>
    <mergeCell ref="E56:G56"/>
    <mergeCell ref="E57:G57"/>
    <mergeCell ref="E58:G58"/>
    <mergeCell ref="E59:G59"/>
    <mergeCell ref="E45:F45"/>
    <mergeCell ref="E46:F46"/>
    <mergeCell ref="C57:D57"/>
    <mergeCell ref="C54:D54"/>
    <mergeCell ref="C55:D55"/>
    <mergeCell ref="C56:D56"/>
    <mergeCell ref="H56:J56"/>
    <mergeCell ref="C41:D41"/>
    <mergeCell ref="G41:H41"/>
    <mergeCell ref="G42:H42"/>
    <mergeCell ref="G43:H43"/>
    <mergeCell ref="G44:H44"/>
    <mergeCell ref="C42:D42"/>
    <mergeCell ref="C43:D43"/>
    <mergeCell ref="C44:D44"/>
    <mergeCell ref="E42:F42"/>
    <mergeCell ref="E43:F43"/>
    <mergeCell ref="E44:F44"/>
    <mergeCell ref="J43:L43"/>
    <mergeCell ref="J44:L44"/>
    <mergeCell ref="C45:D45"/>
    <mergeCell ref="C46:D46"/>
    <mergeCell ref="C32:D32"/>
    <mergeCell ref="C25:D25"/>
    <mergeCell ref="J29:K29"/>
    <mergeCell ref="J30:K30"/>
    <mergeCell ref="J31:K31"/>
    <mergeCell ref="J32:K32"/>
    <mergeCell ref="C27:D27"/>
    <mergeCell ref="C28:D28"/>
    <mergeCell ref="C29:D29"/>
    <mergeCell ref="C30:D30"/>
    <mergeCell ref="C31:D31"/>
    <mergeCell ref="J26:K26"/>
    <mergeCell ref="J25:K25"/>
    <mergeCell ref="J45:L45"/>
    <mergeCell ref="K58:M58"/>
    <mergeCell ref="K59:M59"/>
    <mergeCell ref="J46:L46"/>
    <mergeCell ref="K54:M54"/>
    <mergeCell ref="K55:M55"/>
    <mergeCell ref="K56:M56"/>
    <mergeCell ref="K57:M57"/>
    <mergeCell ref="J47:L47"/>
    <mergeCell ref="H57:J57"/>
    <mergeCell ref="H58:J58"/>
    <mergeCell ref="H59:J59"/>
    <mergeCell ref="G45:H45"/>
    <mergeCell ref="G46:H46"/>
    <mergeCell ref="H54:J54"/>
    <mergeCell ref="H55:J55"/>
    <mergeCell ref="L27:M27"/>
    <mergeCell ref="L28:M28"/>
    <mergeCell ref="L29:M29"/>
    <mergeCell ref="J41:L41"/>
    <mergeCell ref="J42:L42"/>
    <mergeCell ref="J33:K33"/>
    <mergeCell ref="L33:M33"/>
    <mergeCell ref="J39:L39"/>
    <mergeCell ref="J27:K27"/>
    <mergeCell ref="J28:K28"/>
    <mergeCell ref="L30:M30"/>
    <mergeCell ref="L31:M31"/>
    <mergeCell ref="L32:M32"/>
    <mergeCell ref="J17:K17"/>
    <mergeCell ref="L15:M15"/>
    <mergeCell ref="L16:M16"/>
    <mergeCell ref="L17:M17"/>
    <mergeCell ref="L14:M14"/>
    <mergeCell ref="L25:M25"/>
    <mergeCell ref="L26:M26"/>
    <mergeCell ref="J18:K18"/>
    <mergeCell ref="L18:M18"/>
    <mergeCell ref="C26:D26"/>
    <mergeCell ref="C15:D15"/>
    <mergeCell ref="C16:D16"/>
    <mergeCell ref="A1:M1"/>
    <mergeCell ref="A2:M2"/>
    <mergeCell ref="A3:M3"/>
    <mergeCell ref="J15:K15"/>
    <mergeCell ref="J14:K14"/>
    <mergeCell ref="J16:K16"/>
  </mergeCells>
  <phoneticPr fontId="0" type="noConversion"/>
  <printOptions horizontalCentered="1"/>
  <pageMargins left="0.5" right="0.5" top="1" bottom="0.75" header="0.5" footer="0.5"/>
  <pageSetup scale="84" orientation="portrait" horizontalDpi="360" verticalDpi="360"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M46"/>
  <sheetViews>
    <sheetView topLeftCell="A12" zoomScale="110" zoomScaleNormal="110" workbookViewId="0">
      <selection activeCell="C37" sqref="C37"/>
    </sheetView>
  </sheetViews>
  <sheetFormatPr defaultRowHeight="12.75"/>
  <cols>
    <col min="11" max="11" width="9.42578125" customWidth="1"/>
  </cols>
  <sheetData>
    <row r="1" spans="1:13" ht="18">
      <c r="A1" s="1533" t="str">
        <f>'NOTES TO FIN ST (34)'!A1:M1</f>
        <v>TOWN OF BROADUS</v>
      </c>
      <c r="B1" s="1533"/>
      <c r="C1" s="1533"/>
      <c r="D1" s="1533"/>
      <c r="E1" s="1533"/>
      <c r="F1" s="1533"/>
      <c r="G1" s="1533"/>
      <c r="H1" s="1533"/>
      <c r="I1" s="1533"/>
      <c r="J1" s="1533"/>
      <c r="K1" s="1533"/>
      <c r="L1" s="337"/>
      <c r="M1" s="337"/>
    </row>
    <row r="2" spans="1:13" ht="18">
      <c r="A2" s="1533" t="s">
        <v>1319</v>
      </c>
      <c r="B2" s="1533"/>
      <c r="C2" s="1533"/>
      <c r="D2" s="1533"/>
      <c r="E2" s="1533"/>
      <c r="F2" s="1533"/>
      <c r="G2" s="1533"/>
      <c r="H2" s="1533"/>
      <c r="I2" s="1533"/>
      <c r="J2" s="1533"/>
      <c r="K2" s="1533"/>
      <c r="L2" s="337"/>
      <c r="M2" s="337"/>
    </row>
    <row r="3" spans="1:13" ht="18">
      <c r="A3" s="1535" t="str">
        <f>'NOTES TO FIN ST (34)'!A3:M3</f>
        <v>FISCAL YEAR ENDING JUNE 30, 2017</v>
      </c>
      <c r="B3" s="1535"/>
      <c r="C3" s="1535"/>
      <c r="D3" s="1535"/>
      <c r="E3" s="1535"/>
      <c r="F3" s="1535"/>
      <c r="G3" s="1535"/>
      <c r="H3" s="1535"/>
      <c r="I3" s="1535"/>
      <c r="J3" s="1535"/>
      <c r="K3" s="1535"/>
      <c r="L3" s="337"/>
      <c r="M3" s="337"/>
    </row>
    <row r="4" spans="1:13" ht="18">
      <c r="A4" s="524"/>
      <c r="B4" s="524"/>
      <c r="C4" s="524"/>
      <c r="D4" s="524"/>
      <c r="E4" s="524"/>
      <c r="F4" s="524"/>
      <c r="G4" s="524"/>
      <c r="H4" s="524"/>
      <c r="I4" s="524"/>
      <c r="J4" s="524"/>
      <c r="K4" s="524"/>
      <c r="L4" s="337"/>
      <c r="M4" s="337"/>
    </row>
    <row r="5" spans="1:13">
      <c r="A5" s="1433" t="s">
        <v>1479</v>
      </c>
      <c r="B5" s="1433"/>
      <c r="C5" s="1433"/>
      <c r="D5" s="1433"/>
      <c r="E5" s="1433"/>
      <c r="F5" s="1433"/>
      <c r="G5" s="1433"/>
      <c r="H5" s="1433"/>
      <c r="I5" s="1433"/>
      <c r="J5" s="1433"/>
      <c r="K5" s="1433"/>
    </row>
    <row r="6" spans="1:13">
      <c r="A6" s="236" t="s">
        <v>1467</v>
      </c>
    </row>
    <row r="7" spans="1:13">
      <c r="A7" s="236" t="s">
        <v>1549</v>
      </c>
    </row>
    <row r="8" spans="1:13">
      <c r="A8" s="236" t="s">
        <v>1476</v>
      </c>
    </row>
    <row r="9" spans="1:13">
      <c r="A9" s="236" t="s">
        <v>1475</v>
      </c>
    </row>
    <row r="11" spans="1:13">
      <c r="A11" s="19" t="s">
        <v>1468</v>
      </c>
    </row>
    <row r="12" spans="1:13">
      <c r="A12" s="236"/>
    </row>
    <row r="13" spans="1:13">
      <c r="A13" s="51" t="s">
        <v>1894</v>
      </c>
    </row>
    <row r="14" spans="1:13">
      <c r="A14" s="51" t="s">
        <v>1477</v>
      </c>
    </row>
    <row r="15" spans="1:13">
      <c r="A15" s="51" t="s">
        <v>1469</v>
      </c>
    </row>
    <row r="16" spans="1:13">
      <c r="A16" s="51" t="s">
        <v>1813</v>
      </c>
    </row>
    <row r="18" spans="1:2">
      <c r="A18" s="51" t="s">
        <v>3717</v>
      </c>
    </row>
    <row r="19" spans="1:2">
      <c r="A19" s="51"/>
    </row>
    <row r="20" spans="1:2">
      <c r="A20" s="51" t="s">
        <v>3718</v>
      </c>
    </row>
    <row r="21" spans="1:2">
      <c r="A21" s="51" t="s">
        <v>1898</v>
      </c>
    </row>
    <row r="22" spans="1:2">
      <c r="A22" s="51" t="s">
        <v>1470</v>
      </c>
    </row>
    <row r="23" spans="1:2">
      <c r="A23" s="51" t="s">
        <v>1895</v>
      </c>
    </row>
    <row r="24" spans="1:2">
      <c r="A24" s="51" t="s">
        <v>1471</v>
      </c>
    </row>
    <row r="25" spans="1:2">
      <c r="A25" s="51" t="s">
        <v>1472</v>
      </c>
    </row>
    <row r="26" spans="1:2">
      <c r="A26" s="51"/>
    </row>
    <row r="27" spans="1:2">
      <c r="A27" s="51"/>
    </row>
    <row r="28" spans="1:2">
      <c r="B28" s="51"/>
    </row>
    <row r="29" spans="1:2">
      <c r="B29" s="51"/>
    </row>
    <row r="30" spans="1:2">
      <c r="B30" s="51"/>
    </row>
    <row r="32" spans="1:2">
      <c r="A32" s="236" t="s">
        <v>1896</v>
      </c>
    </row>
    <row r="33" spans="1:11">
      <c r="A33" s="51" t="s">
        <v>1473</v>
      </c>
    </row>
    <row r="35" spans="1:11">
      <c r="A35" s="51" t="s">
        <v>1897</v>
      </c>
    </row>
    <row r="36" spans="1:11">
      <c r="A36" s="51" t="s">
        <v>3719</v>
      </c>
    </row>
    <row r="37" spans="1:11">
      <c r="A37" s="51"/>
    </row>
    <row r="38" spans="1:11">
      <c r="A38" s="51" t="s">
        <v>3716</v>
      </c>
    </row>
    <row r="46" spans="1:11" ht="15.75">
      <c r="A46" s="1562" t="s">
        <v>3448</v>
      </c>
      <c r="B46" s="1563"/>
      <c r="C46" s="1563"/>
      <c r="D46" s="1563"/>
      <c r="E46" s="1563"/>
      <c r="F46" s="1563"/>
      <c r="G46" s="1563"/>
      <c r="H46" s="1563"/>
      <c r="I46" s="1563"/>
      <c r="J46" s="1563"/>
      <c r="K46" s="1563"/>
    </row>
  </sheetData>
  <customSheetViews>
    <customSheetView guid="{FC3B3501-CA52-40D7-B049-0E027A15B235}" scale="110" fitToPage="1">
      <selection activeCell="N15" sqref="N15"/>
      <pageMargins left="0.25" right="0.25" top="0.75" bottom="0.75" header="0.3" footer="0.3"/>
      <pageSetup scale="94" orientation="portrait" r:id="rId1"/>
    </customSheetView>
  </customSheetViews>
  <mergeCells count="5">
    <mergeCell ref="A46:K46"/>
    <mergeCell ref="A5:K5"/>
    <mergeCell ref="A1:K1"/>
    <mergeCell ref="A2:K2"/>
    <mergeCell ref="A3:K3"/>
  </mergeCells>
  <pageMargins left="0.25" right="0.25" top="0.75" bottom="0.75" header="0.3" footer="0.3"/>
  <pageSetup scale="94"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K58"/>
  <sheetViews>
    <sheetView topLeftCell="A22" workbookViewId="0">
      <selection activeCell="H57" sqref="H57"/>
    </sheetView>
  </sheetViews>
  <sheetFormatPr defaultRowHeight="12.75"/>
  <sheetData>
    <row r="1" spans="1:11" ht="18">
      <c r="A1" s="1533" t="str">
        <f>'NOTES TO FIN ST (35A)'!A1:K1</f>
        <v>TOWN OF BROADUS</v>
      </c>
      <c r="B1" s="1533"/>
      <c r="C1" s="1533"/>
      <c r="D1" s="1533"/>
      <c r="E1" s="1533"/>
      <c r="F1" s="1533"/>
      <c r="G1" s="1533"/>
      <c r="H1" s="1533"/>
      <c r="I1" s="1533"/>
      <c r="J1" s="1533"/>
      <c r="K1" s="1533"/>
    </row>
    <row r="2" spans="1:11" ht="18">
      <c r="A2" s="1533" t="s">
        <v>1319</v>
      </c>
      <c r="B2" s="1533"/>
      <c r="C2" s="1533"/>
      <c r="D2" s="1533"/>
      <c r="E2" s="1533"/>
      <c r="F2" s="1533"/>
      <c r="G2" s="1533"/>
      <c r="H2" s="1533"/>
      <c r="I2" s="1533"/>
      <c r="J2" s="1533"/>
      <c r="K2" s="1533"/>
    </row>
    <row r="3" spans="1:11" ht="18">
      <c r="A3" s="1535" t="str">
        <f>'NOTES TO FIN ST (35A)'!A3:K3</f>
        <v>FISCAL YEAR ENDING JUNE 30, 2017</v>
      </c>
      <c r="B3" s="1535"/>
      <c r="C3" s="1535"/>
      <c r="D3" s="1535"/>
      <c r="E3" s="1535"/>
      <c r="F3" s="1535"/>
      <c r="G3" s="1535"/>
      <c r="H3" s="1535"/>
      <c r="I3" s="1535"/>
      <c r="J3" s="1535"/>
      <c r="K3" s="1535"/>
    </row>
    <row r="5" spans="1:11">
      <c r="A5" s="1433" t="s">
        <v>1478</v>
      </c>
      <c r="B5" s="1433"/>
      <c r="C5" s="1433"/>
      <c r="D5" s="1433"/>
      <c r="E5" s="1433"/>
      <c r="F5" s="1433"/>
      <c r="G5" s="1433"/>
      <c r="H5" s="1433"/>
      <c r="I5" s="1433"/>
      <c r="J5" s="1433"/>
      <c r="K5" s="1433"/>
    </row>
    <row r="6" spans="1:11">
      <c r="A6" s="530"/>
      <c r="B6" s="530" t="s">
        <v>1742</v>
      </c>
      <c r="C6" s="784"/>
      <c r="D6" s="784"/>
      <c r="E6" s="784"/>
      <c r="F6" s="784"/>
      <c r="G6" s="784"/>
      <c r="H6" s="784"/>
      <c r="I6" s="784"/>
      <c r="J6" s="784"/>
      <c r="K6" s="784"/>
    </row>
    <row r="7" spans="1:11">
      <c r="A7" s="51"/>
      <c r="B7" s="787" t="s">
        <v>1743</v>
      </c>
      <c r="C7" s="784"/>
      <c r="D7" s="784"/>
      <c r="E7" s="784"/>
      <c r="F7" s="784"/>
      <c r="G7" s="784"/>
      <c r="H7" s="784"/>
      <c r="I7" s="784"/>
      <c r="J7" s="784"/>
      <c r="K7" s="784"/>
    </row>
    <row r="8" spans="1:11">
      <c r="A8" s="51"/>
      <c r="B8" s="787" t="s">
        <v>1497</v>
      </c>
      <c r="C8" s="784"/>
      <c r="D8" s="784"/>
      <c r="E8" s="784"/>
      <c r="F8" s="784"/>
      <c r="G8" s="784"/>
      <c r="H8" s="784"/>
      <c r="I8" s="784"/>
      <c r="J8" s="784"/>
      <c r="K8" s="784"/>
    </row>
    <row r="9" spans="1:11">
      <c r="A9" s="51"/>
      <c r="B9" s="787" t="s">
        <v>1480</v>
      </c>
      <c r="C9" s="784"/>
      <c r="D9" s="784"/>
      <c r="E9" s="784"/>
      <c r="F9" s="784"/>
      <c r="G9" s="784"/>
      <c r="H9" s="784"/>
      <c r="I9" s="784"/>
      <c r="J9" s="784"/>
      <c r="K9" s="784"/>
    </row>
    <row r="10" spans="1:11">
      <c r="A10" s="51"/>
      <c r="B10" s="787"/>
      <c r="C10" s="784"/>
      <c r="D10" s="784"/>
      <c r="E10" s="784"/>
      <c r="F10" s="579" t="s">
        <v>1737</v>
      </c>
      <c r="G10" s="784"/>
      <c r="H10" s="784"/>
      <c r="I10" s="784"/>
      <c r="J10" s="784"/>
      <c r="K10" s="784"/>
    </row>
    <row r="11" spans="1:11">
      <c r="A11" s="51"/>
      <c r="B11" s="787" t="s">
        <v>1738</v>
      </c>
      <c r="C11" s="784"/>
      <c r="D11" s="784"/>
      <c r="E11" s="784"/>
      <c r="F11" s="784"/>
      <c r="G11" s="784"/>
      <c r="H11" s="784"/>
      <c r="I11" s="784"/>
      <c r="J11" s="784"/>
      <c r="K11" s="784"/>
    </row>
    <row r="12" spans="1:11">
      <c r="A12" s="51"/>
      <c r="B12" s="787" t="s">
        <v>1739</v>
      </c>
      <c r="C12" s="784"/>
      <c r="D12" s="784"/>
      <c r="E12" s="784"/>
      <c r="F12" s="784"/>
      <c r="G12" s="784"/>
      <c r="H12" s="784"/>
      <c r="I12" s="784"/>
      <c r="J12" s="784"/>
      <c r="K12" s="784"/>
    </row>
    <row r="13" spans="1:11">
      <c r="A13" s="51"/>
      <c r="B13" s="787" t="s">
        <v>1740</v>
      </c>
      <c r="C13" s="784"/>
      <c r="D13" s="784"/>
      <c r="E13" s="784"/>
      <c r="F13" s="784"/>
      <c r="G13" s="784"/>
      <c r="H13" s="784"/>
      <c r="I13" s="784"/>
      <c r="J13" s="784"/>
      <c r="K13" s="784"/>
    </row>
    <row r="14" spans="1:11">
      <c r="A14" s="51"/>
      <c r="B14" s="787" t="s">
        <v>1741</v>
      </c>
      <c r="C14" s="784"/>
      <c r="D14" s="784"/>
      <c r="E14" s="784"/>
      <c r="F14" s="784"/>
      <c r="G14" s="784"/>
      <c r="H14" s="784"/>
      <c r="I14" s="784"/>
      <c r="J14" s="784"/>
      <c r="K14" s="784"/>
    </row>
    <row r="16" spans="1:11">
      <c r="B16" s="525" t="s">
        <v>1481</v>
      </c>
      <c r="C16" s="43"/>
      <c r="D16" s="43"/>
      <c r="E16" s="43"/>
      <c r="F16" s="43"/>
      <c r="G16" s="43"/>
      <c r="H16" s="43"/>
      <c r="I16" s="43"/>
      <c r="J16" s="256"/>
      <c r="K16" s="784"/>
    </row>
    <row r="17" spans="2:10">
      <c r="B17" s="240" t="s">
        <v>1482</v>
      </c>
      <c r="C17" s="784"/>
      <c r="D17" s="784"/>
      <c r="E17" s="784"/>
      <c r="F17" s="784"/>
      <c r="G17" s="784"/>
      <c r="H17" s="786"/>
      <c r="I17" s="786"/>
      <c r="J17" s="119"/>
    </row>
    <row r="18" spans="2:10">
      <c r="B18" s="240" t="s">
        <v>1744</v>
      </c>
      <c r="C18" s="784"/>
      <c r="D18" s="784"/>
      <c r="E18" s="784"/>
      <c r="F18" s="784"/>
      <c r="G18" s="784"/>
      <c r="H18" s="34"/>
      <c r="I18" s="34"/>
      <c r="J18" s="119"/>
    </row>
    <row r="19" spans="2:10">
      <c r="B19" s="240" t="s">
        <v>1483</v>
      </c>
      <c r="C19" s="784"/>
      <c r="D19" s="784"/>
      <c r="E19" s="784"/>
      <c r="F19" s="784"/>
      <c r="G19" s="784"/>
      <c r="H19" s="34"/>
      <c r="I19" s="34"/>
      <c r="J19" s="119"/>
    </row>
    <row r="20" spans="2:10">
      <c r="B20" s="240" t="s">
        <v>1484</v>
      </c>
      <c r="C20" s="784"/>
      <c r="D20" s="784"/>
      <c r="E20" s="784"/>
      <c r="F20" s="784"/>
      <c r="G20" s="784"/>
      <c r="H20" s="34"/>
      <c r="I20" s="34"/>
      <c r="J20" s="119"/>
    </row>
    <row r="21" spans="2:10">
      <c r="B21" s="240" t="s">
        <v>1485</v>
      </c>
      <c r="C21" s="784"/>
      <c r="D21" s="784"/>
      <c r="E21" s="784"/>
      <c r="F21" s="784"/>
      <c r="G21" s="784"/>
      <c r="H21" s="34"/>
      <c r="I21" s="34"/>
      <c r="J21" s="119"/>
    </row>
    <row r="22" spans="2:10">
      <c r="B22" s="255" t="s">
        <v>1481</v>
      </c>
      <c r="C22" s="786"/>
      <c r="D22" s="786"/>
      <c r="E22" s="786"/>
      <c r="F22" s="786"/>
      <c r="G22" s="786"/>
      <c r="H22" s="786"/>
      <c r="I22" s="786"/>
      <c r="J22" s="45"/>
    </row>
    <row r="24" spans="2:10">
      <c r="B24" s="926" t="s">
        <v>2691</v>
      </c>
      <c r="C24" s="927"/>
      <c r="D24" s="922"/>
      <c r="E24" s="922"/>
      <c r="F24" s="922"/>
      <c r="G24" s="922"/>
      <c r="H24" s="922"/>
      <c r="I24" s="922"/>
      <c r="J24" s="924"/>
    </row>
    <row r="25" spans="2:10">
      <c r="B25" s="928" t="s">
        <v>2692</v>
      </c>
      <c r="C25" s="919"/>
      <c r="D25" s="919"/>
      <c r="E25" s="919"/>
      <c r="F25" s="919"/>
      <c r="G25" s="919"/>
      <c r="H25" s="919"/>
      <c r="I25" s="919"/>
      <c r="J25" s="925"/>
    </row>
    <row r="26" spans="2:10">
      <c r="B26" s="929" t="s">
        <v>2693</v>
      </c>
      <c r="C26" s="919"/>
      <c r="D26" s="919"/>
      <c r="E26" s="919"/>
      <c r="F26" s="919"/>
      <c r="G26" s="919"/>
      <c r="H26" s="920"/>
      <c r="I26" s="920"/>
      <c r="J26" s="925"/>
    </row>
    <row r="27" spans="2:10">
      <c r="B27" s="929" t="s">
        <v>1486</v>
      </c>
      <c r="C27" s="919"/>
      <c r="D27" s="919"/>
      <c r="E27" s="919"/>
      <c r="F27" s="919"/>
      <c r="G27" s="919"/>
      <c r="H27" s="921"/>
      <c r="I27" s="921"/>
      <c r="J27" s="925"/>
    </row>
    <row r="28" spans="2:10">
      <c r="B28" s="929" t="s">
        <v>1487</v>
      </c>
      <c r="C28" s="919"/>
      <c r="D28" s="919"/>
      <c r="E28" s="919"/>
      <c r="F28" s="919"/>
      <c r="G28" s="919"/>
      <c r="H28" s="921"/>
      <c r="I28" s="921"/>
      <c r="J28" s="925"/>
    </row>
    <row r="29" spans="2:10">
      <c r="B29" s="929" t="s">
        <v>1488</v>
      </c>
      <c r="C29" s="919"/>
      <c r="D29" s="919"/>
      <c r="E29" s="919"/>
      <c r="F29" s="919"/>
      <c r="G29" s="919"/>
      <c r="H29" s="921"/>
      <c r="I29" s="921"/>
      <c r="J29" s="925"/>
    </row>
    <row r="30" spans="2:10">
      <c r="B30" s="930" t="s">
        <v>2694</v>
      </c>
      <c r="C30" s="920"/>
      <c r="D30" s="920"/>
      <c r="E30" s="920"/>
      <c r="F30" s="920"/>
      <c r="G30" s="920"/>
      <c r="H30" s="920"/>
      <c r="I30" s="920"/>
      <c r="J30" s="923"/>
    </row>
    <row r="31" spans="2:10">
      <c r="B31" s="526"/>
      <c r="C31" s="29"/>
      <c r="D31" s="29"/>
      <c r="E31" s="29"/>
      <c r="F31" s="29"/>
      <c r="G31" s="29"/>
      <c r="H31" s="29"/>
      <c r="I31" s="29"/>
      <c r="J31" s="29"/>
    </row>
    <row r="33" spans="1:10">
      <c r="B33" s="525" t="s">
        <v>1489</v>
      </c>
      <c r="C33" s="43"/>
      <c r="D33" s="43"/>
      <c r="E33" s="43"/>
      <c r="F33" s="43"/>
      <c r="G33" s="43"/>
      <c r="H33" s="43"/>
      <c r="I33" s="43"/>
      <c r="J33" s="256"/>
    </row>
    <row r="34" spans="1:10">
      <c r="B34" s="240" t="s">
        <v>1490</v>
      </c>
      <c r="C34" s="784"/>
      <c r="D34" s="784"/>
      <c r="E34" s="784"/>
      <c r="F34" s="784"/>
      <c r="G34" s="784"/>
      <c r="H34" s="786"/>
      <c r="I34" s="786"/>
      <c r="J34" s="119"/>
    </row>
    <row r="35" spans="1:10">
      <c r="B35" s="527" t="s">
        <v>1491</v>
      </c>
      <c r="C35" s="784"/>
      <c r="D35" s="784"/>
      <c r="E35" s="784"/>
      <c r="F35" s="784"/>
      <c r="G35" s="784"/>
      <c r="H35" s="34">
        <v>0</v>
      </c>
      <c r="I35" s="34"/>
      <c r="J35" s="119"/>
    </row>
    <row r="36" spans="1:10">
      <c r="B36" s="527" t="s">
        <v>1492</v>
      </c>
      <c r="C36" s="784"/>
      <c r="D36" s="784"/>
      <c r="E36" s="784"/>
      <c r="F36" s="784"/>
      <c r="G36" s="784"/>
      <c r="H36" s="34"/>
      <c r="I36" s="34"/>
      <c r="J36" s="119"/>
    </row>
    <row r="37" spans="1:10">
      <c r="B37" s="527" t="s">
        <v>1493</v>
      </c>
      <c r="C37" s="784"/>
      <c r="D37" s="784"/>
      <c r="E37" s="784"/>
      <c r="F37" s="784"/>
      <c r="G37" s="784"/>
      <c r="H37" s="34"/>
      <c r="I37" s="34"/>
      <c r="J37" s="119"/>
    </row>
    <row r="38" spans="1:10">
      <c r="B38" s="527" t="s">
        <v>1494</v>
      </c>
      <c r="C38" s="784"/>
      <c r="D38" s="784"/>
      <c r="E38" s="784"/>
      <c r="F38" s="784"/>
      <c r="G38" s="784"/>
      <c r="H38" s="34"/>
      <c r="I38" s="34"/>
      <c r="J38" s="119"/>
    </row>
    <row r="39" spans="1:10">
      <c r="B39" s="527" t="s">
        <v>1495</v>
      </c>
      <c r="C39" s="784"/>
      <c r="D39" s="784"/>
      <c r="E39" s="784"/>
      <c r="F39" s="784"/>
      <c r="G39" s="784"/>
      <c r="H39" s="34"/>
      <c r="I39" s="34"/>
      <c r="J39" s="119"/>
    </row>
    <row r="40" spans="1:10">
      <c r="B40" s="528" t="s">
        <v>1496</v>
      </c>
      <c r="C40" s="786"/>
      <c r="D40" s="786"/>
      <c r="E40" s="786"/>
      <c r="F40" s="786"/>
      <c r="G40" s="786"/>
      <c r="H40" s="786"/>
      <c r="I40" s="786"/>
      <c r="J40" s="45"/>
    </row>
    <row r="42" spans="1:10">
      <c r="A42" s="529"/>
      <c r="B42" s="529" t="s">
        <v>1498</v>
      </c>
      <c r="C42" s="784"/>
      <c r="D42" s="784"/>
      <c r="E42" s="784"/>
      <c r="F42" s="784"/>
      <c r="G42" s="784"/>
      <c r="H42" s="784"/>
      <c r="I42" s="784"/>
      <c r="J42" s="784"/>
    </row>
    <row r="43" spans="1:10">
      <c r="A43" s="51"/>
      <c r="B43" s="787" t="s">
        <v>1499</v>
      </c>
      <c r="C43" s="784"/>
      <c r="D43" s="784"/>
      <c r="E43" s="784"/>
      <c r="F43" s="784"/>
      <c r="G43" s="784"/>
      <c r="H43" s="784"/>
      <c r="I43" s="784"/>
      <c r="J43" s="784"/>
    </row>
    <row r="44" spans="1:10">
      <c r="A44" s="51"/>
      <c r="B44" s="787" t="s">
        <v>1500</v>
      </c>
      <c r="C44" s="784"/>
      <c r="D44" s="784"/>
      <c r="E44" s="784"/>
      <c r="F44" s="784"/>
      <c r="G44" s="784"/>
      <c r="H44" s="784"/>
      <c r="I44" s="784"/>
      <c r="J44" s="784"/>
    </row>
    <row r="45" spans="1:10">
      <c r="A45" s="526"/>
      <c r="B45" s="526" t="s">
        <v>1501</v>
      </c>
      <c r="C45" s="784"/>
      <c r="D45" s="784"/>
      <c r="E45" s="784"/>
      <c r="F45" s="784"/>
      <c r="G45" s="784"/>
      <c r="H45" s="784"/>
      <c r="I45" s="784"/>
      <c r="J45" s="784"/>
    </row>
    <row r="46" spans="1:10">
      <c r="A46" s="526"/>
      <c r="B46" s="526" t="s">
        <v>1502</v>
      </c>
      <c r="C46" s="784"/>
      <c r="D46" s="784"/>
      <c r="E46" s="784"/>
      <c r="F46" s="784"/>
      <c r="G46" s="784"/>
      <c r="H46" s="784"/>
      <c r="I46" s="784"/>
      <c r="J46" s="784"/>
    </row>
    <row r="47" spans="1:10">
      <c r="A47" s="526"/>
      <c r="B47" s="526" t="s">
        <v>1503</v>
      </c>
      <c r="C47" s="784"/>
      <c r="D47" s="784"/>
      <c r="E47" s="784"/>
      <c r="F47" s="784"/>
      <c r="G47" s="784"/>
      <c r="H47" s="784"/>
      <c r="I47" s="784"/>
      <c r="J47" s="784"/>
    </row>
    <row r="49" spans="1:11">
      <c r="A49" s="51"/>
      <c r="B49" s="787" t="s">
        <v>1504</v>
      </c>
    </row>
    <row r="50" spans="1:11">
      <c r="A50" s="51"/>
      <c r="B50" s="787" t="s">
        <v>1505</v>
      </c>
    </row>
    <row r="51" spans="1:11">
      <c r="A51" s="51"/>
      <c r="B51" s="787" t="s">
        <v>1506</v>
      </c>
    </row>
    <row r="52" spans="1:11">
      <c r="A52" s="51"/>
      <c r="B52" s="787" t="s">
        <v>1507</v>
      </c>
    </row>
    <row r="53" spans="1:11">
      <c r="A53" s="51"/>
      <c r="B53" s="787" t="s">
        <v>1508</v>
      </c>
    </row>
    <row r="55" spans="1:11">
      <c r="B55" s="1314" t="s">
        <v>3720</v>
      </c>
    </row>
    <row r="58" spans="1:11" ht="15.75">
      <c r="A58" s="1562" t="s">
        <v>3450</v>
      </c>
      <c r="B58" s="1563"/>
      <c r="C58" s="1563"/>
      <c r="D58" s="1563"/>
      <c r="E58" s="1563"/>
      <c r="F58" s="1563"/>
      <c r="G58" s="1563"/>
      <c r="H58" s="1563"/>
      <c r="I58" s="1563"/>
      <c r="J58" s="1563"/>
      <c r="K58" s="1563"/>
    </row>
  </sheetData>
  <customSheetViews>
    <customSheetView guid="{FC3B3501-CA52-40D7-B049-0E027A15B235}" fitToPage="1">
      <selection activeCell="P27" sqref="P27"/>
      <pageMargins left="0.25" right="0.25" top="0.75" bottom="0.75" header="0.3" footer="0.3"/>
      <pageSetup scale="92" orientation="portrait" r:id="rId1"/>
    </customSheetView>
  </customSheetViews>
  <mergeCells count="5">
    <mergeCell ref="A1:K1"/>
    <mergeCell ref="A2:K2"/>
    <mergeCell ref="A3:K3"/>
    <mergeCell ref="A5:K5"/>
    <mergeCell ref="A58:K58"/>
  </mergeCells>
  <pageMargins left="0.25" right="0.25" top="0.75" bottom="0.75" header="0.3" footer="0.3"/>
  <pageSetup scale="92"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K54"/>
  <sheetViews>
    <sheetView zoomScaleNormal="100" workbookViewId="0">
      <selection activeCell="A55" sqref="A55"/>
    </sheetView>
  </sheetViews>
  <sheetFormatPr defaultRowHeight="12.75"/>
  <sheetData>
    <row r="1" spans="1:11" ht="18">
      <c r="A1" s="1533" t="str">
        <f>'NOTES TO FIN ST (35B)'!A1:K1</f>
        <v>TOWN OF BROADUS</v>
      </c>
      <c r="B1" s="1533"/>
      <c r="C1" s="1533"/>
      <c r="D1" s="1533"/>
      <c r="E1" s="1533"/>
      <c r="F1" s="1533"/>
      <c r="G1" s="1533"/>
      <c r="H1" s="1533"/>
      <c r="I1" s="1533"/>
      <c r="J1" s="1533"/>
      <c r="K1" s="1533"/>
    </row>
    <row r="2" spans="1:11" ht="18">
      <c r="A2" s="1533" t="s">
        <v>1319</v>
      </c>
      <c r="B2" s="1533"/>
      <c r="C2" s="1533"/>
      <c r="D2" s="1533"/>
      <c r="E2" s="1533"/>
      <c r="F2" s="1533"/>
      <c r="G2" s="1533"/>
      <c r="H2" s="1533"/>
      <c r="I2" s="1533"/>
      <c r="J2" s="1533"/>
      <c r="K2" s="1533"/>
    </row>
    <row r="3" spans="1:11" ht="18">
      <c r="A3" s="1535" t="str">
        <f>'NOTES TO FIN ST (35B)'!A3:K3</f>
        <v>FISCAL YEAR ENDING JUNE 30, 2017</v>
      </c>
      <c r="B3" s="1535"/>
      <c r="C3" s="1535"/>
      <c r="D3" s="1535"/>
      <c r="E3" s="1535"/>
      <c r="F3" s="1535"/>
      <c r="G3" s="1535"/>
      <c r="H3" s="1535"/>
      <c r="I3" s="1535"/>
      <c r="J3" s="1535"/>
      <c r="K3" s="1535"/>
    </row>
    <row r="5" spans="1:11">
      <c r="A5" s="1433" t="s">
        <v>1478</v>
      </c>
      <c r="B5" s="1433"/>
      <c r="C5" s="1433"/>
      <c r="D5" s="1433"/>
      <c r="E5" s="1433"/>
      <c r="F5" s="1433"/>
      <c r="G5" s="1433"/>
      <c r="H5" s="1433"/>
      <c r="I5" s="1433"/>
      <c r="J5" s="1433"/>
      <c r="K5" s="1433"/>
    </row>
    <row r="7" spans="1:11">
      <c r="A7" s="51" t="s">
        <v>1509</v>
      </c>
    </row>
    <row r="9" spans="1:11">
      <c r="A9" s="257"/>
      <c r="B9" s="51" t="s">
        <v>1510</v>
      </c>
      <c r="H9" s="32"/>
      <c r="I9" s="32"/>
    </row>
    <row r="10" spans="1:11">
      <c r="B10" s="51" t="s">
        <v>1511</v>
      </c>
    </row>
    <row r="11" spans="1:11">
      <c r="B11" s="51" t="s">
        <v>1512</v>
      </c>
      <c r="H11" s="32"/>
      <c r="I11" s="32"/>
    </row>
    <row r="12" spans="1:11">
      <c r="B12" s="51" t="s">
        <v>1513</v>
      </c>
      <c r="H12" s="34"/>
      <c r="I12" s="34"/>
    </row>
    <row r="13" spans="1:11">
      <c r="B13" s="51" t="s">
        <v>1514</v>
      </c>
      <c r="H13" s="34"/>
      <c r="I13" s="34"/>
    </row>
    <row r="14" spans="1:11">
      <c r="B14" s="51" t="s">
        <v>1515</v>
      </c>
      <c r="H14" s="34"/>
      <c r="I14" s="34"/>
    </row>
    <row r="15" spans="1:11">
      <c r="A15" s="257" t="s">
        <v>1465</v>
      </c>
      <c r="B15" s="51" t="s">
        <v>1516</v>
      </c>
      <c r="H15" s="34"/>
      <c r="I15" s="34"/>
    </row>
    <row r="16" spans="1:11">
      <c r="A16" s="257" t="s">
        <v>1465</v>
      </c>
      <c r="B16" s="51" t="s">
        <v>1517</v>
      </c>
      <c r="H16" s="34"/>
      <c r="I16" s="34"/>
    </row>
    <row r="17" spans="1:9">
      <c r="B17" s="51" t="s">
        <v>1518</v>
      </c>
    </row>
    <row r="18" spans="1:9">
      <c r="B18" s="51" t="s">
        <v>1519</v>
      </c>
      <c r="H18" s="32"/>
      <c r="I18" s="32"/>
    </row>
    <row r="19" spans="1:9">
      <c r="B19" s="51" t="s">
        <v>1520</v>
      </c>
    </row>
    <row r="20" spans="1:9">
      <c r="B20" s="51" t="s">
        <v>1521</v>
      </c>
      <c r="H20" s="32"/>
      <c r="I20" s="32"/>
    </row>
    <row r="21" spans="1:9">
      <c r="B21" s="51" t="s">
        <v>1522</v>
      </c>
      <c r="H21" s="34"/>
      <c r="I21" s="34"/>
    </row>
    <row r="23" spans="1:9">
      <c r="A23" s="51" t="s">
        <v>1523</v>
      </c>
    </row>
    <row r="24" spans="1:9">
      <c r="A24" s="51" t="s">
        <v>1524</v>
      </c>
    </row>
    <row r="25" spans="1:9">
      <c r="A25" s="51" t="s">
        <v>1525</v>
      </c>
    </row>
    <row r="27" spans="1:9">
      <c r="A27" s="530" t="s">
        <v>1526</v>
      </c>
    </row>
    <row r="28" spans="1:9">
      <c r="A28" s="530" t="s">
        <v>1527</v>
      </c>
    </row>
    <row r="30" spans="1:9">
      <c r="A30" s="51"/>
    </row>
    <row r="32" spans="1:9">
      <c r="A32" s="51"/>
    </row>
    <row r="33" spans="1:1">
      <c r="A33" s="51"/>
    </row>
    <row r="35" spans="1:1">
      <c r="A35" s="51"/>
    </row>
    <row r="37" spans="1:1">
      <c r="A37" s="51"/>
    </row>
    <row r="39" spans="1:1">
      <c r="A39" s="51"/>
    </row>
    <row r="41" spans="1:1">
      <c r="A41" s="51"/>
    </row>
    <row r="43" spans="1:1">
      <c r="A43" s="51"/>
    </row>
    <row r="45" spans="1:1">
      <c r="A45" s="51"/>
    </row>
    <row r="47" spans="1:1">
      <c r="A47" s="51"/>
    </row>
    <row r="54" spans="1:11" ht="15.75">
      <c r="A54" s="1562" t="s">
        <v>3449</v>
      </c>
      <c r="B54" s="1563"/>
      <c r="C54" s="1563"/>
      <c r="D54" s="1563"/>
      <c r="E54" s="1563"/>
      <c r="F54" s="1563"/>
      <c r="G54" s="1563"/>
      <c r="H54" s="1563"/>
      <c r="I54" s="1563"/>
      <c r="J54" s="1563"/>
      <c r="K54" s="1563"/>
    </row>
  </sheetData>
  <customSheetViews>
    <customSheetView guid="{FC3B3501-CA52-40D7-B049-0E027A15B235}" fitToPage="1">
      <selection activeCell="M51" sqref="M51"/>
      <pageMargins left="0.25" right="0.25" top="0.75" bottom="0.75" header="0.3" footer="0.3"/>
      <pageSetup scale="99" orientation="portrait" r:id="rId1"/>
    </customSheetView>
  </customSheetViews>
  <mergeCells count="5">
    <mergeCell ref="A1:K1"/>
    <mergeCell ref="A2:K2"/>
    <mergeCell ref="A3:K3"/>
    <mergeCell ref="A5:K5"/>
    <mergeCell ref="A54:K54"/>
  </mergeCells>
  <pageMargins left="0.25" right="0.25" top="0.75" bottom="0.75" header="0.3" footer="0.3"/>
  <pageSetup scale="9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K54"/>
  <sheetViews>
    <sheetView zoomScaleNormal="100" workbookViewId="0">
      <selection activeCell="A14" sqref="A14"/>
    </sheetView>
  </sheetViews>
  <sheetFormatPr defaultRowHeight="12.75"/>
  <cols>
    <col min="1" max="16384" width="9.140625" style="784"/>
  </cols>
  <sheetData>
    <row r="1" spans="1:11" ht="18">
      <c r="A1" s="1533" t="str">
        <f>'NOTES TO FIN ST (35C)'!A1:K1</f>
        <v>TOWN OF BROADUS</v>
      </c>
      <c r="B1" s="1533"/>
      <c r="C1" s="1533"/>
      <c r="D1" s="1533"/>
      <c r="E1" s="1533"/>
      <c r="F1" s="1533"/>
      <c r="G1" s="1533"/>
      <c r="H1" s="1533"/>
      <c r="I1" s="1533"/>
      <c r="J1" s="1533"/>
      <c r="K1" s="1533"/>
    </row>
    <row r="2" spans="1:11" ht="18">
      <c r="A2" s="1533" t="s">
        <v>1319</v>
      </c>
      <c r="B2" s="1533"/>
      <c r="C2" s="1533"/>
      <c r="D2" s="1533"/>
      <c r="E2" s="1533"/>
      <c r="F2" s="1533"/>
      <c r="G2" s="1533"/>
      <c r="H2" s="1533"/>
      <c r="I2" s="1533"/>
      <c r="J2" s="1533"/>
      <c r="K2" s="1533"/>
    </row>
    <row r="3" spans="1:11" ht="18">
      <c r="A3" s="1535" t="str">
        <f>'NOTES TO FIN ST (35C)'!A3:K3</f>
        <v>FISCAL YEAR ENDING JUNE 30, 2017</v>
      </c>
      <c r="B3" s="1535"/>
      <c r="C3" s="1535"/>
      <c r="D3" s="1535"/>
      <c r="E3" s="1535"/>
      <c r="F3" s="1535"/>
      <c r="G3" s="1535"/>
      <c r="H3" s="1535"/>
      <c r="I3" s="1535"/>
      <c r="J3" s="1535"/>
      <c r="K3" s="1535"/>
    </row>
    <row r="5" spans="1:11" ht="15.75">
      <c r="A5" s="1563" t="s">
        <v>3046</v>
      </c>
      <c r="B5" s="1563"/>
      <c r="C5" s="1563"/>
      <c r="D5" s="1563"/>
      <c r="E5" s="1563"/>
      <c r="F5" s="1563"/>
      <c r="G5" s="1563"/>
      <c r="H5" s="1563"/>
      <c r="I5" s="1563"/>
      <c r="J5" s="1563"/>
      <c r="K5" s="1563"/>
    </row>
    <row r="6" spans="1:11" ht="15.75">
      <c r="A6" s="1563" t="s">
        <v>3049</v>
      </c>
      <c r="B6" s="1563"/>
      <c r="C6" s="1563"/>
      <c r="D6" s="1563"/>
      <c r="E6" s="1563"/>
      <c r="F6" s="1563"/>
      <c r="G6" s="1563"/>
      <c r="H6" s="1563"/>
      <c r="I6" s="1563"/>
      <c r="J6" s="1563"/>
      <c r="K6" s="1563"/>
    </row>
    <row r="7" spans="1:11">
      <c r="A7" s="787"/>
    </row>
    <row r="8" spans="1:11" ht="15">
      <c r="A8" s="805" t="s">
        <v>3223</v>
      </c>
      <c r="H8" s="29"/>
      <c r="I8" s="29"/>
    </row>
    <row r="9" spans="1:11">
      <c r="A9" s="788"/>
      <c r="B9" s="787"/>
      <c r="H9" s="29"/>
      <c r="I9" s="29"/>
    </row>
    <row r="10" spans="1:11" ht="44.25" customHeight="1">
      <c r="A10" s="1564" t="s">
        <v>3487</v>
      </c>
      <c r="B10" s="1564"/>
      <c r="C10" s="1564"/>
      <c r="D10" s="1564"/>
      <c r="E10" s="1564"/>
      <c r="F10" s="1564"/>
      <c r="G10" s="1564"/>
      <c r="H10" s="1564"/>
      <c r="I10" s="1564"/>
      <c r="J10" s="1564"/>
      <c r="K10" s="1564"/>
    </row>
    <row r="11" spans="1:11">
      <c r="B11" s="787"/>
      <c r="H11" s="29"/>
      <c r="I11" s="29"/>
    </row>
    <row r="12" spans="1:11">
      <c r="A12" s="787"/>
      <c r="B12" s="787"/>
      <c r="H12" s="29"/>
      <c r="I12" s="29"/>
    </row>
    <row r="13" spans="1:11">
      <c r="A13" s="787"/>
      <c r="B13" s="787"/>
      <c r="H13" s="29"/>
      <c r="I13" s="29"/>
    </row>
    <row r="14" spans="1:11">
      <c r="A14" s="1315" t="s">
        <v>3707</v>
      </c>
      <c r="B14" s="787"/>
      <c r="H14" s="29"/>
      <c r="I14" s="29"/>
    </row>
    <row r="15" spans="1:11">
      <c r="A15" s="1565"/>
      <c r="B15" s="1565"/>
      <c r="C15" s="1565"/>
      <c r="D15" s="1565"/>
      <c r="E15" s="1565"/>
      <c r="F15" s="1565"/>
      <c r="G15" s="1565"/>
      <c r="H15" s="1565"/>
      <c r="I15" s="1565"/>
      <c r="J15" s="1565"/>
      <c r="K15" s="1565"/>
    </row>
    <row r="16" spans="1:11">
      <c r="A16" s="788"/>
      <c r="B16" s="787"/>
      <c r="H16" s="29"/>
      <c r="I16" s="29"/>
    </row>
    <row r="17" spans="1:9">
      <c r="B17" s="787"/>
      <c r="H17" s="29"/>
      <c r="I17" s="29"/>
    </row>
    <row r="18" spans="1:9">
      <c r="B18" s="787"/>
      <c r="H18" s="29"/>
      <c r="I18" s="29"/>
    </row>
    <row r="19" spans="1:9">
      <c r="B19" s="787"/>
      <c r="H19" s="29"/>
      <c r="I19" s="29"/>
    </row>
    <row r="20" spans="1:9">
      <c r="B20" s="787"/>
      <c r="H20" s="29"/>
      <c r="I20" s="29"/>
    </row>
    <row r="21" spans="1:9">
      <c r="B21" s="787"/>
      <c r="H21" s="29"/>
      <c r="I21" s="29"/>
    </row>
    <row r="22" spans="1:9">
      <c r="H22" s="29"/>
      <c r="I22" s="29"/>
    </row>
    <row r="23" spans="1:9">
      <c r="A23" s="787"/>
      <c r="H23" s="29"/>
      <c r="I23" s="29"/>
    </row>
    <row r="24" spans="1:9">
      <c r="A24" s="787"/>
      <c r="H24" s="29"/>
      <c r="I24" s="29"/>
    </row>
    <row r="25" spans="1:9">
      <c r="A25" s="787"/>
    </row>
    <row r="27" spans="1:9">
      <c r="A27" s="530"/>
    </row>
    <row r="28" spans="1:9">
      <c r="A28" s="530"/>
    </row>
    <row r="30" spans="1:9">
      <c r="A30" s="787"/>
    </row>
    <row r="32" spans="1:9">
      <c r="A32" s="787"/>
    </row>
    <row r="33" spans="1:1">
      <c r="A33" s="787"/>
    </row>
    <row r="35" spans="1:1">
      <c r="A35" s="787"/>
    </row>
    <row r="37" spans="1:1">
      <c r="A37" s="787"/>
    </row>
    <row r="39" spans="1:1">
      <c r="A39" s="787"/>
    </row>
    <row r="41" spans="1:1">
      <c r="A41" s="787"/>
    </row>
    <row r="43" spans="1:1">
      <c r="A43" s="787"/>
    </row>
    <row r="45" spans="1:1">
      <c r="A45" s="787"/>
    </row>
    <row r="47" spans="1:1">
      <c r="A47" s="787"/>
    </row>
    <row r="54" spans="1:11" ht="15.75">
      <c r="A54" s="1562" t="s">
        <v>3187</v>
      </c>
      <c r="B54" s="1563"/>
      <c r="C54" s="1563"/>
      <c r="D54" s="1563"/>
      <c r="E54" s="1563"/>
      <c r="F54" s="1563"/>
      <c r="G54" s="1563"/>
      <c r="H54" s="1563"/>
      <c r="I54" s="1563"/>
      <c r="J54" s="1563"/>
      <c r="K54" s="1563"/>
    </row>
  </sheetData>
  <mergeCells count="8">
    <mergeCell ref="A1:K1"/>
    <mergeCell ref="A2:K2"/>
    <mergeCell ref="A3:K3"/>
    <mergeCell ref="A5:K5"/>
    <mergeCell ref="A54:K54"/>
    <mergeCell ref="A6:K6"/>
    <mergeCell ref="A10:K10"/>
    <mergeCell ref="A15:K15"/>
  </mergeCells>
  <pageMargins left="0.25" right="0.25" top="0.75" bottom="0.75" header="0.3" footer="0.3"/>
  <pageSetup scale="9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K54"/>
  <sheetViews>
    <sheetView zoomScaleNormal="100" workbookViewId="0">
      <selection activeCell="A13" sqref="A13"/>
    </sheetView>
  </sheetViews>
  <sheetFormatPr defaultRowHeight="12.75"/>
  <cols>
    <col min="1" max="16384" width="9.140625" style="784"/>
  </cols>
  <sheetData>
    <row r="1" spans="1:11" ht="18">
      <c r="A1" s="1533" t="str">
        <f>'NOTES TO FIN ST (36)'!A1:K1</f>
        <v>TOWN OF BROADUS</v>
      </c>
      <c r="B1" s="1533"/>
      <c r="C1" s="1533"/>
      <c r="D1" s="1533"/>
      <c r="E1" s="1533"/>
      <c r="F1" s="1533"/>
      <c r="G1" s="1533"/>
      <c r="H1" s="1533"/>
      <c r="I1" s="1533"/>
      <c r="J1" s="1533"/>
      <c r="K1" s="1533"/>
    </row>
    <row r="2" spans="1:11" ht="18">
      <c r="A2" s="1533" t="s">
        <v>1319</v>
      </c>
      <c r="B2" s="1533"/>
      <c r="C2" s="1533"/>
      <c r="D2" s="1533"/>
      <c r="E2" s="1533"/>
      <c r="F2" s="1533"/>
      <c r="G2" s="1533"/>
      <c r="H2" s="1533"/>
      <c r="I2" s="1533"/>
      <c r="J2" s="1533"/>
      <c r="K2" s="1533"/>
    </row>
    <row r="3" spans="1:11" ht="18">
      <c r="A3" s="1535" t="str">
        <f>'NOTES TO FIN ST (36)'!A3:K3</f>
        <v>FISCAL YEAR ENDING JUNE 30, 2017</v>
      </c>
      <c r="B3" s="1535"/>
      <c r="C3" s="1535"/>
      <c r="D3" s="1535"/>
      <c r="E3" s="1535"/>
      <c r="F3" s="1535"/>
      <c r="G3" s="1535"/>
      <c r="H3" s="1535"/>
      <c r="I3" s="1535"/>
      <c r="J3" s="1535"/>
      <c r="K3" s="1535"/>
    </row>
    <row r="5" spans="1:11" ht="15.75">
      <c r="A5" s="1563" t="s">
        <v>3046</v>
      </c>
      <c r="B5" s="1563"/>
      <c r="C5" s="1563"/>
      <c r="D5" s="1563"/>
      <c r="E5" s="1563"/>
      <c r="F5" s="1563"/>
      <c r="G5" s="1563"/>
      <c r="H5" s="1563"/>
      <c r="I5" s="1563"/>
      <c r="J5" s="1563"/>
      <c r="K5" s="1563"/>
    </row>
    <row r="6" spans="1:11" ht="15.75">
      <c r="A6" s="1563" t="s">
        <v>3048</v>
      </c>
      <c r="B6" s="1563"/>
      <c r="C6" s="1563"/>
      <c r="D6" s="1563"/>
      <c r="E6" s="1563"/>
      <c r="F6" s="1563"/>
      <c r="G6" s="1563"/>
      <c r="H6" s="1563"/>
      <c r="I6" s="1563"/>
      <c r="J6" s="1563"/>
      <c r="K6" s="1563"/>
    </row>
    <row r="7" spans="1:11">
      <c r="A7" s="787"/>
    </row>
    <row r="8" spans="1:11" ht="15">
      <c r="A8" s="805" t="s">
        <v>3223</v>
      </c>
      <c r="H8" s="29"/>
      <c r="I8" s="29"/>
    </row>
    <row r="9" spans="1:11">
      <c r="A9" s="788"/>
      <c r="B9" s="787"/>
      <c r="H9" s="29"/>
      <c r="I9" s="29"/>
    </row>
    <row r="10" spans="1:11" ht="41.25" customHeight="1">
      <c r="A10" s="1564" t="s">
        <v>3487</v>
      </c>
      <c r="B10" s="1564"/>
      <c r="C10" s="1564"/>
      <c r="D10" s="1564"/>
      <c r="E10" s="1564"/>
      <c r="F10" s="1564"/>
      <c r="G10" s="1564"/>
      <c r="H10" s="1564"/>
      <c r="I10" s="1564"/>
      <c r="J10" s="1564"/>
      <c r="K10" s="1564"/>
    </row>
    <row r="11" spans="1:11">
      <c r="B11" s="787"/>
      <c r="H11" s="29"/>
      <c r="I11" s="29"/>
    </row>
    <row r="12" spans="1:11">
      <c r="B12" s="787"/>
      <c r="H12" s="29"/>
      <c r="I12" s="29"/>
    </row>
    <row r="13" spans="1:11">
      <c r="A13" s="1315" t="s">
        <v>3707</v>
      </c>
      <c r="B13" s="787"/>
      <c r="H13" s="29"/>
      <c r="I13" s="29"/>
    </row>
    <row r="14" spans="1:11">
      <c r="A14" s="787"/>
      <c r="B14" s="787"/>
      <c r="H14" s="29"/>
      <c r="I14" s="29"/>
    </row>
    <row r="15" spans="1:11">
      <c r="A15" s="787"/>
      <c r="B15" s="787"/>
      <c r="H15" s="29"/>
      <c r="I15" s="29"/>
    </row>
    <row r="16" spans="1:11">
      <c r="A16" s="1565"/>
      <c r="B16" s="1565"/>
      <c r="C16" s="1565"/>
      <c r="D16" s="1565"/>
      <c r="E16" s="1565"/>
      <c r="F16" s="1565"/>
      <c r="G16" s="1565"/>
      <c r="H16" s="1565"/>
      <c r="I16" s="1565"/>
      <c r="J16" s="1565"/>
      <c r="K16" s="1565"/>
    </row>
    <row r="17" spans="1:9">
      <c r="B17" s="787"/>
      <c r="H17" s="29"/>
      <c r="I17" s="29"/>
    </row>
    <row r="18" spans="1:9">
      <c r="B18" s="787"/>
      <c r="H18" s="29"/>
      <c r="I18" s="29"/>
    </row>
    <row r="19" spans="1:9">
      <c r="B19" s="787"/>
      <c r="H19" s="29"/>
      <c r="I19" s="29"/>
    </row>
    <row r="20" spans="1:9">
      <c r="B20" s="787"/>
      <c r="H20" s="29"/>
      <c r="I20" s="29"/>
    </row>
    <row r="21" spans="1:9">
      <c r="B21" s="787"/>
      <c r="H21" s="29"/>
      <c r="I21" s="29"/>
    </row>
    <row r="22" spans="1:9">
      <c r="H22" s="29"/>
      <c r="I22" s="29"/>
    </row>
    <row r="23" spans="1:9">
      <c r="A23" s="787"/>
      <c r="H23" s="29"/>
      <c r="I23" s="29"/>
    </row>
    <row r="24" spans="1:9">
      <c r="A24" s="787"/>
      <c r="H24" s="29"/>
      <c r="I24" s="29"/>
    </row>
    <row r="25" spans="1:9">
      <c r="A25" s="787"/>
    </row>
    <row r="27" spans="1:9">
      <c r="A27" s="530"/>
    </row>
    <row r="28" spans="1:9">
      <c r="A28" s="530"/>
    </row>
    <row r="30" spans="1:9">
      <c r="A30" s="787"/>
    </row>
    <row r="32" spans="1:9">
      <c r="A32" s="787"/>
    </row>
    <row r="33" spans="1:1">
      <c r="A33" s="787"/>
    </row>
    <row r="35" spans="1:1">
      <c r="A35" s="787"/>
    </row>
    <row r="37" spans="1:1">
      <c r="A37" s="787"/>
    </row>
    <row r="39" spans="1:1">
      <c r="A39" s="787"/>
    </row>
    <row r="41" spans="1:1">
      <c r="A41" s="787"/>
    </row>
    <row r="43" spans="1:1">
      <c r="A43" s="787"/>
    </row>
    <row r="45" spans="1:1">
      <c r="A45" s="787"/>
    </row>
    <row r="47" spans="1:1">
      <c r="A47" s="787"/>
    </row>
    <row r="54" spans="1:11" ht="15.75">
      <c r="A54" s="1562" t="s">
        <v>3188</v>
      </c>
      <c r="B54" s="1563"/>
      <c r="C54" s="1563"/>
      <c r="D54" s="1563"/>
      <c r="E54" s="1563"/>
      <c r="F54" s="1563"/>
      <c r="G54" s="1563"/>
      <c r="H54" s="1563"/>
      <c r="I54" s="1563"/>
      <c r="J54" s="1563"/>
      <c r="K54" s="1563"/>
    </row>
  </sheetData>
  <mergeCells count="8">
    <mergeCell ref="A1:K1"/>
    <mergeCell ref="A2:K2"/>
    <mergeCell ref="A3:K3"/>
    <mergeCell ref="A5:K5"/>
    <mergeCell ref="A54:K54"/>
    <mergeCell ref="A6:K6"/>
    <mergeCell ref="A10:K10"/>
    <mergeCell ref="A16:K16"/>
  </mergeCells>
  <pageMargins left="0.25" right="0.25" top="0.75" bottom="0.75" header="0.3" footer="0.3"/>
  <pageSetup scale="9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54"/>
  <sheetViews>
    <sheetView zoomScaleNormal="100" workbookViewId="0">
      <selection activeCell="A11" sqref="A11"/>
    </sheetView>
  </sheetViews>
  <sheetFormatPr defaultRowHeight="12.75"/>
  <cols>
    <col min="1" max="16384" width="9.140625" style="784"/>
  </cols>
  <sheetData>
    <row r="1" spans="1:11" ht="18">
      <c r="A1" s="1533" t="str">
        <f>'NOTES TO FIN ST (37)'!A1:K1</f>
        <v>TOWN OF BROADUS</v>
      </c>
      <c r="B1" s="1533"/>
      <c r="C1" s="1533"/>
      <c r="D1" s="1533"/>
      <c r="E1" s="1533"/>
      <c r="F1" s="1533"/>
      <c r="G1" s="1533"/>
      <c r="H1" s="1533"/>
      <c r="I1" s="1533"/>
      <c r="J1" s="1533"/>
      <c r="K1" s="1533"/>
    </row>
    <row r="2" spans="1:11" ht="18">
      <c r="A2" s="1533" t="s">
        <v>1319</v>
      </c>
      <c r="B2" s="1533"/>
      <c r="C2" s="1533"/>
      <c r="D2" s="1533"/>
      <c r="E2" s="1533"/>
      <c r="F2" s="1533"/>
      <c r="G2" s="1533"/>
      <c r="H2" s="1533"/>
      <c r="I2" s="1533"/>
      <c r="J2" s="1533"/>
      <c r="K2" s="1533"/>
    </row>
    <row r="3" spans="1:11" ht="18">
      <c r="A3" s="1535" t="str">
        <f>'NOTES TO FIN ST (37)'!A3:K3</f>
        <v>FISCAL YEAR ENDING JUNE 30, 2017</v>
      </c>
      <c r="B3" s="1535"/>
      <c r="C3" s="1535"/>
      <c r="D3" s="1535"/>
      <c r="E3" s="1535"/>
      <c r="F3" s="1535"/>
      <c r="G3" s="1535"/>
      <c r="H3" s="1535"/>
      <c r="I3" s="1535"/>
      <c r="J3" s="1535"/>
      <c r="K3" s="1535"/>
    </row>
    <row r="5" spans="1:11" ht="15.75">
      <c r="A5" s="1563" t="s">
        <v>3046</v>
      </c>
      <c r="B5" s="1563"/>
      <c r="C5" s="1563"/>
      <c r="D5" s="1563"/>
      <c r="E5" s="1563"/>
      <c r="F5" s="1563"/>
      <c r="G5" s="1563"/>
      <c r="H5" s="1563"/>
      <c r="I5" s="1563"/>
      <c r="J5" s="1563"/>
      <c r="K5" s="1563"/>
    </row>
    <row r="6" spans="1:11" ht="15.75">
      <c r="A6" s="1563" t="s">
        <v>3047</v>
      </c>
      <c r="B6" s="1563"/>
      <c r="C6" s="1563"/>
      <c r="D6" s="1563"/>
      <c r="E6" s="1563"/>
      <c r="F6" s="1563"/>
      <c r="G6" s="1563"/>
      <c r="H6" s="1563"/>
      <c r="I6" s="1563"/>
      <c r="J6" s="1563"/>
      <c r="K6" s="1563"/>
    </row>
    <row r="7" spans="1:11">
      <c r="A7" s="787"/>
    </row>
    <row r="8" spans="1:11" ht="15">
      <c r="A8" s="805" t="s">
        <v>3223</v>
      </c>
      <c r="H8" s="29"/>
      <c r="I8" s="29"/>
    </row>
    <row r="9" spans="1:11">
      <c r="A9" s="788"/>
      <c r="B9" s="787"/>
      <c r="H9" s="29"/>
      <c r="I9" s="29"/>
    </row>
    <row r="10" spans="1:11" ht="40.5" customHeight="1">
      <c r="A10" s="1564" t="s">
        <v>3488</v>
      </c>
      <c r="B10" s="1564"/>
      <c r="C10" s="1564"/>
      <c r="D10" s="1564"/>
      <c r="E10" s="1564"/>
      <c r="F10" s="1564"/>
      <c r="G10" s="1564"/>
      <c r="H10" s="1564"/>
      <c r="I10" s="1564"/>
      <c r="J10" s="1564"/>
      <c r="K10" s="1564"/>
    </row>
    <row r="11" spans="1:11">
      <c r="A11" s="1315" t="s">
        <v>3707</v>
      </c>
      <c r="B11" s="787"/>
      <c r="H11" s="29"/>
      <c r="I11" s="29"/>
    </row>
    <row r="12" spans="1:11">
      <c r="A12" s="787"/>
      <c r="B12" s="787"/>
      <c r="H12" s="29"/>
      <c r="I12" s="29"/>
    </row>
    <row r="13" spans="1:11">
      <c r="A13" s="787"/>
      <c r="B13" s="787"/>
      <c r="H13" s="29"/>
      <c r="I13" s="29"/>
    </row>
    <row r="14" spans="1:11">
      <c r="A14" s="787"/>
      <c r="B14" s="787"/>
      <c r="H14" s="29"/>
      <c r="I14" s="29"/>
    </row>
    <row r="15" spans="1:11">
      <c r="A15" s="1565"/>
      <c r="B15" s="1565"/>
      <c r="C15" s="1565"/>
      <c r="D15" s="1565"/>
      <c r="E15" s="1565"/>
      <c r="F15" s="1565"/>
      <c r="G15" s="1565"/>
      <c r="H15" s="1565"/>
      <c r="I15" s="1565"/>
      <c r="J15" s="1565"/>
      <c r="K15" s="1565"/>
    </row>
    <row r="16" spans="1:11">
      <c r="A16" s="788"/>
      <c r="B16" s="787"/>
      <c r="H16" s="29"/>
      <c r="I16" s="29"/>
    </row>
    <row r="17" spans="1:9">
      <c r="B17" s="787"/>
      <c r="H17" s="29"/>
      <c r="I17" s="29"/>
    </row>
    <row r="18" spans="1:9">
      <c r="B18" s="787"/>
      <c r="H18" s="29"/>
      <c r="I18" s="29"/>
    </row>
    <row r="19" spans="1:9">
      <c r="B19" s="787"/>
      <c r="H19" s="29"/>
      <c r="I19" s="29"/>
    </row>
    <row r="20" spans="1:9">
      <c r="B20" s="787"/>
      <c r="H20" s="29"/>
      <c r="I20" s="29"/>
    </row>
    <row r="21" spans="1:9">
      <c r="B21" s="787"/>
      <c r="H21" s="29"/>
      <c r="I21" s="29"/>
    </row>
    <row r="22" spans="1:9">
      <c r="H22" s="29"/>
      <c r="I22" s="29"/>
    </row>
    <row r="23" spans="1:9">
      <c r="A23" s="787"/>
      <c r="H23" s="29"/>
      <c r="I23" s="29"/>
    </row>
    <row r="24" spans="1:9">
      <c r="A24" s="787"/>
      <c r="H24" s="29"/>
      <c r="I24" s="29"/>
    </row>
    <row r="25" spans="1:9">
      <c r="A25" s="787"/>
    </row>
    <row r="27" spans="1:9">
      <c r="A27" s="530"/>
    </row>
    <row r="28" spans="1:9">
      <c r="A28" s="530"/>
    </row>
    <row r="30" spans="1:9">
      <c r="A30" s="787"/>
    </row>
    <row r="32" spans="1:9">
      <c r="A32" s="787"/>
    </row>
    <row r="33" spans="1:1">
      <c r="A33" s="787"/>
    </row>
    <row r="35" spans="1:1">
      <c r="A35" s="787"/>
    </row>
    <row r="37" spans="1:1">
      <c r="A37" s="787"/>
    </row>
    <row r="39" spans="1:1">
      <c r="A39" s="787"/>
    </row>
    <row r="41" spans="1:1">
      <c r="A41" s="787"/>
    </row>
    <row r="43" spans="1:1">
      <c r="A43" s="787"/>
    </row>
    <row r="45" spans="1:1">
      <c r="A45" s="787"/>
    </row>
    <row r="47" spans="1:1">
      <c r="A47" s="787"/>
    </row>
    <row r="54" spans="1:11" ht="15.75">
      <c r="A54" s="1562" t="s">
        <v>3189</v>
      </c>
      <c r="B54" s="1563"/>
      <c r="C54" s="1563"/>
      <c r="D54" s="1563"/>
      <c r="E54" s="1563"/>
      <c r="F54" s="1563"/>
      <c r="G54" s="1563"/>
      <c r="H54" s="1563"/>
      <c r="I54" s="1563"/>
      <c r="J54" s="1563"/>
      <c r="K54" s="1563"/>
    </row>
  </sheetData>
  <mergeCells count="8">
    <mergeCell ref="A1:K1"/>
    <mergeCell ref="A2:K2"/>
    <mergeCell ref="A3:K3"/>
    <mergeCell ref="A5:K5"/>
    <mergeCell ref="A54:K54"/>
    <mergeCell ref="A6:K6"/>
    <mergeCell ref="A10:K10"/>
    <mergeCell ref="A15:K15"/>
  </mergeCells>
  <hyperlinks>
    <hyperlink ref="A8" r:id="rId1" xr:uid="{00000000-0004-0000-2500-000000000000}"/>
  </hyperlinks>
  <pageMargins left="0.25" right="0.25" top="0.75" bottom="0.75" header="0.3" footer="0.3"/>
  <pageSetup scale="94"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K54"/>
  <sheetViews>
    <sheetView zoomScaleNormal="100" workbookViewId="0">
      <selection activeCell="A12" sqref="A12"/>
    </sheetView>
  </sheetViews>
  <sheetFormatPr defaultRowHeight="12.75"/>
  <cols>
    <col min="1" max="16384" width="9.140625" style="784"/>
  </cols>
  <sheetData>
    <row r="1" spans="1:11" ht="18">
      <c r="A1" s="1533" t="str">
        <f>'NOTES TO FIN ST (38)'!A1:K1</f>
        <v>TOWN OF BROADUS</v>
      </c>
      <c r="B1" s="1533"/>
      <c r="C1" s="1533"/>
      <c r="D1" s="1533"/>
      <c r="E1" s="1533"/>
      <c r="F1" s="1533"/>
      <c r="G1" s="1533"/>
      <c r="H1" s="1533"/>
      <c r="I1" s="1533"/>
      <c r="J1" s="1533"/>
      <c r="K1" s="1533"/>
    </row>
    <row r="2" spans="1:11" ht="18">
      <c r="A2" s="1533" t="s">
        <v>1319</v>
      </c>
      <c r="B2" s="1533"/>
      <c r="C2" s="1533"/>
      <c r="D2" s="1533"/>
      <c r="E2" s="1533"/>
      <c r="F2" s="1533"/>
      <c r="G2" s="1533"/>
      <c r="H2" s="1533"/>
      <c r="I2" s="1533"/>
      <c r="J2" s="1533"/>
      <c r="K2" s="1533"/>
    </row>
    <row r="3" spans="1:11" ht="18">
      <c r="A3" s="1535" t="str">
        <f>'NOTES TO FIN ST (38)'!A3:K3</f>
        <v>FISCAL YEAR ENDING JUNE 30, 2017</v>
      </c>
      <c r="B3" s="1535"/>
      <c r="C3" s="1535"/>
      <c r="D3" s="1535"/>
      <c r="E3" s="1535"/>
      <c r="F3" s="1535"/>
      <c r="G3" s="1535"/>
      <c r="H3" s="1535"/>
      <c r="I3" s="1535"/>
      <c r="J3" s="1535"/>
      <c r="K3" s="1535"/>
    </row>
    <row r="5" spans="1:11" ht="15.75">
      <c r="A5" s="1563" t="s">
        <v>3046</v>
      </c>
      <c r="B5" s="1563"/>
      <c r="C5" s="1563"/>
      <c r="D5" s="1563"/>
      <c r="E5" s="1563"/>
      <c r="F5" s="1563"/>
      <c r="G5" s="1563"/>
      <c r="H5" s="1563"/>
      <c r="I5" s="1563"/>
      <c r="J5" s="1563"/>
      <c r="K5" s="1563"/>
    </row>
    <row r="6" spans="1:11" ht="15.75">
      <c r="A6" s="1563" t="s">
        <v>3050</v>
      </c>
      <c r="B6" s="1563"/>
      <c r="C6" s="1563"/>
      <c r="D6" s="1563"/>
      <c r="E6" s="1563"/>
      <c r="F6" s="1563"/>
      <c r="G6" s="1563"/>
      <c r="H6" s="1563"/>
      <c r="I6" s="1563"/>
      <c r="J6" s="1563"/>
      <c r="K6" s="1563"/>
    </row>
    <row r="7" spans="1:11">
      <c r="A7" s="787"/>
    </row>
    <row r="8" spans="1:11" ht="15">
      <c r="A8" s="805" t="s">
        <v>3223</v>
      </c>
      <c r="H8" s="29"/>
      <c r="I8" s="29"/>
    </row>
    <row r="9" spans="1:11">
      <c r="A9" s="788"/>
      <c r="B9" s="787"/>
      <c r="H9" s="29"/>
      <c r="I9" s="29"/>
    </row>
    <row r="10" spans="1:11" ht="39.75" customHeight="1">
      <c r="A10" s="1564" t="s">
        <v>3487</v>
      </c>
      <c r="B10" s="1564"/>
      <c r="C10" s="1564"/>
      <c r="D10" s="1564"/>
      <c r="E10" s="1564"/>
      <c r="F10" s="1564"/>
      <c r="G10" s="1564"/>
      <c r="H10" s="1564"/>
      <c r="I10" s="1564"/>
      <c r="J10" s="1564"/>
      <c r="K10" s="1564"/>
    </row>
    <row r="11" spans="1:11">
      <c r="B11" s="787"/>
      <c r="H11" s="29"/>
      <c r="I11" s="29"/>
    </row>
    <row r="12" spans="1:11">
      <c r="A12" s="1315" t="s">
        <v>3707</v>
      </c>
      <c r="B12" s="787"/>
      <c r="H12" s="29"/>
      <c r="I12" s="29"/>
    </row>
    <row r="13" spans="1:11">
      <c r="A13" s="787"/>
      <c r="B13" s="787"/>
      <c r="H13" s="29"/>
      <c r="I13" s="29"/>
    </row>
    <row r="14" spans="1:11">
      <c r="A14" s="787"/>
      <c r="B14" s="787"/>
      <c r="H14" s="29"/>
      <c r="I14" s="29"/>
    </row>
    <row r="15" spans="1:11">
      <c r="A15" s="787"/>
      <c r="B15" s="787"/>
      <c r="H15" s="29"/>
      <c r="I15" s="29"/>
    </row>
    <row r="16" spans="1:11">
      <c r="A16" s="1565"/>
      <c r="B16" s="1565"/>
      <c r="C16" s="1565"/>
      <c r="D16" s="1565"/>
      <c r="E16" s="1565"/>
      <c r="F16" s="1565"/>
      <c r="G16" s="1565"/>
      <c r="H16" s="1565"/>
      <c r="I16" s="1565"/>
      <c r="J16" s="1565"/>
      <c r="K16" s="1565"/>
    </row>
    <row r="17" spans="1:9">
      <c r="B17" s="787"/>
      <c r="H17" s="29"/>
      <c r="I17" s="29"/>
    </row>
    <row r="18" spans="1:9">
      <c r="B18" s="787"/>
      <c r="H18" s="29"/>
      <c r="I18" s="29"/>
    </row>
    <row r="19" spans="1:9">
      <c r="B19" s="787"/>
      <c r="H19" s="29"/>
      <c r="I19" s="29"/>
    </row>
    <row r="20" spans="1:9">
      <c r="B20" s="787"/>
      <c r="H20" s="29"/>
      <c r="I20" s="29"/>
    </row>
    <row r="21" spans="1:9">
      <c r="B21" s="787"/>
      <c r="H21" s="29"/>
      <c r="I21" s="29"/>
    </row>
    <row r="22" spans="1:9">
      <c r="H22" s="29"/>
      <c r="I22" s="29"/>
    </row>
    <row r="23" spans="1:9">
      <c r="A23" s="787"/>
      <c r="H23" s="29"/>
      <c r="I23" s="29"/>
    </row>
    <row r="24" spans="1:9">
      <c r="A24" s="787"/>
      <c r="H24" s="29"/>
      <c r="I24" s="29"/>
    </row>
    <row r="25" spans="1:9">
      <c r="A25" s="787"/>
    </row>
    <row r="27" spans="1:9">
      <c r="A27" s="530"/>
    </row>
    <row r="28" spans="1:9">
      <c r="A28" s="530"/>
    </row>
    <row r="30" spans="1:9">
      <c r="A30" s="787"/>
    </row>
    <row r="32" spans="1:9">
      <c r="A32" s="787"/>
    </row>
    <row r="33" spans="1:1">
      <c r="A33" s="787"/>
    </row>
    <row r="35" spans="1:1">
      <c r="A35" s="787"/>
    </row>
    <row r="37" spans="1:1">
      <c r="A37" s="787"/>
    </row>
    <row r="39" spans="1:1">
      <c r="A39" s="787"/>
    </row>
    <row r="41" spans="1:1">
      <c r="A41" s="787"/>
    </row>
    <row r="43" spans="1:1">
      <c r="A43" s="787"/>
    </row>
    <row r="45" spans="1:1">
      <c r="A45" s="787"/>
    </row>
    <row r="47" spans="1:1">
      <c r="A47" s="787"/>
    </row>
    <row r="54" spans="1:11" ht="15.75">
      <c r="A54" s="1562" t="s">
        <v>3190</v>
      </c>
      <c r="B54" s="1563"/>
      <c r="C54" s="1563"/>
      <c r="D54" s="1563"/>
      <c r="E54" s="1563"/>
      <c r="F54" s="1563"/>
      <c r="G54" s="1563"/>
      <c r="H54" s="1563"/>
      <c r="I54" s="1563"/>
      <c r="J54" s="1563"/>
      <c r="K54" s="1563"/>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58"/>
  <sheetViews>
    <sheetView topLeftCell="A20" zoomScaleNormal="100" workbookViewId="0">
      <selection activeCell="E26" sqref="E26"/>
    </sheetView>
  </sheetViews>
  <sheetFormatPr defaultRowHeight="12.75"/>
  <cols>
    <col min="1" max="1" width="100.7109375" customWidth="1"/>
  </cols>
  <sheetData>
    <row r="1" spans="1:3" ht="18">
      <c r="A1" s="4" t="str">
        <f>'COVER PAGE'!A9</f>
        <v>TOWN OF BROADUS</v>
      </c>
      <c r="B1" s="2"/>
    </row>
    <row r="2" spans="1:3" ht="18">
      <c r="A2" s="4" t="s">
        <v>241</v>
      </c>
      <c r="B2" s="2"/>
    </row>
    <row r="3" spans="1:3" ht="18">
      <c r="A3" s="4" t="s">
        <v>281</v>
      </c>
      <c r="B3" s="2"/>
    </row>
    <row r="4" spans="1:3" ht="18">
      <c r="A4" s="5" t="str">
        <f>'COVER PAGE'!A30</f>
        <v>FISCAL YEAR ENDING JUNE 30, 2017</v>
      </c>
      <c r="B4" s="2"/>
    </row>
    <row r="6" spans="1:3" ht="15.75">
      <c r="B6" s="9" t="s">
        <v>261</v>
      </c>
    </row>
    <row r="7" spans="1:3" ht="15.75">
      <c r="B7" s="116" t="s">
        <v>262</v>
      </c>
    </row>
    <row r="8" spans="1:3" ht="15.75">
      <c r="A8" s="117" t="s">
        <v>269</v>
      </c>
    </row>
    <row r="9" spans="1:3" ht="14.25">
      <c r="A9" s="441" t="s">
        <v>441</v>
      </c>
      <c r="B9" s="812" t="s">
        <v>282</v>
      </c>
    </row>
    <row r="10" spans="1:3" ht="14.25">
      <c r="A10" s="441" t="s">
        <v>1913</v>
      </c>
      <c r="B10" s="818">
        <v>3</v>
      </c>
      <c r="C10" s="19"/>
    </row>
    <row r="11" spans="1:3" ht="15">
      <c r="A11" s="263"/>
      <c r="B11" s="819"/>
    </row>
    <row r="12" spans="1:3" ht="15.75">
      <c r="A12" s="483" t="s">
        <v>283</v>
      </c>
      <c r="B12" s="819"/>
    </row>
    <row r="13" spans="1:3" ht="14.25">
      <c r="A13" s="441" t="s">
        <v>8</v>
      </c>
      <c r="B13" s="812" t="s">
        <v>284</v>
      </c>
    </row>
    <row r="14" spans="1:3" ht="14.25">
      <c r="A14" s="441" t="s">
        <v>285</v>
      </c>
      <c r="B14" s="818"/>
    </row>
    <row r="15" spans="1:3" ht="14.25">
      <c r="A15" s="441" t="s">
        <v>286</v>
      </c>
      <c r="B15" s="818"/>
    </row>
    <row r="16" spans="1:3" ht="14.25">
      <c r="A16" s="441" t="s">
        <v>1837</v>
      </c>
      <c r="B16" s="818">
        <v>13</v>
      </c>
      <c r="C16" s="51"/>
    </row>
    <row r="17" spans="1:3" ht="14.25">
      <c r="A17" s="441" t="s">
        <v>9</v>
      </c>
      <c r="B17" s="818">
        <v>14</v>
      </c>
      <c r="C17" s="51"/>
    </row>
    <row r="18" spans="1:3" ht="14.25">
      <c r="A18" s="441" t="s">
        <v>1215</v>
      </c>
      <c r="B18" s="818"/>
    </row>
    <row r="19" spans="1:3" ht="14.25">
      <c r="A19" s="441" t="s">
        <v>10</v>
      </c>
      <c r="B19" s="818">
        <v>15</v>
      </c>
    </row>
    <row r="20" spans="1:3" ht="14.25">
      <c r="A20" s="441" t="s">
        <v>11</v>
      </c>
      <c r="B20" s="818">
        <v>16</v>
      </c>
    </row>
    <row r="21" spans="1:3" ht="14.25">
      <c r="A21" s="441" t="s">
        <v>1216</v>
      </c>
      <c r="B21" s="818"/>
    </row>
    <row r="22" spans="1:3" ht="14.25">
      <c r="A22" s="441" t="s">
        <v>12</v>
      </c>
      <c r="B22" s="818">
        <v>17</v>
      </c>
    </row>
    <row r="23" spans="1:3" ht="14.25">
      <c r="A23" s="441" t="s">
        <v>1838</v>
      </c>
      <c r="B23" s="818">
        <v>18</v>
      </c>
    </row>
    <row r="24" spans="1:3" ht="14.25">
      <c r="A24" s="441" t="s">
        <v>1839</v>
      </c>
      <c r="B24" s="818">
        <v>19</v>
      </c>
    </row>
    <row r="25" spans="1:3" ht="14.25">
      <c r="A25" s="441" t="s">
        <v>1418</v>
      </c>
      <c r="B25" s="818">
        <v>20</v>
      </c>
    </row>
    <row r="26" spans="1:3" ht="14.25">
      <c r="A26" s="441" t="s">
        <v>1840</v>
      </c>
      <c r="B26" s="818">
        <v>21</v>
      </c>
    </row>
    <row r="27" spans="1:3" ht="14.25">
      <c r="A27" s="441" t="s">
        <v>1841</v>
      </c>
      <c r="B27" s="818">
        <v>22</v>
      </c>
    </row>
    <row r="28" spans="1:3" ht="14.25">
      <c r="A28" s="441" t="s">
        <v>1420</v>
      </c>
      <c r="B28" s="812" t="s">
        <v>3145</v>
      </c>
      <c r="C28" s="19"/>
    </row>
    <row r="29" spans="1:3" ht="14.25">
      <c r="A29" s="441" t="s">
        <v>1118</v>
      </c>
      <c r="B29" s="818"/>
    </row>
    <row r="30" spans="1:3" ht="14.25">
      <c r="A30" s="441" t="s">
        <v>469</v>
      </c>
      <c r="B30" s="818"/>
    </row>
    <row r="31" spans="1:3" ht="14.25">
      <c r="A31" s="441" t="s">
        <v>1421</v>
      </c>
      <c r="B31" s="812" t="s">
        <v>3146</v>
      </c>
    </row>
    <row r="32" spans="1:3" ht="14.25">
      <c r="A32" s="441" t="s">
        <v>1347</v>
      </c>
      <c r="B32" s="818"/>
    </row>
    <row r="33" spans="1:2" ht="14.25">
      <c r="A33" s="441" t="s">
        <v>738</v>
      </c>
      <c r="B33" s="812" t="s">
        <v>3147</v>
      </c>
    </row>
    <row r="34" spans="1:2" s="784" customFormat="1" ht="14.25">
      <c r="A34" s="441" t="s">
        <v>3066</v>
      </c>
      <c r="B34" s="812">
        <v>60</v>
      </c>
    </row>
    <row r="35" spans="1:2" s="784" customFormat="1" ht="14.25">
      <c r="A35" s="441" t="s">
        <v>3285</v>
      </c>
      <c r="B35" s="812" t="s">
        <v>4</v>
      </c>
    </row>
    <row r="36" spans="1:2" ht="14.25">
      <c r="A36" s="441" t="s">
        <v>554</v>
      </c>
      <c r="B36" s="812"/>
    </row>
    <row r="37" spans="1:2" ht="14.25">
      <c r="A37" s="441" t="s">
        <v>124</v>
      </c>
      <c r="B37" s="818"/>
    </row>
    <row r="38" spans="1:2" ht="14.25">
      <c r="A38" s="441" t="s">
        <v>739</v>
      </c>
      <c r="B38" s="812" t="s">
        <v>3148</v>
      </c>
    </row>
    <row r="39" spans="1:2" ht="14.25">
      <c r="A39" s="441" t="s">
        <v>125</v>
      </c>
      <c r="B39" s="818"/>
    </row>
    <row r="40" spans="1:2" ht="14.25">
      <c r="A40" s="441" t="s">
        <v>740</v>
      </c>
      <c r="B40" s="812" t="s">
        <v>3155</v>
      </c>
    </row>
    <row r="41" spans="1:2" ht="14.25">
      <c r="A41" s="441" t="s">
        <v>741</v>
      </c>
      <c r="B41" s="812" t="s">
        <v>3149</v>
      </c>
    </row>
    <row r="42" spans="1:2" ht="14.25">
      <c r="A42" s="441" t="s">
        <v>125</v>
      </c>
      <c r="B42" s="818"/>
    </row>
    <row r="43" spans="1:2" ht="14.25">
      <c r="A43" s="441" t="s">
        <v>742</v>
      </c>
      <c r="B43" s="812" t="s">
        <v>3150</v>
      </c>
    </row>
    <row r="44" spans="1:2" ht="14.25">
      <c r="A44" s="441" t="s">
        <v>743</v>
      </c>
      <c r="B44" s="812" t="s">
        <v>3151</v>
      </c>
    </row>
    <row r="45" spans="1:2" ht="14.25">
      <c r="A45" s="441" t="s">
        <v>125</v>
      </c>
      <c r="B45" s="818"/>
    </row>
    <row r="46" spans="1:2" ht="14.25">
      <c r="A46" s="441" t="s">
        <v>744</v>
      </c>
      <c r="B46" s="812" t="s">
        <v>3152</v>
      </c>
    </row>
    <row r="47" spans="1:2" ht="14.25">
      <c r="A47" s="441" t="s">
        <v>745</v>
      </c>
      <c r="B47" s="812" t="s">
        <v>3153</v>
      </c>
    </row>
    <row r="48" spans="1:2" ht="14.25">
      <c r="A48" s="441" t="s">
        <v>125</v>
      </c>
      <c r="B48" s="818"/>
    </row>
    <row r="49" spans="1:3" ht="14.25">
      <c r="A49" s="441" t="s">
        <v>1466</v>
      </c>
      <c r="B49" s="812" t="s">
        <v>3154</v>
      </c>
    </row>
    <row r="50" spans="1:3" ht="14.25">
      <c r="A50" s="441" t="s">
        <v>1842</v>
      </c>
      <c r="B50" s="812">
        <v>79</v>
      </c>
    </row>
    <row r="51" spans="1:3" ht="14.25">
      <c r="A51" s="441" t="s">
        <v>1843</v>
      </c>
      <c r="B51" s="818"/>
    </row>
    <row r="52" spans="1:3" ht="14.25">
      <c r="A52" s="441" t="s">
        <v>724</v>
      </c>
      <c r="B52" s="818">
        <v>80</v>
      </c>
    </row>
    <row r="53" spans="1:3" ht="14.25">
      <c r="A53" s="441" t="s">
        <v>723</v>
      </c>
      <c r="B53" s="818">
        <v>81</v>
      </c>
    </row>
    <row r="54" spans="1:3" ht="14.25">
      <c r="A54" s="441" t="s">
        <v>1844</v>
      </c>
      <c r="B54" s="818">
        <v>82</v>
      </c>
    </row>
    <row r="55" spans="1:3" ht="14.25">
      <c r="A55" s="441" t="s">
        <v>1845</v>
      </c>
      <c r="B55" s="818"/>
    </row>
    <row r="56" spans="1:3" ht="14.25">
      <c r="A56" s="441" t="s">
        <v>746</v>
      </c>
      <c r="B56" s="818">
        <v>83</v>
      </c>
    </row>
    <row r="57" spans="1:3" ht="14.25">
      <c r="A57" s="441" t="s">
        <v>747</v>
      </c>
      <c r="B57" s="818">
        <v>84</v>
      </c>
    </row>
    <row r="58" spans="1:3" ht="14.25">
      <c r="A58" s="441" t="s">
        <v>1340</v>
      </c>
      <c r="B58" s="818">
        <v>85</v>
      </c>
      <c r="C58" s="19"/>
    </row>
    <row r="59" spans="1:3" ht="15">
      <c r="A59" s="441" t="s">
        <v>3042</v>
      </c>
      <c r="B59" s="820" t="s">
        <v>3156</v>
      </c>
    </row>
    <row r="60" spans="1:3" ht="14.25">
      <c r="A60" s="441" t="s">
        <v>748</v>
      </c>
      <c r="B60" s="818">
        <v>89</v>
      </c>
      <c r="C60" s="51"/>
    </row>
    <row r="61" spans="1:3" ht="15">
      <c r="A61" s="263" t="s">
        <v>1768</v>
      </c>
      <c r="B61" s="821"/>
    </row>
    <row r="62" spans="1:3" ht="15.75">
      <c r="A62" s="483" t="s">
        <v>61</v>
      </c>
      <c r="B62" s="821"/>
    </row>
    <row r="63" spans="1:3" ht="14.25">
      <c r="A63" s="441" t="s">
        <v>62</v>
      </c>
      <c r="B63" s="818">
        <v>90</v>
      </c>
      <c r="C63" s="19"/>
    </row>
    <row r="64" spans="1:3" ht="15">
      <c r="A64" s="6"/>
      <c r="B64" s="793"/>
    </row>
    <row r="65" spans="1:3" ht="15.75">
      <c r="A65" s="8" t="s">
        <v>1912</v>
      </c>
      <c r="B65" s="793"/>
      <c r="C65" s="51"/>
    </row>
    <row r="66" spans="1:3" ht="15.75" thickBot="1">
      <c r="A66" s="665"/>
      <c r="B66" s="666"/>
    </row>
    <row r="67" spans="1:3" ht="18.75" thickBot="1">
      <c r="A67" s="667" t="s">
        <v>3243</v>
      </c>
      <c r="B67" s="668"/>
    </row>
    <row r="68" spans="1:3" ht="15">
      <c r="A68" s="662"/>
      <c r="B68" s="654"/>
    </row>
    <row r="69" spans="1:3" ht="33" customHeight="1">
      <c r="A69" s="1031" t="s">
        <v>3081</v>
      </c>
      <c r="B69" s="654"/>
    </row>
    <row r="70" spans="1:3" s="784" customFormat="1" ht="63.75" customHeight="1">
      <c r="A70" s="1032" t="s">
        <v>3082</v>
      </c>
      <c r="B70" s="1028"/>
    </row>
    <row r="71" spans="1:3" ht="15">
      <c r="A71" s="1030" t="s">
        <v>3080</v>
      </c>
      <c r="B71" s="654"/>
    </row>
    <row r="72" spans="1:3" ht="14.25">
      <c r="A72" s="816"/>
      <c r="B72" s="654"/>
    </row>
    <row r="73" spans="1:3" s="784" customFormat="1" ht="15">
      <c r="A73" s="662" t="s">
        <v>3079</v>
      </c>
      <c r="B73" s="813"/>
    </row>
    <row r="74" spans="1:3" ht="15.75">
      <c r="A74" s="664" t="s">
        <v>1919</v>
      </c>
      <c r="B74" s="654"/>
    </row>
    <row r="75" spans="1:3" ht="15.75">
      <c r="A75" s="8" t="s">
        <v>1920</v>
      </c>
      <c r="B75" s="654"/>
    </row>
    <row r="76" spans="1:3" ht="15">
      <c r="A76" s="6" t="s">
        <v>1921</v>
      </c>
      <c r="B76" s="654"/>
    </row>
    <row r="77" spans="1:3" ht="15">
      <c r="A77" s="6"/>
      <c r="B77" s="654"/>
    </row>
    <row r="78" spans="1:3" ht="15.75">
      <c r="A78" s="8" t="s">
        <v>1692</v>
      </c>
      <c r="B78" s="654"/>
    </row>
    <row r="79" spans="1:3" ht="15">
      <c r="A79" s="6" t="s">
        <v>1922</v>
      </c>
      <c r="B79" s="654"/>
    </row>
    <row r="80" spans="1:3" ht="15">
      <c r="A80" s="6" t="s">
        <v>1923</v>
      </c>
    </row>
    <row r="81" spans="1:1" ht="15">
      <c r="A81" s="6" t="s">
        <v>1924</v>
      </c>
    </row>
    <row r="82" spans="1:1" ht="15">
      <c r="A82" s="6" t="s">
        <v>1925</v>
      </c>
    </row>
    <row r="83" spans="1:1" ht="15">
      <c r="A83" s="6" t="s">
        <v>1926</v>
      </c>
    </row>
    <row r="84" spans="1:1" ht="15">
      <c r="A84" s="6" t="s">
        <v>1927</v>
      </c>
    </row>
    <row r="85" spans="1:1" ht="15">
      <c r="A85" s="6" t="s">
        <v>1928</v>
      </c>
    </row>
    <row r="86" spans="1:1" ht="15">
      <c r="A86" s="6" t="s">
        <v>1929</v>
      </c>
    </row>
    <row r="87" spans="1:1" ht="15">
      <c r="A87" s="6" t="s">
        <v>1930</v>
      </c>
    </row>
    <row r="88" spans="1:1" ht="15.75">
      <c r="A88" s="8" t="s">
        <v>2650</v>
      </c>
    </row>
    <row r="89" spans="1:1" ht="15">
      <c r="A89" s="6" t="s">
        <v>1931</v>
      </c>
    </row>
    <row r="90" spans="1:1" ht="15">
      <c r="A90" s="6" t="s">
        <v>1932</v>
      </c>
    </row>
    <row r="91" spans="1:1" ht="15">
      <c r="A91" s="6" t="s">
        <v>1933</v>
      </c>
    </row>
    <row r="92" spans="1:1" ht="15">
      <c r="A92" s="6" t="s">
        <v>1934</v>
      </c>
    </row>
    <row r="93" spans="1:1" ht="15">
      <c r="A93" s="6"/>
    </row>
    <row r="94" spans="1:1" ht="15.75">
      <c r="A94" s="8" t="s">
        <v>1935</v>
      </c>
    </row>
    <row r="95" spans="1:1" ht="15">
      <c r="A95" s="6" t="s">
        <v>1952</v>
      </c>
    </row>
    <row r="96" spans="1:1" ht="14.25">
      <c r="A96" s="118"/>
    </row>
    <row r="97" spans="1:1" ht="15.75">
      <c r="A97" s="8" t="s">
        <v>1936</v>
      </c>
    </row>
    <row r="98" spans="1:1" ht="15">
      <c r="A98" s="6" t="s">
        <v>1937</v>
      </c>
    </row>
    <row r="99" spans="1:1" ht="15">
      <c r="A99" s="6" t="s">
        <v>1938</v>
      </c>
    </row>
    <row r="100" spans="1:1" ht="15">
      <c r="A100" s="6" t="s">
        <v>1939</v>
      </c>
    </row>
    <row r="101" spans="1:1" ht="15">
      <c r="A101" s="6" t="s">
        <v>3041</v>
      </c>
    </row>
    <row r="102" spans="1:1" ht="15">
      <c r="A102" s="6" t="s">
        <v>3040</v>
      </c>
    </row>
    <row r="103" spans="1:1" ht="15">
      <c r="A103" s="6"/>
    </row>
    <row r="104" spans="1:1" ht="15.75">
      <c r="A104" s="664" t="s">
        <v>1941</v>
      </c>
    </row>
    <row r="105" spans="1:1" ht="15.75">
      <c r="A105" s="6" t="s">
        <v>1942</v>
      </c>
    </row>
    <row r="106" spans="1:1" ht="15">
      <c r="A106" s="6" t="s">
        <v>1943</v>
      </c>
    </row>
    <row r="107" spans="1:1" ht="15">
      <c r="A107" s="6" t="s">
        <v>1944</v>
      </c>
    </row>
    <row r="108" spans="1:1" ht="15">
      <c r="A108" s="6" t="s">
        <v>1945</v>
      </c>
    </row>
    <row r="109" spans="1:1" ht="15">
      <c r="A109" s="6" t="s">
        <v>1946</v>
      </c>
    </row>
    <row r="110" spans="1:1" ht="15.75">
      <c r="A110" s="6" t="s">
        <v>1947</v>
      </c>
    </row>
    <row r="111" spans="1:1" ht="15">
      <c r="A111" s="6" t="s">
        <v>1948</v>
      </c>
    </row>
    <row r="112" spans="1:1" ht="15">
      <c r="A112" s="6" t="s">
        <v>1949</v>
      </c>
    </row>
    <row r="113" spans="1:1" ht="15.75">
      <c r="A113" s="6" t="s">
        <v>1950</v>
      </c>
    </row>
    <row r="114" spans="1:1" ht="15">
      <c r="A114" s="6" t="s">
        <v>1951</v>
      </c>
    </row>
    <row r="115" spans="1:1" ht="15">
      <c r="A115" s="6"/>
    </row>
    <row r="116" spans="1:1" ht="15">
      <c r="A116" s="6"/>
    </row>
    <row r="117" spans="1:1" ht="15">
      <c r="A117" s="6"/>
    </row>
    <row r="118" spans="1:1" ht="15">
      <c r="A118" s="6"/>
    </row>
    <row r="119" spans="1:1" ht="15">
      <c r="A119" s="6"/>
    </row>
    <row r="120" spans="1:1" ht="15">
      <c r="A120" s="6"/>
    </row>
    <row r="121" spans="1:1" ht="15">
      <c r="A121" s="6"/>
    </row>
    <row r="122" spans="1:1" ht="15">
      <c r="A122" s="6"/>
    </row>
    <row r="123" spans="1:1" ht="15">
      <c r="A123" s="6"/>
    </row>
    <row r="124" spans="1:1" ht="15">
      <c r="A124" s="6"/>
    </row>
    <row r="125" spans="1:1" ht="15">
      <c r="A125" s="6"/>
    </row>
    <row r="126" spans="1:1" ht="15">
      <c r="A126" s="6"/>
    </row>
    <row r="127" spans="1:1" ht="15">
      <c r="A127" s="6"/>
    </row>
    <row r="128" spans="1:1" ht="15">
      <c r="A128" s="6"/>
    </row>
    <row r="129" spans="1:1" ht="15">
      <c r="A129" s="6"/>
    </row>
    <row r="130" spans="1:1" ht="15">
      <c r="A130" s="6"/>
    </row>
    <row r="131" spans="1:1" ht="15">
      <c r="A131" s="6"/>
    </row>
    <row r="132" spans="1:1" ht="15">
      <c r="A132" s="6"/>
    </row>
    <row r="133" spans="1:1" ht="15">
      <c r="A133" s="6"/>
    </row>
    <row r="134" spans="1:1" ht="15">
      <c r="A134" s="6"/>
    </row>
    <row r="135" spans="1:1" ht="15">
      <c r="A135" s="6"/>
    </row>
    <row r="136" spans="1:1" ht="15">
      <c r="A136" s="6"/>
    </row>
    <row r="137" spans="1:1" ht="15">
      <c r="A137" s="6"/>
    </row>
    <row r="138" spans="1:1" ht="15">
      <c r="A138" s="6"/>
    </row>
    <row r="139" spans="1:1" ht="15">
      <c r="A139" s="6"/>
    </row>
    <row r="140" spans="1:1" ht="15">
      <c r="A140" s="6"/>
    </row>
    <row r="141" spans="1:1" ht="15">
      <c r="A141" s="6"/>
    </row>
    <row r="142" spans="1:1" ht="15">
      <c r="A142" s="6"/>
    </row>
    <row r="143" spans="1:1" ht="15">
      <c r="A143" s="6"/>
    </row>
    <row r="144" spans="1:1" ht="15">
      <c r="A144" s="6"/>
    </row>
    <row r="145" spans="1:1" ht="15">
      <c r="A145" s="6"/>
    </row>
    <row r="146" spans="1:1" ht="15">
      <c r="A146" s="6"/>
    </row>
    <row r="147" spans="1:1" ht="15">
      <c r="A147" s="6"/>
    </row>
    <row r="148" spans="1:1" ht="15">
      <c r="A148" s="6"/>
    </row>
    <row r="149" spans="1:1" ht="15">
      <c r="A149" s="6"/>
    </row>
    <row r="150" spans="1:1" ht="15">
      <c r="A150" s="6"/>
    </row>
    <row r="151" spans="1:1" ht="15">
      <c r="A151" s="6"/>
    </row>
    <row r="152" spans="1:1" ht="15">
      <c r="A152" s="6"/>
    </row>
    <row r="153" spans="1:1" ht="15">
      <c r="A153" s="6"/>
    </row>
    <row r="154" spans="1:1" ht="15">
      <c r="A154" s="6"/>
    </row>
    <row r="155" spans="1:1" ht="15">
      <c r="A155" s="6"/>
    </row>
    <row r="156" spans="1:1" ht="15">
      <c r="A156" s="6"/>
    </row>
    <row r="157" spans="1:1" ht="15">
      <c r="A157" s="6"/>
    </row>
    <row r="158" spans="1:1" ht="15">
      <c r="A158"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phoneticPr fontId="0" type="noConversion"/>
  <hyperlinks>
    <hyperlink ref="A71" r:id="rId2" display="http://sfsd.mt.gov/LGSB"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54"/>
  <sheetViews>
    <sheetView zoomScaleNormal="100" workbookViewId="0">
      <selection activeCell="A11" sqref="A11"/>
    </sheetView>
  </sheetViews>
  <sheetFormatPr defaultRowHeight="12.75"/>
  <cols>
    <col min="1" max="16384" width="9.140625" style="919"/>
  </cols>
  <sheetData>
    <row r="1" spans="1:11" ht="18">
      <c r="A1" s="1568" t="str">
        <f>'NOTES TO FIN ST (39)'!A1:K1</f>
        <v>TOWN OF BROADUS</v>
      </c>
      <c r="B1" s="1568"/>
      <c r="C1" s="1568"/>
      <c r="D1" s="1568"/>
      <c r="E1" s="1568"/>
      <c r="F1" s="1568"/>
      <c r="G1" s="1568"/>
      <c r="H1" s="1568"/>
      <c r="I1" s="1568"/>
      <c r="J1" s="1568"/>
      <c r="K1" s="1568"/>
    </row>
    <row r="2" spans="1:11" ht="18">
      <c r="A2" s="1568" t="s">
        <v>1319</v>
      </c>
      <c r="B2" s="1568"/>
      <c r="C2" s="1568"/>
      <c r="D2" s="1568"/>
      <c r="E2" s="1568"/>
      <c r="F2" s="1568"/>
      <c r="G2" s="1568"/>
      <c r="H2" s="1568"/>
      <c r="I2" s="1568"/>
      <c r="J2" s="1568"/>
      <c r="K2" s="1568"/>
    </row>
    <row r="3" spans="1:11" ht="18">
      <c r="A3" s="1569" t="str">
        <f>'NOTES TO FIN ST (39)'!A3:K3</f>
        <v>FISCAL YEAR ENDING JUNE 30, 2017</v>
      </c>
      <c r="B3" s="1569"/>
      <c r="C3" s="1569"/>
      <c r="D3" s="1569"/>
      <c r="E3" s="1569"/>
      <c r="F3" s="1569"/>
      <c r="G3" s="1569"/>
      <c r="H3" s="1569"/>
      <c r="I3" s="1569"/>
      <c r="J3" s="1569"/>
      <c r="K3" s="1569"/>
    </row>
    <row r="5" spans="1:11" ht="15.75">
      <c r="A5" s="1567" t="s">
        <v>3046</v>
      </c>
      <c r="B5" s="1567"/>
      <c r="C5" s="1567"/>
      <c r="D5" s="1567"/>
      <c r="E5" s="1567"/>
      <c r="F5" s="1567"/>
      <c r="G5" s="1567"/>
      <c r="H5" s="1567"/>
      <c r="I5" s="1567"/>
      <c r="J5" s="1567"/>
      <c r="K5" s="1567"/>
    </row>
    <row r="6" spans="1:11" ht="15.75">
      <c r="A6" s="1567" t="s">
        <v>3055</v>
      </c>
      <c r="B6" s="1567"/>
      <c r="C6" s="1567"/>
      <c r="D6" s="1567"/>
      <c r="E6" s="1567"/>
      <c r="F6" s="1567"/>
      <c r="G6" s="1567"/>
      <c r="H6" s="1567"/>
      <c r="I6" s="1567"/>
      <c r="J6" s="1567"/>
      <c r="K6" s="1567"/>
    </row>
    <row r="7" spans="1:11">
      <c r="A7" s="933"/>
    </row>
    <row r="8" spans="1:11" ht="15">
      <c r="A8" s="1099" t="s">
        <v>3299</v>
      </c>
      <c r="B8" s="1099"/>
      <c r="C8" s="1099"/>
      <c r="D8" s="1099"/>
      <c r="E8" s="1099"/>
      <c r="F8" s="1099"/>
      <c r="G8" s="1099"/>
      <c r="H8" s="1099"/>
      <c r="I8" s="1099"/>
      <c r="J8" s="1099"/>
      <c r="K8" s="1099"/>
    </row>
    <row r="9" spans="1:11">
      <c r="A9" s="1021"/>
      <c r="B9" s="933"/>
      <c r="H9" s="1022"/>
      <c r="I9" s="1022"/>
    </row>
    <row r="10" spans="1:11" ht="20.25" customHeight="1">
      <c r="A10" s="1456" t="s">
        <v>3486</v>
      </c>
      <c r="B10" s="1456"/>
      <c r="C10" s="1456"/>
      <c r="D10" s="1456"/>
      <c r="E10" s="1456"/>
      <c r="F10" s="1456"/>
      <c r="G10" s="1456"/>
      <c r="H10" s="1456"/>
      <c r="I10" s="1456"/>
      <c r="J10" s="1456"/>
      <c r="K10" s="1456"/>
    </row>
    <row r="11" spans="1:11">
      <c r="A11" s="1316" t="s">
        <v>3707</v>
      </c>
      <c r="B11" s="933"/>
      <c r="H11" s="1022"/>
      <c r="I11" s="1022"/>
    </row>
    <row r="12" spans="1:11">
      <c r="B12" s="933"/>
      <c r="H12" s="1022"/>
      <c r="I12" s="1022"/>
    </row>
    <row r="13" spans="1:11">
      <c r="B13" s="933"/>
      <c r="H13" s="1022"/>
      <c r="I13" s="1022"/>
    </row>
    <row r="14" spans="1:11">
      <c r="B14" s="933"/>
      <c r="H14" s="1022"/>
      <c r="I14" s="1022"/>
    </row>
    <row r="15" spans="1:11">
      <c r="A15" s="1021"/>
      <c r="B15" s="933"/>
      <c r="H15" s="1022"/>
      <c r="I15" s="1022"/>
    </row>
    <row r="16" spans="1:11">
      <c r="A16" s="1021"/>
      <c r="B16" s="933"/>
      <c r="H16" s="1022"/>
      <c r="I16" s="1022"/>
    </row>
    <row r="17" spans="1:9">
      <c r="B17" s="933"/>
      <c r="H17" s="1022"/>
      <c r="I17" s="1022"/>
    </row>
    <row r="18" spans="1:9">
      <c r="B18" s="933"/>
      <c r="H18" s="1022"/>
      <c r="I18" s="1022"/>
    </row>
    <row r="19" spans="1:9">
      <c r="B19" s="933"/>
      <c r="H19" s="1022"/>
      <c r="I19" s="1022"/>
    </row>
    <row r="20" spans="1:9">
      <c r="B20" s="933"/>
      <c r="H20" s="1022"/>
      <c r="I20" s="1022"/>
    </row>
    <row r="21" spans="1:9">
      <c r="B21" s="933"/>
      <c r="H21" s="1022"/>
      <c r="I21" s="1022"/>
    </row>
    <row r="22" spans="1:9">
      <c r="H22" s="1022"/>
      <c r="I22" s="1022"/>
    </row>
    <row r="23" spans="1:9">
      <c r="A23" s="933"/>
      <c r="H23" s="1022"/>
      <c r="I23" s="1022"/>
    </row>
    <row r="24" spans="1:9">
      <c r="A24" s="933"/>
      <c r="H24" s="1022"/>
      <c r="I24" s="1022"/>
    </row>
    <row r="25" spans="1:9">
      <c r="A25" s="933"/>
    </row>
    <row r="27" spans="1:9">
      <c r="A27" s="1023"/>
    </row>
    <row r="28" spans="1:9">
      <c r="A28" s="1023"/>
    </row>
    <row r="30" spans="1:9">
      <c r="A30" s="933"/>
    </row>
    <row r="32" spans="1:9">
      <c r="A32" s="933"/>
    </row>
    <row r="33" spans="1:1">
      <c r="A33" s="933"/>
    </row>
    <row r="35" spans="1:1">
      <c r="A35" s="933"/>
    </row>
    <row r="37" spans="1:1">
      <c r="A37" s="933"/>
    </row>
    <row r="39" spans="1:1">
      <c r="A39" s="933"/>
    </row>
    <row r="41" spans="1:1">
      <c r="A41" s="933"/>
    </row>
    <row r="43" spans="1:1">
      <c r="A43" s="933"/>
    </row>
    <row r="45" spans="1:1">
      <c r="A45" s="933"/>
    </row>
    <row r="47" spans="1:1">
      <c r="A47" s="933"/>
    </row>
    <row r="54" spans="1:11" ht="15.75">
      <c r="A54" s="1566" t="s">
        <v>3191</v>
      </c>
      <c r="B54" s="1567"/>
      <c r="C54" s="1567"/>
      <c r="D54" s="1567"/>
      <c r="E54" s="1567"/>
      <c r="F54" s="1567"/>
      <c r="G54" s="1567"/>
      <c r="H54" s="1567"/>
      <c r="I54" s="1567"/>
      <c r="J54" s="1567"/>
      <c r="K54" s="1567"/>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08"/>
  <sheetViews>
    <sheetView workbookViewId="0">
      <selection activeCell="B5" sqref="B5:I5"/>
    </sheetView>
  </sheetViews>
  <sheetFormatPr defaultRowHeight="12.75"/>
  <cols>
    <col min="1" max="1" width="4.5703125" style="1139" customWidth="1"/>
    <col min="2" max="2" width="16.85546875" style="1139" customWidth="1"/>
    <col min="3" max="3" width="16.42578125" style="1139" customWidth="1"/>
    <col min="4" max="8" width="9.140625" style="1139"/>
    <col min="9" max="9" width="19.42578125" style="1139" customWidth="1"/>
    <col min="10" max="10" width="15" style="1139" customWidth="1"/>
    <col min="11" max="16384" width="9.140625" style="1139"/>
  </cols>
  <sheetData>
    <row r="1" spans="1:9" ht="18">
      <c r="A1" s="1585" t="str">
        <f>'COVER PAGE'!A9</f>
        <v>TOWN OF BROADUS</v>
      </c>
      <c r="B1" s="1585"/>
      <c r="C1" s="1585"/>
      <c r="D1" s="1585"/>
      <c r="E1" s="1585"/>
      <c r="F1" s="1585"/>
      <c r="G1" s="1585"/>
      <c r="H1" s="1585"/>
      <c r="I1" s="1585"/>
    </row>
    <row r="2" spans="1:9" ht="18">
      <c r="A2" s="1585" t="str">
        <f>'NOTE TO FIN ST (23)'!A2</f>
        <v>NOTES TO THE BASIC FINANCIAL STATEMENTS</v>
      </c>
      <c r="B2" s="1585"/>
      <c r="C2" s="1585"/>
      <c r="D2" s="1585"/>
      <c r="E2" s="1585"/>
      <c r="F2" s="1585"/>
      <c r="G2" s="1585"/>
      <c r="H2" s="1585"/>
      <c r="I2" s="1585"/>
    </row>
    <row r="3" spans="1:9" ht="18">
      <c r="A3" s="1585" t="str">
        <f>'COVER PAGE'!A30</f>
        <v>FISCAL YEAR ENDING JUNE 30, 2017</v>
      </c>
      <c r="B3" s="1585"/>
      <c r="C3" s="1585"/>
      <c r="D3" s="1585"/>
      <c r="E3" s="1585"/>
      <c r="F3" s="1585"/>
      <c r="G3" s="1585"/>
      <c r="H3" s="1585"/>
      <c r="I3" s="1585"/>
    </row>
    <row r="5" spans="1:9" ht="26.25" customHeight="1">
      <c r="B5" s="1586" t="s">
        <v>3375</v>
      </c>
      <c r="C5" s="1586"/>
      <c r="D5" s="1586"/>
      <c r="E5" s="1586"/>
      <c r="F5" s="1586"/>
      <c r="G5" s="1586"/>
      <c r="H5" s="1586"/>
      <c r="I5" s="1586"/>
    </row>
    <row r="7" spans="1:9">
      <c r="B7" s="1139" t="s">
        <v>3301</v>
      </c>
    </row>
    <row r="8" spans="1:9">
      <c r="B8" s="933" t="s">
        <v>3302</v>
      </c>
    </row>
    <row r="9" spans="1:9">
      <c r="B9" s="1139" t="s">
        <v>3303</v>
      </c>
    </row>
    <row r="10" spans="1:9">
      <c r="B10" s="933" t="s">
        <v>3304</v>
      </c>
    </row>
    <row r="11" spans="1:9">
      <c r="B11" s="933" t="s">
        <v>3305</v>
      </c>
    </row>
    <row r="12" spans="1:9">
      <c r="B12" s="931"/>
    </row>
    <row r="13" spans="1:9">
      <c r="B13" s="931" t="s">
        <v>3306</v>
      </c>
    </row>
    <row r="14" spans="1:9">
      <c r="B14" s="933" t="s">
        <v>3307</v>
      </c>
    </row>
    <row r="15" spans="1:9">
      <c r="B15" s="933" t="s">
        <v>3308</v>
      </c>
    </row>
    <row r="17" spans="2:9">
      <c r="B17" s="1148" t="s">
        <v>3309</v>
      </c>
      <c r="C17" s="1094"/>
      <c r="D17" s="1094"/>
      <c r="E17" s="1094"/>
      <c r="F17" s="1094"/>
    </row>
    <row r="18" spans="2:9">
      <c r="B18" s="1149" t="s">
        <v>3310</v>
      </c>
      <c r="C18" s="1150"/>
      <c r="D18" s="1578"/>
      <c r="E18" s="1584"/>
      <c r="F18" s="1579"/>
    </row>
    <row r="19" spans="2:9">
      <c r="B19" s="1149" t="s">
        <v>3311</v>
      </c>
      <c r="C19" s="1150"/>
      <c r="D19" s="1578"/>
      <c r="E19" s="1584"/>
      <c r="F19" s="1579"/>
    </row>
    <row r="21" spans="2:9">
      <c r="B21" s="931" t="s">
        <v>3312</v>
      </c>
    </row>
    <row r="22" spans="2:9">
      <c r="B22" s="1139" t="s">
        <v>3313</v>
      </c>
    </row>
    <row r="23" spans="2:9">
      <c r="B23" s="1139" t="s">
        <v>3314</v>
      </c>
    </row>
    <row r="25" spans="2:9" ht="27" customHeight="1">
      <c r="B25" s="1151"/>
      <c r="C25" s="1150"/>
      <c r="D25" s="1580" t="s">
        <v>1914</v>
      </c>
      <c r="E25" s="1581"/>
      <c r="F25" s="1580" t="s">
        <v>1908</v>
      </c>
      <c r="G25" s="1581"/>
      <c r="H25" s="1022"/>
    </row>
    <row r="26" spans="2:9" ht="21.75" customHeight="1">
      <c r="B26" s="1582" t="s">
        <v>3315</v>
      </c>
      <c r="C26" s="1583"/>
      <c r="D26" s="1578"/>
      <c r="E26" s="1579"/>
      <c r="F26" s="1578"/>
      <c r="G26" s="1579"/>
      <c r="H26" s="1022"/>
    </row>
    <row r="27" spans="2:9" ht="22.5" customHeight="1">
      <c r="B27" s="1152" t="s">
        <v>3316</v>
      </c>
      <c r="C27" s="1153"/>
      <c r="D27" s="1578"/>
      <c r="E27" s="1579"/>
      <c r="F27" s="1578"/>
      <c r="G27" s="1579"/>
    </row>
    <row r="28" spans="2:9" ht="27" customHeight="1">
      <c r="B28" s="1576" t="s">
        <v>3317</v>
      </c>
      <c r="C28" s="1577"/>
      <c r="D28" s="1578"/>
      <c r="E28" s="1579"/>
      <c r="F28" s="1578"/>
      <c r="G28" s="1579"/>
    </row>
    <row r="29" spans="2:9" ht="25.5" customHeight="1">
      <c r="B29" s="1576" t="s">
        <v>3318</v>
      </c>
      <c r="C29" s="1577"/>
      <c r="D29" s="1578"/>
      <c r="E29" s="1579"/>
      <c r="F29" s="1578"/>
      <c r="G29" s="1579"/>
    </row>
    <row r="31" spans="2:9" ht="37.5" customHeight="1">
      <c r="B31" s="1480" t="s">
        <v>3319</v>
      </c>
      <c r="C31" s="1480"/>
      <c r="D31" s="1480"/>
      <c r="E31" s="1480"/>
      <c r="F31" s="1480"/>
      <c r="G31" s="1480"/>
      <c r="H31" s="1480"/>
      <c r="I31" s="1480"/>
    </row>
    <row r="33" spans="1:9" ht="25.5" customHeight="1">
      <c r="B33" s="1480" t="s">
        <v>3320</v>
      </c>
      <c r="C33" s="1480"/>
      <c r="D33" s="1480"/>
      <c r="E33" s="1480"/>
      <c r="F33" s="1480"/>
      <c r="G33" s="1480"/>
      <c r="H33" s="1480"/>
      <c r="I33" s="1480"/>
    </row>
    <row r="34" spans="1:9" ht="12" customHeight="1"/>
    <row r="35" spans="1:9" ht="50.25" customHeight="1">
      <c r="B35" s="1575" t="s">
        <v>3321</v>
      </c>
      <c r="C35" s="1575"/>
      <c r="D35" s="1575" t="s">
        <v>3322</v>
      </c>
      <c r="E35" s="1575"/>
      <c r="F35" s="1575"/>
      <c r="G35" s="1575"/>
    </row>
    <row r="36" spans="1:9">
      <c r="B36" s="1571">
        <v>2018</v>
      </c>
      <c r="C36" s="1571"/>
      <c r="D36" s="1571"/>
      <c r="E36" s="1571"/>
      <c r="F36" s="1571"/>
      <c r="G36" s="1571"/>
    </row>
    <row r="37" spans="1:9">
      <c r="B37" s="1571">
        <f>B36+1</f>
        <v>2019</v>
      </c>
      <c r="C37" s="1571"/>
      <c r="D37" s="1571"/>
      <c r="E37" s="1571"/>
      <c r="F37" s="1571"/>
      <c r="G37" s="1571"/>
    </row>
    <row r="38" spans="1:9">
      <c r="B38" s="1571">
        <f>B37+1</f>
        <v>2020</v>
      </c>
      <c r="C38" s="1571"/>
      <c r="D38" s="1571"/>
      <c r="E38" s="1571"/>
      <c r="F38" s="1571"/>
      <c r="G38" s="1571"/>
    </row>
    <row r="39" spans="1:9">
      <c r="B39" s="1571">
        <f>B38+1</f>
        <v>2021</v>
      </c>
      <c r="C39" s="1571"/>
      <c r="D39" s="1571"/>
      <c r="E39" s="1571"/>
      <c r="F39" s="1571"/>
      <c r="G39" s="1571"/>
    </row>
    <row r="40" spans="1:9">
      <c r="B40" s="1571">
        <f>B39+1</f>
        <v>2022</v>
      </c>
      <c r="C40" s="1571"/>
      <c r="D40" s="1571"/>
      <c r="E40" s="1571"/>
      <c r="F40" s="1571"/>
      <c r="G40" s="1571"/>
    </row>
    <row r="41" spans="1:9">
      <c r="B41" s="1572" t="s">
        <v>3323</v>
      </c>
      <c r="C41" s="1571"/>
      <c r="D41" s="1571"/>
      <c r="E41" s="1571"/>
      <c r="F41" s="1571"/>
      <c r="G41" s="1571"/>
    </row>
    <row r="42" spans="1:9" ht="15.75">
      <c r="A42" s="1566" t="s">
        <v>3192</v>
      </c>
      <c r="B42" s="1567"/>
      <c r="C42" s="1567"/>
      <c r="D42" s="1567"/>
      <c r="E42" s="1567"/>
      <c r="F42" s="1567"/>
      <c r="G42" s="1567"/>
      <c r="H42" s="1567"/>
      <c r="I42" s="1567"/>
    </row>
    <row r="44" spans="1:9">
      <c r="B44" s="931" t="s">
        <v>3324</v>
      </c>
    </row>
    <row r="45" spans="1:9">
      <c r="B45" s="1139" t="s">
        <v>3325</v>
      </c>
    </row>
    <row r="46" spans="1:9">
      <c r="B46" s="1139" t="s">
        <v>3326</v>
      </c>
    </row>
    <row r="47" spans="1:9">
      <c r="B47" s="1139" t="s">
        <v>3490</v>
      </c>
    </row>
    <row r="48" spans="1:9">
      <c r="B48" s="933" t="s">
        <v>3327</v>
      </c>
    </row>
    <row r="49" spans="2:2">
      <c r="B49" s="1139" t="s">
        <v>3328</v>
      </c>
    </row>
    <row r="50" spans="2:2">
      <c r="B50" s="1139" t="s">
        <v>3329</v>
      </c>
    </row>
    <row r="51" spans="2:2">
      <c r="B51" s="1139" t="s">
        <v>3330</v>
      </c>
    </row>
    <row r="52" spans="2:2">
      <c r="B52" s="933" t="s">
        <v>3331</v>
      </c>
    </row>
    <row r="53" spans="2:2">
      <c r="B53" s="1139" t="s">
        <v>3332</v>
      </c>
    </row>
    <row r="54" spans="2:2">
      <c r="B54" s="933" t="s">
        <v>3333</v>
      </c>
    </row>
    <row r="55" spans="2:2">
      <c r="B55" s="1139" t="s">
        <v>3334</v>
      </c>
    </row>
    <row r="57" spans="2:2">
      <c r="B57" s="1139" t="s">
        <v>3335</v>
      </c>
    </row>
    <row r="58" spans="2:2">
      <c r="B58" s="933" t="s">
        <v>3336</v>
      </c>
    </row>
    <row r="59" spans="2:2">
      <c r="B59" s="1139" t="s">
        <v>3337</v>
      </c>
    </row>
    <row r="60" spans="2:2">
      <c r="B60" s="1139" t="s">
        <v>3338</v>
      </c>
    </row>
    <row r="61" spans="2:2">
      <c r="B61" s="1139" t="s">
        <v>3339</v>
      </c>
    </row>
    <row r="62" spans="2:2">
      <c r="B62" s="1139" t="s">
        <v>3340</v>
      </c>
    </row>
    <row r="63" spans="2:2">
      <c r="B63" s="1139" t="s">
        <v>3341</v>
      </c>
    </row>
    <row r="64" spans="2:2">
      <c r="B64" s="1139" t="s">
        <v>3342</v>
      </c>
    </row>
    <row r="66" spans="2:2">
      <c r="B66" s="1139" t="s">
        <v>3343</v>
      </c>
    </row>
    <row r="67" spans="2:2">
      <c r="B67" s="1139" t="s">
        <v>3344</v>
      </c>
    </row>
    <row r="68" spans="2:2">
      <c r="B68" s="1139" t="s">
        <v>3345</v>
      </c>
    </row>
    <row r="69" spans="2:2">
      <c r="B69" s="1139" t="s">
        <v>3346</v>
      </c>
    </row>
    <row r="70" spans="2:2">
      <c r="B70" s="1139" t="s">
        <v>3347</v>
      </c>
    </row>
    <row r="71" spans="2:2">
      <c r="B71" s="1139" t="s">
        <v>3348</v>
      </c>
    </row>
    <row r="72" spans="2:2">
      <c r="B72" s="1139" t="s">
        <v>3349</v>
      </c>
    </row>
    <row r="73" spans="2:2">
      <c r="B73" s="1139" t="s">
        <v>3350</v>
      </c>
    </row>
    <row r="75" spans="2:2">
      <c r="B75" s="1139" t="s">
        <v>3351</v>
      </c>
    </row>
    <row r="76" spans="2:2">
      <c r="B76" s="1139" t="s">
        <v>3352</v>
      </c>
    </row>
    <row r="77" spans="2:2">
      <c r="B77" s="1139" t="s">
        <v>3353</v>
      </c>
    </row>
    <row r="78" spans="2:2">
      <c r="B78" s="1139" t="s">
        <v>3354</v>
      </c>
    </row>
    <row r="79" spans="2:2">
      <c r="B79" s="1139" t="s">
        <v>3355</v>
      </c>
    </row>
    <row r="81" spans="2:9">
      <c r="B81" s="907" t="s">
        <v>3356</v>
      </c>
    </row>
    <row r="82" spans="2:9">
      <c r="B82" s="1573" t="s">
        <v>3357</v>
      </c>
      <c r="C82" s="1573"/>
      <c r="D82" s="1573"/>
      <c r="E82" s="1573"/>
      <c r="F82" s="1573"/>
      <c r="H82" s="1094"/>
    </row>
    <row r="83" spans="2:9">
      <c r="B83" s="1573" t="s">
        <v>3358</v>
      </c>
      <c r="C83" s="1573"/>
      <c r="D83" s="1573"/>
      <c r="E83" s="1573"/>
      <c r="F83" s="1573"/>
      <c r="H83" s="1150"/>
    </row>
    <row r="84" spans="2:9">
      <c r="B84" s="1573" t="s">
        <v>3359</v>
      </c>
      <c r="C84" s="1573"/>
      <c r="D84" s="1573"/>
      <c r="E84" s="1573"/>
      <c r="F84" s="1573"/>
      <c r="H84" s="1150"/>
    </row>
    <row r="85" spans="2:9">
      <c r="B85" s="1021"/>
      <c r="C85" s="1021"/>
      <c r="D85" s="1021"/>
      <c r="E85" s="1021"/>
      <c r="F85" s="1021"/>
      <c r="H85" s="1022"/>
    </row>
    <row r="86" spans="2:9">
      <c r="B86" s="1140" t="s">
        <v>3360</v>
      </c>
      <c r="C86" s="1021"/>
      <c r="D86" s="1021"/>
      <c r="E86" s="1021"/>
      <c r="F86" s="1021"/>
      <c r="H86" s="1022"/>
    </row>
    <row r="87" spans="2:9">
      <c r="B87" s="887" t="s">
        <v>3361</v>
      </c>
      <c r="C87" s="1021"/>
      <c r="D87" s="1021"/>
      <c r="E87" s="1021"/>
      <c r="F87" s="1021"/>
      <c r="H87" s="1022"/>
    </row>
    <row r="88" spans="2:9">
      <c r="B88" s="887" t="s">
        <v>3362</v>
      </c>
      <c r="C88" s="1021"/>
      <c r="D88" s="1021"/>
      <c r="E88" s="1021"/>
      <c r="F88" s="1021"/>
      <c r="H88" s="1022"/>
    </row>
    <row r="89" spans="2:9">
      <c r="B89" s="887" t="s">
        <v>3362</v>
      </c>
      <c r="C89" s="1021"/>
      <c r="D89" s="1021"/>
      <c r="E89" s="1021"/>
      <c r="F89" s="1021"/>
      <c r="H89" s="1022"/>
    </row>
    <row r="91" spans="2:9">
      <c r="B91" s="907" t="s">
        <v>3363</v>
      </c>
    </row>
    <row r="92" spans="2:9">
      <c r="B92" s="933" t="s">
        <v>3364</v>
      </c>
    </row>
    <row r="93" spans="2:9">
      <c r="B93" s="933" t="s">
        <v>3365</v>
      </c>
    </row>
    <row r="94" spans="2:9">
      <c r="B94" s="1154"/>
      <c r="C94" s="1094"/>
      <c r="D94" s="1094"/>
      <c r="E94" s="1094"/>
      <c r="F94" s="1094"/>
      <c r="G94" s="1094"/>
      <c r="H94" s="1094"/>
      <c r="I94" s="1094"/>
    </row>
    <row r="95" spans="2:9">
      <c r="B95" s="1155"/>
      <c r="C95" s="1150"/>
      <c r="D95" s="1150"/>
      <c r="E95" s="1150"/>
      <c r="F95" s="1150"/>
      <c r="G95" s="1150"/>
      <c r="H95" s="1150"/>
      <c r="I95" s="1150"/>
    </row>
    <row r="96" spans="2:9">
      <c r="B96" s="1155"/>
      <c r="C96" s="1150"/>
      <c r="D96" s="1150"/>
      <c r="E96" s="1150"/>
      <c r="F96" s="1150"/>
      <c r="G96" s="1150"/>
      <c r="H96" s="1150"/>
      <c r="I96" s="1150"/>
    </row>
    <row r="97" spans="2:9">
      <c r="B97" s="933"/>
    </row>
    <row r="98" spans="2:9">
      <c r="B98" s="907" t="s">
        <v>3366</v>
      </c>
    </row>
    <row r="99" spans="2:9">
      <c r="B99" s="933" t="s">
        <v>3367</v>
      </c>
      <c r="F99" s="933" t="s">
        <v>3368</v>
      </c>
    </row>
    <row r="100" spans="2:9">
      <c r="B100" s="1154"/>
      <c r="C100" s="1094"/>
      <c r="D100" s="1094"/>
      <c r="E100" s="1094"/>
      <c r="F100" s="1094"/>
      <c r="G100" s="1094"/>
      <c r="H100" s="1094"/>
      <c r="I100" s="1094"/>
    </row>
    <row r="101" spans="2:9">
      <c r="B101" s="1155"/>
      <c r="C101" s="1150"/>
      <c r="D101" s="1150"/>
      <c r="E101" s="1150"/>
      <c r="F101" s="1150"/>
      <c r="G101" s="1150"/>
      <c r="H101" s="1150"/>
      <c r="I101" s="1150"/>
    </row>
    <row r="103" spans="2:9">
      <c r="B103" s="907" t="s">
        <v>3369</v>
      </c>
    </row>
    <row r="104" spans="2:9">
      <c r="C104" s="1156" t="s">
        <v>3370</v>
      </c>
      <c r="D104" s="1574" t="s">
        <v>3371</v>
      </c>
      <c r="E104" s="1574"/>
      <c r="F104" s="1574" t="s">
        <v>3372</v>
      </c>
      <c r="G104" s="1574"/>
      <c r="H104" s="933"/>
    </row>
    <row r="105" spans="2:9" ht="28.5" customHeight="1">
      <c r="B105" s="1157" t="s">
        <v>3306</v>
      </c>
      <c r="C105" s="1130"/>
      <c r="D105" s="1571"/>
      <c r="E105" s="1571"/>
      <c r="F105" s="1571"/>
      <c r="G105" s="1571"/>
      <c r="H105" s="1022"/>
    </row>
    <row r="106" spans="2:9">
      <c r="B106" s="1570"/>
      <c r="C106" s="1570"/>
      <c r="D106" s="1570"/>
      <c r="E106" s="1570"/>
      <c r="F106" s="1570"/>
      <c r="G106" s="1022"/>
      <c r="H106" s="1022"/>
    </row>
    <row r="107" spans="2:9">
      <c r="B107" s="1129" t="s">
        <v>3373</v>
      </c>
      <c r="C107" s="1129"/>
      <c r="D107" s="1129"/>
      <c r="E107" s="1129"/>
      <c r="F107" s="1129"/>
      <c r="G107" s="1022"/>
      <c r="H107" s="1022"/>
    </row>
    <row r="108" spans="2:9">
      <c r="B108" s="1159" t="s">
        <v>3374</v>
      </c>
      <c r="C108" s="1159"/>
      <c r="D108" s="1159"/>
      <c r="E108" s="1159"/>
      <c r="F108" s="1159"/>
      <c r="G108" s="1022"/>
      <c r="H108" s="1022"/>
    </row>
  </sheetData>
  <mergeCells count="44">
    <mergeCell ref="D19:F19"/>
    <mergeCell ref="A1:I1"/>
    <mergeCell ref="A2:I2"/>
    <mergeCell ref="A3:I3"/>
    <mergeCell ref="B5:I5"/>
    <mergeCell ref="D18:F18"/>
    <mergeCell ref="D25:E25"/>
    <mergeCell ref="F25:G25"/>
    <mergeCell ref="B26:C26"/>
    <mergeCell ref="D26:E26"/>
    <mergeCell ref="D27:E27"/>
    <mergeCell ref="F27:G27"/>
    <mergeCell ref="F26:G26"/>
    <mergeCell ref="B28:C28"/>
    <mergeCell ref="D28:E28"/>
    <mergeCell ref="F28:G28"/>
    <mergeCell ref="B29:C29"/>
    <mergeCell ref="D29:E29"/>
    <mergeCell ref="F29:G29"/>
    <mergeCell ref="B31:I31"/>
    <mergeCell ref="B33:I33"/>
    <mergeCell ref="B35:C35"/>
    <mergeCell ref="D35:G35"/>
    <mergeCell ref="B36:C36"/>
    <mergeCell ref="D36:G36"/>
    <mergeCell ref="B37:C37"/>
    <mergeCell ref="D37:G37"/>
    <mergeCell ref="B38:C38"/>
    <mergeCell ref="D38:G38"/>
    <mergeCell ref="B39:C39"/>
    <mergeCell ref="D39:G39"/>
    <mergeCell ref="B106:F106"/>
    <mergeCell ref="B40:C40"/>
    <mergeCell ref="D40:G40"/>
    <mergeCell ref="B41:C41"/>
    <mergeCell ref="D41:G41"/>
    <mergeCell ref="B82:F82"/>
    <mergeCell ref="B83:F83"/>
    <mergeCell ref="B84:F84"/>
    <mergeCell ref="D104:E104"/>
    <mergeCell ref="F104:G104"/>
    <mergeCell ref="D105:E105"/>
    <mergeCell ref="F105:G105"/>
    <mergeCell ref="A42:I42"/>
  </mergeCells>
  <pageMargins left="0.25" right="0.25"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24"/>
  <sheetViews>
    <sheetView workbookViewId="0">
      <selection activeCell="A3" sqref="A3:I3"/>
    </sheetView>
  </sheetViews>
  <sheetFormatPr defaultRowHeight="12.75"/>
  <cols>
    <col min="1" max="1" width="3.5703125" style="1145" customWidth="1"/>
    <col min="2" max="2" width="16.85546875" style="1145" customWidth="1"/>
    <col min="3" max="3" width="16.42578125" style="1145" customWidth="1"/>
    <col min="4" max="8" width="9.140625" style="1145"/>
    <col min="9" max="9" width="19.42578125" style="1145" customWidth="1"/>
    <col min="10" max="10" width="15" style="1145" customWidth="1"/>
    <col min="11" max="16384" width="9.140625" style="1145"/>
  </cols>
  <sheetData>
    <row r="1" spans="1:9" ht="18">
      <c r="A1" s="1585" t="str">
        <f>'COVER PAGE'!A9</f>
        <v>TOWN OF BROADUS</v>
      </c>
      <c r="B1" s="1585"/>
      <c r="C1" s="1585"/>
      <c r="D1" s="1585"/>
      <c r="E1" s="1585"/>
      <c r="F1" s="1585"/>
      <c r="G1" s="1585"/>
      <c r="H1" s="1585"/>
      <c r="I1" s="1585"/>
    </row>
    <row r="2" spans="1:9" ht="18">
      <c r="A2" s="1585" t="str">
        <f>'NOTE TO FIN ST (41)'!A2:I2</f>
        <v>NOTES TO THE BASIC FINANCIAL STATEMENTS</v>
      </c>
      <c r="B2" s="1585"/>
      <c r="C2" s="1585"/>
      <c r="D2" s="1585"/>
      <c r="E2" s="1585"/>
      <c r="F2" s="1585"/>
      <c r="G2" s="1585"/>
      <c r="H2" s="1585"/>
      <c r="I2" s="1585"/>
    </row>
    <row r="3" spans="1:9" ht="18">
      <c r="A3" s="1585" t="str">
        <f>'COVER PAGE'!A30</f>
        <v>FISCAL YEAR ENDING JUNE 30, 2017</v>
      </c>
      <c r="B3" s="1585"/>
      <c r="C3" s="1585"/>
      <c r="D3" s="1585"/>
      <c r="E3" s="1585"/>
      <c r="F3" s="1585"/>
      <c r="G3" s="1585"/>
      <c r="H3" s="1585"/>
      <c r="I3" s="1585"/>
    </row>
    <row r="5" spans="1:9" ht="26.25" customHeight="1">
      <c r="B5" s="1586" t="s">
        <v>3382</v>
      </c>
      <c r="C5" s="1586"/>
      <c r="D5" s="1586"/>
      <c r="E5" s="1586"/>
      <c r="F5" s="1586"/>
      <c r="G5" s="1586"/>
      <c r="H5" s="1586"/>
      <c r="I5" s="1586"/>
    </row>
    <row r="7" spans="1:9">
      <c r="B7" s="1145" t="s">
        <v>3386</v>
      </c>
    </row>
    <row r="8" spans="1:9">
      <c r="B8" s="933" t="s">
        <v>3404</v>
      </c>
    </row>
    <row r="9" spans="1:9" ht="13.5" customHeight="1">
      <c r="B9" s="933"/>
    </row>
    <row r="10" spans="1:9" ht="13.5" customHeight="1">
      <c r="B10" s="931" t="s">
        <v>3395</v>
      </c>
    </row>
    <row r="11" spans="1:9">
      <c r="B11" s="1145" t="s">
        <v>3383</v>
      </c>
    </row>
    <row r="12" spans="1:9">
      <c r="B12" s="933" t="s">
        <v>3384</v>
      </c>
    </row>
    <row r="13" spans="1:9">
      <c r="B13" s="933"/>
    </row>
    <row r="14" spans="1:9">
      <c r="B14" s="933" t="s">
        <v>3385</v>
      </c>
    </row>
    <row r="15" spans="1:9">
      <c r="B15" s="933"/>
    </row>
    <row r="16" spans="1:9">
      <c r="B16" s="933" t="s">
        <v>3387</v>
      </c>
    </row>
    <row r="17" spans="2:9">
      <c r="B17" s="1154"/>
      <c r="C17" s="1154"/>
      <c r="D17" s="1154"/>
      <c r="E17" s="1154"/>
      <c r="F17" s="1154"/>
      <c r="G17" s="1154"/>
      <c r="H17" s="1154"/>
      <c r="I17" s="1154"/>
    </row>
    <row r="18" spans="2:9">
      <c r="B18" s="1154"/>
      <c r="C18" s="1154"/>
      <c r="D18" s="1154"/>
      <c r="E18" s="1154"/>
      <c r="F18" s="1154"/>
      <c r="G18" s="1154"/>
      <c r="H18" s="1154"/>
      <c r="I18" s="1154"/>
    </row>
    <row r="19" spans="2:9">
      <c r="B19" s="1154"/>
      <c r="C19" s="1154"/>
      <c r="D19" s="1154"/>
      <c r="E19" s="1154"/>
      <c r="F19" s="1154"/>
      <c r="G19" s="1154"/>
      <c r="H19" s="1154"/>
      <c r="I19" s="1154"/>
    </row>
    <row r="20" spans="2:9">
      <c r="B20" s="1154"/>
      <c r="C20" s="1154"/>
      <c r="D20" s="1154"/>
      <c r="E20" s="1154"/>
      <c r="F20" s="1154"/>
      <c r="G20" s="1154"/>
      <c r="H20" s="1154"/>
      <c r="I20" s="1154"/>
    </row>
    <row r="21" spans="2:9">
      <c r="B21" s="934"/>
      <c r="C21" s="934"/>
      <c r="D21" s="934"/>
      <c r="E21" s="934"/>
      <c r="F21" s="934"/>
      <c r="G21" s="934"/>
      <c r="H21" s="934"/>
      <c r="I21" s="934"/>
    </row>
    <row r="22" spans="2:9">
      <c r="B22" s="1168" t="s">
        <v>3393</v>
      </c>
      <c r="C22" s="934"/>
      <c r="D22" s="934"/>
      <c r="E22" s="934"/>
      <c r="F22" s="934"/>
      <c r="G22" s="934"/>
      <c r="H22" s="934"/>
      <c r="I22" s="934"/>
    </row>
    <row r="23" spans="2:9">
      <c r="B23" s="934" t="s">
        <v>3391</v>
      </c>
      <c r="C23" s="934"/>
      <c r="D23" s="934"/>
      <c r="E23" s="934"/>
      <c r="F23" s="934"/>
      <c r="G23" s="934"/>
      <c r="H23" s="934"/>
      <c r="I23" s="934"/>
    </row>
    <row r="24" spans="2:9">
      <c r="B24" s="1154"/>
      <c r="C24" s="1154"/>
      <c r="D24" s="1154"/>
      <c r="E24" s="1154"/>
      <c r="F24" s="1154"/>
      <c r="G24" s="1154"/>
      <c r="H24" s="1154"/>
      <c r="I24" s="1154"/>
    </row>
    <row r="25" spans="2:9">
      <c r="B25" s="1155"/>
      <c r="C25" s="1155"/>
      <c r="D25" s="1155"/>
      <c r="E25" s="1155"/>
      <c r="F25" s="1155"/>
      <c r="G25" s="1155"/>
      <c r="H25" s="1155"/>
      <c r="I25" s="1155"/>
    </row>
    <row r="26" spans="2:9">
      <c r="B26" s="934"/>
      <c r="C26" s="934"/>
      <c r="D26" s="934"/>
      <c r="E26" s="934"/>
      <c r="F26" s="934"/>
      <c r="G26" s="934"/>
      <c r="H26" s="934"/>
      <c r="I26" s="934"/>
    </row>
    <row r="27" spans="2:9">
      <c r="B27" s="1168" t="s">
        <v>3394</v>
      </c>
      <c r="C27" s="934"/>
      <c r="D27" s="934"/>
      <c r="E27" s="934"/>
      <c r="F27" s="934"/>
      <c r="G27" s="934"/>
      <c r="H27" s="934"/>
      <c r="I27" s="934"/>
    </row>
    <row r="28" spans="2:9">
      <c r="B28" s="934" t="s">
        <v>3392</v>
      </c>
      <c r="C28" s="934"/>
      <c r="D28" s="934"/>
      <c r="E28" s="934"/>
      <c r="F28" s="934"/>
      <c r="G28" s="934"/>
      <c r="H28" s="934"/>
      <c r="I28" s="934"/>
    </row>
    <row r="29" spans="2:9">
      <c r="B29" s="1154"/>
      <c r="C29" s="1154"/>
      <c r="D29" s="1154"/>
      <c r="E29" s="1154"/>
      <c r="F29" s="1154"/>
      <c r="G29" s="1154"/>
      <c r="H29" s="1154"/>
      <c r="I29" s="1154"/>
    </row>
    <row r="30" spans="2:9">
      <c r="B30" s="934"/>
      <c r="C30" s="934"/>
      <c r="D30" s="934"/>
      <c r="E30" s="934"/>
      <c r="F30" s="934"/>
      <c r="G30" s="934"/>
      <c r="H30" s="934"/>
      <c r="I30" s="934"/>
    </row>
    <row r="31" spans="2:9">
      <c r="B31" s="934" t="s">
        <v>3396</v>
      </c>
      <c r="C31" s="934"/>
      <c r="D31" s="934"/>
      <c r="E31" s="934"/>
      <c r="F31" s="934"/>
      <c r="G31" s="934"/>
      <c r="H31" s="934"/>
      <c r="I31" s="934"/>
    </row>
    <row r="32" spans="2:9">
      <c r="B32" s="1574" t="s">
        <v>3388</v>
      </c>
      <c r="C32" s="1574"/>
      <c r="D32" s="934"/>
      <c r="E32" s="934"/>
      <c r="F32" s="934"/>
      <c r="G32" s="934"/>
      <c r="H32" s="934"/>
      <c r="I32" s="934"/>
    </row>
    <row r="33" spans="2:9" ht="15.95" customHeight="1">
      <c r="B33" s="1598" t="s">
        <v>3389</v>
      </c>
      <c r="C33" s="1599"/>
      <c r="D33" s="1595"/>
      <c r="E33" s="1596"/>
      <c r="F33" s="1597"/>
    </row>
    <row r="34" spans="2:9" ht="15.95" customHeight="1">
      <c r="B34" s="1598" t="s">
        <v>3390</v>
      </c>
      <c r="C34" s="1599"/>
      <c r="D34" s="1169"/>
      <c r="E34" s="1170"/>
      <c r="F34" s="1171"/>
    </row>
    <row r="35" spans="2:9" ht="15.95" customHeight="1">
      <c r="B35" s="1600"/>
      <c r="C35" s="1600"/>
      <c r="D35" s="1594"/>
      <c r="E35" s="1594"/>
      <c r="F35" s="1594"/>
    </row>
    <row r="36" spans="2:9">
      <c r="B36" s="1129" t="s">
        <v>3397</v>
      </c>
      <c r="C36" s="1127"/>
      <c r="D36" s="1127"/>
      <c r="E36" s="1127"/>
      <c r="F36" s="1127"/>
      <c r="G36" s="1144"/>
      <c r="H36" s="1144"/>
      <c r="I36" s="1144"/>
    </row>
    <row r="37" spans="2:9">
      <c r="B37" s="1145" t="s">
        <v>3398</v>
      </c>
    </row>
    <row r="38" spans="2:9">
      <c r="B38" s="933" t="s">
        <v>3399</v>
      </c>
    </row>
    <row r="39" spans="2:9">
      <c r="B39" s="1094"/>
      <c r="C39" s="1094"/>
      <c r="D39" s="1094"/>
      <c r="E39" s="1094"/>
      <c r="F39" s="1094"/>
      <c r="G39" s="1094"/>
      <c r="H39" s="1094"/>
      <c r="I39" s="1094"/>
    </row>
    <row r="40" spans="2:9">
      <c r="B40" s="1150"/>
      <c r="C40" s="1150"/>
      <c r="D40" s="1150"/>
      <c r="E40" s="1150"/>
      <c r="F40" s="1150"/>
      <c r="G40" s="1150"/>
      <c r="H40" s="1150"/>
      <c r="I40" s="1150"/>
    </row>
    <row r="41" spans="2:9">
      <c r="B41" s="1022"/>
      <c r="C41" s="1022"/>
      <c r="D41" s="1022"/>
      <c r="E41" s="1022"/>
      <c r="F41" s="1022"/>
      <c r="G41" s="1022"/>
      <c r="H41" s="1022"/>
      <c r="I41" s="1022"/>
    </row>
    <row r="42" spans="2:9" ht="12.75" customHeight="1">
      <c r="B42" s="1022" t="s">
        <v>3400</v>
      </c>
      <c r="C42" s="1022"/>
      <c r="D42" s="1167"/>
      <c r="E42" s="1167"/>
      <c r="F42" s="1167"/>
      <c r="G42" s="1167"/>
      <c r="H42" s="1022"/>
      <c r="I42" s="1022"/>
    </row>
    <row r="43" spans="2:9" ht="12.75" customHeight="1">
      <c r="B43" s="1127"/>
      <c r="C43" s="1127"/>
      <c r="D43" s="1143"/>
      <c r="E43" s="1143"/>
      <c r="F43" s="1052"/>
      <c r="G43" s="1052"/>
      <c r="H43" s="1022"/>
      <c r="I43" s="1022"/>
    </row>
    <row r="44" spans="2:9" ht="12.75" customHeight="1">
      <c r="B44" s="1127" t="s">
        <v>3401</v>
      </c>
      <c r="C44" s="1127"/>
      <c r="D44" s="1143"/>
      <c r="E44" s="1143"/>
      <c r="F44" s="1143"/>
      <c r="G44" s="1143"/>
      <c r="H44" s="1022"/>
      <c r="I44" s="1022"/>
    </row>
    <row r="45" spans="2:9" ht="12.75" customHeight="1">
      <c r="B45" s="1587" t="s">
        <v>3402</v>
      </c>
      <c r="C45" s="1587"/>
      <c r="D45" s="1587"/>
      <c r="E45" s="1587"/>
      <c r="F45" s="1587"/>
      <c r="G45" s="1587"/>
      <c r="H45" s="1587"/>
      <c r="I45" s="1587"/>
    </row>
    <row r="46" spans="2:9" ht="12.75" customHeight="1">
      <c r="B46" s="1588" t="s">
        <v>3403</v>
      </c>
      <c r="C46" s="1588"/>
      <c r="D46" s="1588"/>
      <c r="E46" s="1588"/>
      <c r="F46" s="1588"/>
      <c r="G46" s="1588"/>
      <c r="H46" s="1588"/>
      <c r="I46" s="1588"/>
    </row>
    <row r="47" spans="2:9" ht="12.75" customHeight="1">
      <c r="B47" s="1589"/>
      <c r="C47" s="1589"/>
      <c r="D47" s="1589"/>
      <c r="E47" s="1589"/>
      <c r="F47" s="1589"/>
      <c r="G47" s="1589"/>
      <c r="H47" s="1589"/>
      <c r="I47" s="1589"/>
    </row>
    <row r="48" spans="2:9" ht="12.75" customHeight="1">
      <c r="B48" s="1590"/>
      <c r="C48" s="1590"/>
      <c r="D48" s="1590"/>
      <c r="E48" s="1590"/>
      <c r="F48" s="1590"/>
      <c r="G48" s="1590"/>
      <c r="H48" s="1590"/>
      <c r="I48" s="1590"/>
    </row>
    <row r="49" spans="2:9" ht="12.75" customHeight="1">
      <c r="B49" s="1583"/>
      <c r="C49" s="1583"/>
      <c r="D49" s="1583"/>
      <c r="E49" s="1583"/>
      <c r="F49" s="1583"/>
      <c r="G49" s="1583"/>
      <c r="H49" s="1583"/>
      <c r="I49" s="1583"/>
    </row>
    <row r="50" spans="2:9" ht="18" customHeight="1">
      <c r="B50" s="1592" t="s">
        <v>3193</v>
      </c>
      <c r="C50" s="1593"/>
      <c r="D50" s="1593"/>
      <c r="E50" s="1593"/>
      <c r="F50" s="1593"/>
      <c r="G50" s="1593"/>
      <c r="H50" s="1593"/>
      <c r="I50" s="1593"/>
    </row>
    <row r="51" spans="2:9" ht="12.75" customHeight="1">
      <c r="B51" s="1167"/>
      <c r="C51" s="1167"/>
      <c r="D51" s="1167"/>
      <c r="E51" s="1167"/>
      <c r="F51" s="1167"/>
      <c r="G51" s="1167"/>
      <c r="H51" s="1022"/>
      <c r="I51" s="1022"/>
    </row>
    <row r="52" spans="2:9" ht="12.75" customHeight="1">
      <c r="B52" s="1143"/>
      <c r="C52" s="1143"/>
      <c r="D52" s="1143"/>
      <c r="E52" s="1143"/>
      <c r="F52" s="1143"/>
      <c r="G52" s="1143"/>
      <c r="H52" s="1022"/>
      <c r="I52" s="1022"/>
    </row>
    <row r="53" spans="2:9" ht="12.75" customHeight="1">
      <c r="B53" s="1143"/>
      <c r="C53" s="1143"/>
      <c r="D53" s="1143"/>
      <c r="E53" s="1143"/>
      <c r="F53" s="1143"/>
      <c r="G53" s="1143"/>
      <c r="H53" s="1022"/>
      <c r="I53" s="1022"/>
    </row>
    <row r="54" spans="2:9" ht="12.75" customHeight="1">
      <c r="B54" s="1143"/>
      <c r="C54" s="1143"/>
      <c r="D54" s="1143"/>
      <c r="E54" s="1143"/>
      <c r="F54" s="1143"/>
      <c r="G54" s="1143"/>
      <c r="H54" s="1022"/>
      <c r="I54" s="1022"/>
    </row>
    <row r="55" spans="2:9" ht="12.75" customHeight="1">
      <c r="B55" s="1143"/>
      <c r="C55" s="1143"/>
      <c r="D55" s="1143"/>
      <c r="E55" s="1143"/>
      <c r="F55" s="1143"/>
      <c r="G55" s="1143"/>
      <c r="H55" s="1022"/>
      <c r="I55" s="1022"/>
    </row>
    <row r="56" spans="2:9" ht="12.75" customHeight="1">
      <c r="B56" s="1143"/>
      <c r="C56" s="1143"/>
      <c r="D56" s="1143"/>
      <c r="E56" s="1143"/>
      <c r="F56" s="1143"/>
      <c r="G56" s="1143"/>
      <c r="H56" s="1022"/>
      <c r="I56" s="1022"/>
    </row>
    <row r="57" spans="2:9" ht="12.75" customHeight="1">
      <c r="B57" s="880"/>
      <c r="C57" s="1143"/>
      <c r="D57" s="1143"/>
      <c r="E57" s="1143"/>
      <c r="F57" s="1143"/>
      <c r="G57" s="1143"/>
      <c r="H57" s="1022"/>
      <c r="I57" s="1022"/>
    </row>
    <row r="58" spans="2:9" ht="12.75" customHeight="1">
      <c r="B58" s="1022"/>
      <c r="C58" s="1022"/>
      <c r="D58" s="1022"/>
      <c r="E58" s="1022"/>
      <c r="F58" s="1022"/>
      <c r="G58" s="1022"/>
      <c r="H58" s="1022"/>
      <c r="I58" s="1022"/>
    </row>
    <row r="59" spans="2:9" ht="12.75" customHeight="1">
      <c r="B59" s="1022"/>
      <c r="C59" s="1022"/>
      <c r="D59" s="1022"/>
      <c r="E59" s="1022"/>
      <c r="F59" s="1022"/>
      <c r="G59" s="1022"/>
      <c r="H59" s="1022"/>
      <c r="I59" s="1022"/>
    </row>
    <row r="60" spans="2:9" ht="12.75" customHeight="1">
      <c r="B60" s="1168"/>
      <c r="C60" s="1022"/>
      <c r="D60" s="1022"/>
      <c r="E60" s="1022"/>
      <c r="F60" s="1022"/>
      <c r="G60" s="1022"/>
      <c r="H60" s="1022"/>
      <c r="I60" s="1022"/>
    </row>
    <row r="61" spans="2:9" ht="12.75" customHeight="1">
      <c r="B61" s="1022"/>
      <c r="C61" s="1022"/>
      <c r="D61" s="1022"/>
      <c r="E61" s="1022"/>
      <c r="F61" s="1022"/>
      <c r="G61" s="1022"/>
      <c r="H61" s="1022"/>
      <c r="I61" s="1022"/>
    </row>
    <row r="62" spans="2:9" ht="12.75" customHeight="1">
      <c r="B62" s="1022"/>
      <c r="C62" s="1022"/>
      <c r="D62" s="1022"/>
      <c r="E62" s="1022"/>
      <c r="F62" s="1022"/>
      <c r="G62" s="1022"/>
      <c r="H62" s="1022"/>
      <c r="I62" s="1022"/>
    </row>
    <row r="63" spans="2:9" ht="12.75" customHeight="1"/>
    <row r="64" spans="2:9" ht="12.75" customHeight="1">
      <c r="B64" s="933"/>
    </row>
    <row r="65" spans="2:2" ht="12.75" customHeight="1"/>
    <row r="66" spans="2:2" ht="12.75" customHeight="1"/>
    <row r="67" spans="2:2" ht="12.75" customHeight="1"/>
    <row r="68" spans="2:2" ht="12.75" customHeight="1">
      <c r="B68" s="933"/>
    </row>
    <row r="69" spans="2:2" ht="12.75" customHeight="1"/>
    <row r="70" spans="2:2" ht="12.75" customHeight="1">
      <c r="B70" s="933"/>
    </row>
    <row r="71" spans="2:2" ht="12.75" customHeight="1"/>
    <row r="72" spans="2:2" ht="12.75" customHeight="1"/>
    <row r="73" spans="2:2" ht="12.75" customHeight="1"/>
    <row r="74" spans="2:2" ht="12.75" customHeight="1">
      <c r="B74" s="933"/>
    </row>
    <row r="75" spans="2:2" ht="12.75" customHeight="1"/>
    <row r="76" spans="2:2" ht="12.75" customHeight="1"/>
    <row r="77" spans="2:2" ht="12.75" customHeight="1"/>
    <row r="78" spans="2:2" ht="12.75" customHeight="1"/>
    <row r="79" spans="2:2" ht="12.75" customHeight="1"/>
    <row r="80" spans="2:2" ht="12.75" customHeight="1"/>
    <row r="81" spans="2:9" ht="12.75" customHeight="1"/>
    <row r="82" spans="2:9" ht="12.75" customHeight="1"/>
    <row r="83" spans="2:9" ht="12.75" customHeight="1"/>
    <row r="84" spans="2:9" ht="12.75" customHeight="1"/>
    <row r="85" spans="2:9" ht="12.75" customHeight="1"/>
    <row r="86" spans="2:9" ht="12.75" customHeight="1"/>
    <row r="87" spans="2:9" ht="12.75" customHeight="1"/>
    <row r="88" spans="2:9" ht="12.75" customHeight="1"/>
    <row r="89" spans="2:9" ht="12.75" customHeight="1"/>
    <row r="90" spans="2:9" ht="12.75" customHeight="1"/>
    <row r="91" spans="2:9" ht="12.75" customHeight="1"/>
    <row r="92" spans="2:9" ht="12.75" customHeight="1">
      <c r="B92" s="1022"/>
      <c r="C92" s="1022"/>
      <c r="D92" s="1022"/>
      <c r="E92" s="1022"/>
      <c r="F92" s="1022"/>
      <c r="G92" s="1022"/>
      <c r="H92" s="1022"/>
      <c r="I92" s="1022"/>
    </row>
    <row r="93" spans="2:9" ht="12.75" customHeight="1">
      <c r="B93" s="1022"/>
      <c r="C93" s="1022"/>
      <c r="D93" s="1022"/>
      <c r="E93" s="1022"/>
      <c r="F93" s="1022"/>
      <c r="G93" s="1022"/>
      <c r="H93" s="1022"/>
      <c r="I93" s="1022"/>
    </row>
    <row r="94" spans="2:9" ht="12.75" customHeight="1">
      <c r="B94" s="1022"/>
      <c r="C94" s="1022"/>
      <c r="D94" s="1022"/>
      <c r="E94" s="1022"/>
      <c r="F94" s="1022"/>
      <c r="G94" s="1022"/>
      <c r="H94" s="1022"/>
      <c r="I94" s="1022"/>
    </row>
    <row r="95" spans="2:9" ht="12.75" customHeight="1">
      <c r="B95" s="1022"/>
      <c r="C95" s="1022"/>
      <c r="D95" s="1022"/>
      <c r="E95" s="1022"/>
      <c r="F95" s="1022"/>
      <c r="G95" s="1022"/>
      <c r="H95" s="1022"/>
      <c r="I95" s="1022"/>
    </row>
    <row r="96" spans="2:9" ht="12.75" customHeight="1">
      <c r="B96" s="1022"/>
      <c r="C96" s="1022"/>
      <c r="D96" s="1022"/>
      <c r="E96" s="1022"/>
      <c r="F96" s="1022"/>
      <c r="G96" s="1022"/>
      <c r="H96" s="1022"/>
      <c r="I96" s="1022"/>
    </row>
    <row r="97" spans="2:9" ht="12.75" customHeight="1">
      <c r="B97" s="1164"/>
      <c r="C97" s="1022"/>
      <c r="D97" s="1022"/>
      <c r="E97" s="1022"/>
      <c r="F97" s="1022"/>
      <c r="G97" s="1022"/>
      <c r="H97" s="1022"/>
      <c r="I97" s="1022"/>
    </row>
    <row r="98" spans="2:9" ht="12.75" customHeight="1">
      <c r="B98" s="1570"/>
      <c r="C98" s="1570"/>
      <c r="D98" s="1570"/>
      <c r="E98" s="1570"/>
      <c r="F98" s="1570"/>
      <c r="G98" s="1022"/>
      <c r="H98" s="1022"/>
      <c r="I98" s="1022"/>
    </row>
    <row r="99" spans="2:9" ht="12.75" customHeight="1">
      <c r="B99" s="1570"/>
      <c r="C99" s="1570"/>
      <c r="D99" s="1570"/>
      <c r="E99" s="1570"/>
      <c r="F99" s="1570"/>
      <c r="G99" s="1022"/>
      <c r="H99" s="1022"/>
      <c r="I99" s="1022"/>
    </row>
    <row r="100" spans="2:9" ht="12.75" customHeight="1">
      <c r="B100" s="1570"/>
      <c r="C100" s="1570"/>
      <c r="D100" s="1570"/>
      <c r="E100" s="1570"/>
      <c r="F100" s="1570"/>
      <c r="G100" s="1022"/>
      <c r="H100" s="1022"/>
      <c r="I100" s="1022"/>
    </row>
    <row r="101" spans="2:9" ht="12.75" customHeight="1">
      <c r="B101" s="1158"/>
      <c r="C101" s="1158"/>
      <c r="D101" s="1158"/>
      <c r="E101" s="1158"/>
      <c r="F101" s="1158"/>
      <c r="G101" s="1022"/>
      <c r="H101" s="1022"/>
      <c r="I101" s="1022"/>
    </row>
    <row r="102" spans="2:9" ht="12.75" customHeight="1">
      <c r="B102" s="1165"/>
      <c r="C102" s="1158"/>
      <c r="D102" s="1158"/>
      <c r="E102" s="1158"/>
      <c r="F102" s="1158"/>
      <c r="G102" s="1022"/>
      <c r="H102" s="1022"/>
      <c r="I102" s="1022"/>
    </row>
    <row r="103" spans="2:9" ht="12.75" customHeight="1">
      <c r="B103" s="1159"/>
      <c r="C103" s="1158"/>
      <c r="D103" s="1158"/>
      <c r="E103" s="1158"/>
      <c r="F103" s="1158"/>
      <c r="G103" s="1022"/>
      <c r="H103" s="1022"/>
      <c r="I103" s="1022"/>
    </row>
    <row r="104" spans="2:9" ht="12.75" customHeight="1">
      <c r="B104" s="1159"/>
      <c r="C104" s="1158"/>
      <c r="D104" s="1158"/>
      <c r="E104" s="1158"/>
      <c r="F104" s="1158"/>
      <c r="G104" s="1022"/>
      <c r="H104" s="1022"/>
      <c r="I104" s="1022"/>
    </row>
    <row r="105" spans="2:9" ht="12.75" customHeight="1">
      <c r="B105" s="1159"/>
      <c r="C105" s="1158"/>
      <c r="D105" s="1158"/>
      <c r="E105" s="1158"/>
      <c r="F105" s="1158"/>
      <c r="G105" s="1022"/>
      <c r="H105" s="1022"/>
      <c r="I105" s="1022"/>
    </row>
    <row r="106" spans="2:9" ht="12.75" customHeight="1">
      <c r="B106" s="1022"/>
      <c r="C106" s="1022"/>
      <c r="D106" s="1022"/>
      <c r="E106" s="1022"/>
      <c r="F106" s="1022"/>
      <c r="G106" s="1022"/>
      <c r="H106" s="1022"/>
      <c r="I106" s="1022"/>
    </row>
    <row r="107" spans="2:9" ht="12.75" customHeight="1">
      <c r="B107" s="1164"/>
      <c r="C107" s="1022"/>
      <c r="D107" s="1022"/>
      <c r="E107" s="1022"/>
      <c r="F107" s="1022"/>
      <c r="G107" s="1022"/>
      <c r="H107" s="1022"/>
      <c r="I107" s="1022"/>
    </row>
    <row r="108" spans="2:9" ht="12.75" customHeight="1">
      <c r="B108" s="934"/>
      <c r="C108" s="1022"/>
      <c r="D108" s="1022"/>
      <c r="E108" s="1022"/>
      <c r="F108" s="1022"/>
      <c r="G108" s="1022"/>
      <c r="H108" s="1022"/>
      <c r="I108" s="1022"/>
    </row>
    <row r="109" spans="2:9" ht="12.75" customHeight="1">
      <c r="B109" s="934"/>
      <c r="C109" s="1022"/>
      <c r="D109" s="1022"/>
      <c r="E109" s="1022"/>
      <c r="F109" s="1022"/>
      <c r="G109" s="1022"/>
      <c r="H109" s="1022"/>
      <c r="I109" s="1022"/>
    </row>
    <row r="110" spans="2:9" ht="12.75" customHeight="1">
      <c r="B110" s="934"/>
      <c r="C110" s="1022"/>
      <c r="D110" s="1022"/>
      <c r="E110" s="1022"/>
      <c r="F110" s="1022"/>
      <c r="G110" s="1022"/>
      <c r="H110" s="1022"/>
      <c r="I110" s="1022"/>
    </row>
    <row r="111" spans="2:9" ht="12.75" customHeight="1">
      <c r="B111" s="934"/>
      <c r="C111" s="1022"/>
      <c r="D111" s="1022"/>
      <c r="E111" s="1022"/>
      <c r="F111" s="1022"/>
      <c r="G111" s="1022"/>
      <c r="H111" s="1022"/>
      <c r="I111" s="1022"/>
    </row>
    <row r="112" spans="2:9" ht="12.75" customHeight="1">
      <c r="B112" s="934"/>
      <c r="C112" s="1022"/>
      <c r="D112" s="1022"/>
      <c r="E112" s="1022"/>
      <c r="F112" s="1022"/>
      <c r="G112" s="1022"/>
      <c r="H112" s="1022"/>
      <c r="I112" s="1022"/>
    </row>
    <row r="113" spans="2:9">
      <c r="B113" s="934"/>
      <c r="C113" s="1022"/>
      <c r="D113" s="1022"/>
      <c r="E113" s="1022"/>
      <c r="F113" s="1022"/>
      <c r="G113" s="1022"/>
      <c r="H113" s="1022"/>
      <c r="I113" s="1022"/>
    </row>
    <row r="114" spans="2:9">
      <c r="B114" s="1164"/>
      <c r="C114" s="1022"/>
      <c r="D114" s="1022"/>
      <c r="E114" s="1022"/>
      <c r="F114" s="1022"/>
      <c r="G114" s="1022"/>
      <c r="H114" s="1022"/>
      <c r="I114" s="1022"/>
    </row>
    <row r="115" spans="2:9">
      <c r="B115" s="934"/>
      <c r="C115" s="1022"/>
      <c r="D115" s="1022"/>
      <c r="E115" s="1022"/>
      <c r="F115" s="934"/>
      <c r="G115" s="1022"/>
      <c r="H115" s="1022"/>
      <c r="I115" s="1022"/>
    </row>
    <row r="116" spans="2:9">
      <c r="B116" s="934"/>
      <c r="C116" s="1022"/>
      <c r="D116" s="1022"/>
      <c r="E116" s="1022"/>
      <c r="F116" s="1022"/>
      <c r="G116" s="1022"/>
      <c r="H116" s="1022"/>
      <c r="I116" s="1022"/>
    </row>
    <row r="117" spans="2:9">
      <c r="B117" s="934"/>
      <c r="C117" s="1022"/>
      <c r="D117" s="1022"/>
      <c r="E117" s="1022"/>
      <c r="F117" s="1022"/>
      <c r="G117" s="1022"/>
      <c r="H117" s="1022"/>
      <c r="I117" s="1022"/>
    </row>
    <row r="118" spans="2:9">
      <c r="B118" s="1022"/>
      <c r="C118" s="1022"/>
      <c r="D118" s="1022"/>
      <c r="E118" s="1022"/>
      <c r="F118" s="1022"/>
      <c r="G118" s="1022"/>
      <c r="H118" s="1022"/>
      <c r="I118" s="1022"/>
    </row>
    <row r="119" spans="2:9">
      <c r="B119" s="1164"/>
      <c r="C119" s="1022"/>
      <c r="D119" s="1022"/>
      <c r="E119" s="1022"/>
      <c r="F119" s="1022"/>
      <c r="G119" s="1022"/>
      <c r="H119" s="1022"/>
      <c r="I119" s="1022"/>
    </row>
    <row r="120" spans="2:9">
      <c r="B120" s="1022"/>
      <c r="C120" s="1166"/>
      <c r="D120" s="1591"/>
      <c r="E120" s="1591"/>
      <c r="F120" s="1591"/>
      <c r="G120" s="1591"/>
      <c r="H120" s="934"/>
      <c r="I120" s="1022"/>
    </row>
    <row r="121" spans="2:9" ht="28.5" customHeight="1">
      <c r="B121" s="1167"/>
      <c r="C121" s="1022"/>
      <c r="D121" s="1472"/>
      <c r="E121" s="1472"/>
      <c r="F121" s="1472"/>
      <c r="G121" s="1472"/>
      <c r="H121" s="1022"/>
      <c r="I121" s="1022"/>
    </row>
    <row r="122" spans="2:9">
      <c r="B122" s="1570"/>
      <c r="C122" s="1570"/>
      <c r="D122" s="1570"/>
      <c r="E122" s="1570"/>
      <c r="F122" s="1570"/>
      <c r="G122" s="1022"/>
      <c r="H122" s="1022"/>
      <c r="I122" s="1022"/>
    </row>
    <row r="123" spans="2:9">
      <c r="B123" s="1129"/>
      <c r="C123" s="1129"/>
      <c r="D123" s="1129"/>
      <c r="E123" s="1129"/>
      <c r="F123" s="1129"/>
      <c r="G123" s="1022"/>
      <c r="H123" s="1022"/>
      <c r="I123" s="1022"/>
    </row>
    <row r="124" spans="2:9">
      <c r="B124" s="1159"/>
      <c r="C124" s="1159"/>
      <c r="D124" s="1159"/>
      <c r="E124" s="1159"/>
      <c r="F124" s="1159"/>
      <c r="G124" s="1022"/>
      <c r="H124" s="1022"/>
      <c r="I124" s="1022"/>
    </row>
  </sheetData>
  <mergeCells count="24">
    <mergeCell ref="A1:I1"/>
    <mergeCell ref="A2:I2"/>
    <mergeCell ref="A3:I3"/>
    <mergeCell ref="B5:I5"/>
    <mergeCell ref="D35:F35"/>
    <mergeCell ref="D33:F33"/>
    <mergeCell ref="B33:C33"/>
    <mergeCell ref="B32:C32"/>
    <mergeCell ref="B35:C35"/>
    <mergeCell ref="B34:C34"/>
    <mergeCell ref="B122:F122"/>
    <mergeCell ref="B98:F98"/>
    <mergeCell ref="B99:F99"/>
    <mergeCell ref="B45:I45"/>
    <mergeCell ref="B46:I46"/>
    <mergeCell ref="B47:I47"/>
    <mergeCell ref="B48:I48"/>
    <mergeCell ref="B49:I49"/>
    <mergeCell ref="B100:F100"/>
    <mergeCell ref="D120:E120"/>
    <mergeCell ref="F120:G120"/>
    <mergeCell ref="D121:E121"/>
    <mergeCell ref="F121:G121"/>
    <mergeCell ref="B50:I50"/>
  </mergeCells>
  <pageMargins left="0.25" right="0.25"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fitToPage="1"/>
  </sheetPr>
  <dimension ref="A1:O63"/>
  <sheetViews>
    <sheetView topLeftCell="A24" zoomScaleNormal="100" workbookViewId="0">
      <selection activeCell="H29" sqref="H29"/>
    </sheetView>
  </sheetViews>
  <sheetFormatPr defaultColWidth="8.85546875" defaultRowHeight="12.75"/>
  <cols>
    <col min="1" max="2" width="3.7109375" style="261" customWidth="1"/>
    <col min="3" max="8" width="8.85546875" style="261"/>
    <col min="9" max="9" width="9.7109375" style="261" customWidth="1"/>
    <col min="10" max="12" width="8.85546875" style="261"/>
    <col min="13" max="13" width="9.7109375" style="261" customWidth="1"/>
    <col min="14" max="16384" width="8.85546875" style="261"/>
  </cols>
  <sheetData>
    <row r="1" spans="1:15" ht="18">
      <c r="A1" s="259" t="str">
        <f>'COVER PAGE'!A9</f>
        <v>TOWN OF BROADUS</v>
      </c>
      <c r="B1" s="276"/>
      <c r="C1" s="276"/>
      <c r="D1" s="276"/>
      <c r="E1" s="276"/>
      <c r="F1" s="276"/>
      <c r="G1" s="276"/>
      <c r="H1" s="276"/>
      <c r="I1" s="276"/>
      <c r="J1" s="276"/>
      <c r="K1" s="276"/>
      <c r="L1" s="276"/>
      <c r="M1" s="276"/>
      <c r="N1" s="276"/>
      <c r="O1" s="276"/>
    </row>
    <row r="2" spans="1:15" ht="18">
      <c r="A2" s="259" t="s">
        <v>1319</v>
      </c>
      <c r="B2" s="276"/>
      <c r="C2" s="276"/>
      <c r="D2" s="276"/>
      <c r="E2" s="276"/>
      <c r="F2" s="276"/>
      <c r="G2" s="276"/>
      <c r="H2" s="276"/>
      <c r="I2" s="276"/>
      <c r="J2" s="276"/>
      <c r="K2" s="276"/>
      <c r="L2" s="276"/>
      <c r="M2" s="276"/>
      <c r="N2" s="276"/>
      <c r="O2" s="276"/>
    </row>
    <row r="3" spans="1:15" ht="18">
      <c r="A3" s="262" t="str">
        <f>'COVER PAGE'!A30</f>
        <v>FISCAL YEAR ENDING JUNE 30, 2017</v>
      </c>
      <c r="B3" s="276"/>
      <c r="C3" s="276"/>
      <c r="D3" s="276"/>
      <c r="E3" s="276"/>
      <c r="F3" s="276"/>
      <c r="G3" s="276"/>
      <c r="H3" s="276"/>
      <c r="I3" s="276"/>
      <c r="J3" s="276"/>
      <c r="K3" s="276"/>
      <c r="L3" s="276"/>
      <c r="M3" s="276"/>
      <c r="N3" s="276"/>
      <c r="O3" s="276"/>
    </row>
    <row r="5" spans="1:15">
      <c r="A5" s="333" t="s">
        <v>86</v>
      </c>
      <c r="C5" s="334" t="s">
        <v>756</v>
      </c>
    </row>
    <row r="7" spans="1:15">
      <c r="B7" s="335" t="s">
        <v>928</v>
      </c>
      <c r="C7" s="334" t="s">
        <v>930</v>
      </c>
      <c r="F7" s="1317" t="s">
        <v>3707</v>
      </c>
    </row>
    <row r="8" spans="1:15">
      <c r="C8" s="261" t="s">
        <v>938</v>
      </c>
    </row>
    <row r="9" spans="1:15">
      <c r="C9" s="392" t="s">
        <v>937</v>
      </c>
    </row>
    <row r="11" spans="1:15">
      <c r="C11" s="346"/>
      <c r="D11" s="347"/>
      <c r="E11" s="347"/>
      <c r="F11" s="347"/>
      <c r="G11" s="347"/>
      <c r="H11" s="347"/>
      <c r="I11" s="347"/>
      <c r="J11" s="346"/>
      <c r="K11" s="347"/>
      <c r="L11" s="347"/>
      <c r="M11" s="393" t="s">
        <v>933</v>
      </c>
      <c r="N11" s="394"/>
      <c r="O11" s="395"/>
    </row>
    <row r="12" spans="1:15">
      <c r="C12" s="359" t="s">
        <v>931</v>
      </c>
      <c r="D12" s="360"/>
      <c r="E12" s="360"/>
      <c r="F12" s="360"/>
      <c r="G12" s="360"/>
      <c r="H12" s="360"/>
      <c r="I12" s="360"/>
      <c r="J12" s="359" t="s">
        <v>932</v>
      </c>
      <c r="K12" s="360"/>
      <c r="L12" s="360"/>
      <c r="M12" s="396" t="s">
        <v>934</v>
      </c>
      <c r="N12" s="397" t="s">
        <v>935</v>
      </c>
      <c r="O12" s="398" t="s">
        <v>936</v>
      </c>
    </row>
    <row r="13" spans="1:15">
      <c r="C13" s="595"/>
      <c r="D13" s="387"/>
      <c r="E13" s="387"/>
      <c r="F13" s="387"/>
      <c r="G13" s="387"/>
      <c r="H13" s="387"/>
      <c r="I13" s="387"/>
      <c r="J13" s="386"/>
      <c r="K13" s="387"/>
      <c r="L13" s="387"/>
      <c r="M13" s="386"/>
      <c r="N13" s="388"/>
      <c r="O13" s="399"/>
    </row>
    <row r="14" spans="1:15">
      <c r="C14" s="386"/>
      <c r="D14" s="387"/>
      <c r="E14" s="387"/>
      <c r="F14" s="387"/>
      <c r="G14" s="387"/>
      <c r="H14" s="387"/>
      <c r="I14" s="387"/>
      <c r="J14" s="386"/>
      <c r="K14" s="387"/>
      <c r="L14" s="387"/>
      <c r="M14" s="386"/>
      <c r="N14" s="388"/>
      <c r="O14" s="399"/>
    </row>
    <row r="15" spans="1:15">
      <c r="C15" s="386"/>
      <c r="D15" s="387"/>
      <c r="E15" s="387"/>
      <c r="F15" s="387"/>
      <c r="G15" s="387"/>
      <c r="H15" s="387"/>
      <c r="I15" s="387"/>
      <c r="J15" s="386"/>
      <c r="K15" s="387"/>
      <c r="L15" s="387"/>
      <c r="M15" s="386"/>
      <c r="N15" s="388"/>
      <c r="O15" s="399"/>
    </row>
    <row r="16" spans="1:15">
      <c r="C16" s="386"/>
      <c r="D16" s="387"/>
      <c r="E16" s="387"/>
      <c r="F16" s="387"/>
      <c r="G16" s="387"/>
      <c r="H16" s="387"/>
      <c r="I16" s="387"/>
      <c r="J16" s="386"/>
      <c r="K16" s="387"/>
      <c r="L16" s="387"/>
      <c r="M16" s="386"/>
      <c r="N16" s="388"/>
      <c r="O16" s="399"/>
    </row>
    <row r="17" spans="2:15">
      <c r="C17" s="386"/>
      <c r="D17" s="387"/>
      <c r="E17" s="387"/>
      <c r="F17" s="387"/>
      <c r="G17" s="387"/>
      <c r="H17" s="387"/>
      <c r="I17" s="387"/>
      <c r="J17" s="386"/>
      <c r="K17" s="387"/>
      <c r="L17" s="387"/>
      <c r="M17" s="386"/>
      <c r="N17" s="388"/>
      <c r="O17" s="399"/>
    </row>
    <row r="18" spans="2:15">
      <c r="C18" s="386"/>
      <c r="D18" s="387"/>
      <c r="E18" s="387"/>
      <c r="F18" s="387"/>
      <c r="G18" s="387"/>
      <c r="H18" s="387"/>
      <c r="I18" s="387"/>
      <c r="J18" s="386"/>
      <c r="K18" s="387"/>
      <c r="L18" s="387"/>
      <c r="M18" s="386"/>
      <c r="N18" s="388"/>
      <c r="O18" s="399"/>
    </row>
    <row r="19" spans="2:15">
      <c r="C19" s="386"/>
      <c r="D19" s="387"/>
      <c r="E19" s="387"/>
      <c r="F19" s="387"/>
      <c r="G19" s="387"/>
      <c r="H19" s="387"/>
      <c r="I19" s="387"/>
      <c r="J19" s="386"/>
      <c r="K19" s="387"/>
      <c r="L19" s="387"/>
      <c r="M19" s="386"/>
      <c r="N19" s="388"/>
      <c r="O19" s="399"/>
    </row>
    <row r="20" spans="2:15">
      <c r="C20" s="386"/>
      <c r="D20" s="387"/>
      <c r="E20" s="387"/>
      <c r="F20" s="387"/>
      <c r="G20" s="387"/>
      <c r="H20" s="387"/>
      <c r="I20" s="387"/>
      <c r="J20" s="386"/>
      <c r="K20" s="387"/>
      <c r="L20" s="387"/>
      <c r="M20" s="386"/>
      <c r="N20" s="388"/>
      <c r="O20" s="399"/>
    </row>
    <row r="21" spans="2:15">
      <c r="C21" s="386"/>
      <c r="D21" s="387"/>
      <c r="E21" s="387"/>
      <c r="F21" s="387"/>
      <c r="G21" s="387"/>
      <c r="H21" s="387"/>
      <c r="I21" s="387"/>
      <c r="J21" s="386"/>
      <c r="K21" s="387"/>
      <c r="L21" s="387"/>
      <c r="M21" s="386"/>
      <c r="N21" s="388"/>
      <c r="O21" s="399"/>
    </row>
    <row r="22" spans="2:15">
      <c r="C22" s="305"/>
      <c r="D22" s="305"/>
      <c r="E22" s="305"/>
      <c r="F22" s="305"/>
      <c r="G22" s="305"/>
      <c r="H22" s="305"/>
      <c r="I22" s="305"/>
      <c r="J22" s="305"/>
      <c r="K22" s="305"/>
      <c r="L22" s="305"/>
      <c r="M22" s="305"/>
      <c r="N22" s="305"/>
      <c r="O22" s="305"/>
    </row>
    <row r="23" spans="2:15">
      <c r="C23" s="305" t="s">
        <v>1177</v>
      </c>
      <c r="D23" s="305"/>
      <c r="E23" s="305"/>
      <c r="F23" s="305"/>
      <c r="G23" s="305"/>
      <c r="H23" s="305"/>
      <c r="I23" s="305"/>
      <c r="J23" s="305"/>
      <c r="K23" s="305"/>
      <c r="L23" s="305"/>
      <c r="M23" s="305"/>
      <c r="N23" s="305"/>
      <c r="O23" s="305"/>
    </row>
    <row r="24" spans="2:15">
      <c r="C24" s="305"/>
      <c r="D24" s="400" t="s">
        <v>698</v>
      </c>
      <c r="E24" s="305"/>
      <c r="F24" s="305"/>
      <c r="G24" s="305"/>
      <c r="H24" s="305"/>
      <c r="I24" s="305"/>
      <c r="J24" s="305"/>
      <c r="K24" s="305"/>
      <c r="L24" s="305"/>
      <c r="M24" s="305"/>
      <c r="N24" s="305"/>
      <c r="O24" s="305"/>
    </row>
    <row r="25" spans="2:15">
      <c r="C25" s="305"/>
      <c r="D25" s="400" t="s">
        <v>626</v>
      </c>
      <c r="E25" s="305"/>
      <c r="F25" s="305"/>
      <c r="G25" s="305"/>
      <c r="H25" s="305"/>
      <c r="I25" s="305"/>
      <c r="J25" s="305"/>
      <c r="K25" s="305"/>
      <c r="L25" s="305"/>
      <c r="M25" s="305"/>
      <c r="N25" s="305"/>
      <c r="O25" s="305"/>
    </row>
    <row r="26" spans="2:15">
      <c r="C26" s="305"/>
      <c r="D26" s="400" t="s">
        <v>364</v>
      </c>
      <c r="E26" s="305"/>
      <c r="F26" s="305"/>
      <c r="G26" s="305"/>
      <c r="H26" s="305"/>
      <c r="I26" s="305"/>
      <c r="J26" s="305"/>
      <c r="K26" s="305"/>
      <c r="L26" s="305"/>
      <c r="M26" s="305"/>
      <c r="N26" s="305"/>
      <c r="O26" s="305"/>
    </row>
    <row r="29" spans="2:15">
      <c r="B29" s="335" t="s">
        <v>939</v>
      </c>
      <c r="C29" s="334" t="s">
        <v>940</v>
      </c>
      <c r="H29" s="1317" t="s">
        <v>3707</v>
      </c>
    </row>
    <row r="30" spans="2:15">
      <c r="C30" s="392" t="s">
        <v>2106</v>
      </c>
    </row>
    <row r="31" spans="2:15">
      <c r="C31" s="261" t="s">
        <v>941</v>
      </c>
    </row>
    <row r="33" spans="2:15">
      <c r="C33" s="382" t="s">
        <v>942</v>
      </c>
      <c r="D33" s="385"/>
      <c r="E33" s="385"/>
      <c r="F33" s="382" t="s">
        <v>445</v>
      </c>
      <c r="G33" s="383"/>
      <c r="H33" s="382" t="s">
        <v>943</v>
      </c>
      <c r="I33" s="383"/>
      <c r="J33" s="383"/>
      <c r="K33" s="383"/>
      <c r="L33" s="383"/>
      <c r="M33" s="383"/>
      <c r="N33" s="383"/>
      <c r="O33" s="401"/>
    </row>
    <row r="34" spans="2:15">
      <c r="C34" s="1531"/>
      <c r="D34" s="1602"/>
      <c r="E34" s="1532"/>
      <c r="F34" s="1603"/>
      <c r="G34" s="1604"/>
      <c r="H34" s="402"/>
      <c r="I34" s="403"/>
      <c r="J34" s="403"/>
      <c r="K34" s="403"/>
      <c r="L34" s="403"/>
      <c r="M34" s="403"/>
      <c r="N34" s="403"/>
      <c r="O34" s="404"/>
    </row>
    <row r="35" spans="2:15">
      <c r="C35" s="1531"/>
      <c r="D35" s="1602"/>
      <c r="E35" s="1532"/>
      <c r="F35" s="1603"/>
      <c r="G35" s="1604"/>
      <c r="H35" s="402"/>
      <c r="I35" s="403"/>
      <c r="J35" s="403"/>
      <c r="K35" s="403"/>
      <c r="L35" s="403"/>
      <c r="M35" s="403"/>
      <c r="N35" s="403"/>
      <c r="O35" s="404"/>
    </row>
    <row r="36" spans="2:15">
      <c r="C36" s="1531"/>
      <c r="D36" s="1602"/>
      <c r="E36" s="1532"/>
      <c r="F36" s="1603"/>
      <c r="G36" s="1604"/>
      <c r="H36" s="402"/>
      <c r="I36" s="403"/>
      <c r="J36" s="403"/>
      <c r="K36" s="403"/>
      <c r="L36" s="403"/>
      <c r="M36" s="403"/>
      <c r="N36" s="403"/>
      <c r="O36" s="404"/>
    </row>
    <row r="37" spans="2:15">
      <c r="C37" s="1531"/>
      <c r="D37" s="1602"/>
      <c r="E37" s="1532"/>
      <c r="F37" s="1603"/>
      <c r="G37" s="1604"/>
      <c r="H37" s="402"/>
      <c r="I37" s="403"/>
      <c r="J37" s="403"/>
      <c r="K37" s="403"/>
      <c r="L37" s="403"/>
      <c r="M37" s="403"/>
      <c r="N37" s="403"/>
      <c r="O37" s="404"/>
    </row>
    <row r="38" spans="2:15">
      <c r="C38" s="1531"/>
      <c r="D38" s="1602"/>
      <c r="E38" s="1532"/>
      <c r="F38" s="1603"/>
      <c r="G38" s="1604"/>
      <c r="H38" s="402"/>
      <c r="I38" s="403"/>
      <c r="J38" s="403"/>
      <c r="K38" s="403"/>
      <c r="L38" s="403"/>
      <c r="M38" s="403"/>
      <c r="N38" s="403"/>
      <c r="O38" s="404"/>
    </row>
    <row r="39" spans="2:15">
      <c r="C39" s="1531"/>
      <c r="D39" s="1602"/>
      <c r="E39" s="1532"/>
      <c r="F39" s="1603"/>
      <c r="G39" s="1604"/>
      <c r="H39" s="402"/>
      <c r="I39" s="403"/>
      <c r="J39" s="403"/>
      <c r="K39" s="403"/>
      <c r="L39" s="403"/>
      <c r="M39" s="403"/>
      <c r="N39" s="403"/>
      <c r="O39" s="404"/>
    </row>
    <row r="40" spans="2:15">
      <c r="C40" s="1531"/>
      <c r="D40" s="1602"/>
      <c r="E40" s="1532"/>
      <c r="F40" s="1603"/>
      <c r="G40" s="1604"/>
      <c r="H40" s="402"/>
      <c r="I40" s="403"/>
      <c r="J40" s="403"/>
      <c r="K40" s="403"/>
      <c r="L40" s="403"/>
      <c r="M40" s="403"/>
      <c r="N40" s="403"/>
      <c r="O40" s="404"/>
    </row>
    <row r="41" spans="2:15">
      <c r="C41" s="1531"/>
      <c r="D41" s="1602"/>
      <c r="E41" s="1532"/>
      <c r="F41" s="1603"/>
      <c r="G41" s="1604"/>
      <c r="H41" s="402"/>
      <c r="I41" s="403"/>
      <c r="J41" s="403"/>
      <c r="K41" s="403"/>
      <c r="L41" s="403"/>
      <c r="M41" s="403"/>
      <c r="N41" s="403"/>
      <c r="O41" s="404"/>
    </row>
    <row r="42" spans="2:15">
      <c r="C42" s="384" t="s">
        <v>1058</v>
      </c>
      <c r="D42" s="385"/>
      <c r="E42" s="385"/>
      <c r="F42" s="1605">
        <f>SUM(F34:F41)</f>
        <v>0</v>
      </c>
      <c r="G42" s="1606"/>
      <c r="H42" s="402"/>
      <c r="I42" s="403"/>
      <c r="J42" s="403"/>
      <c r="K42" s="403"/>
      <c r="L42" s="403"/>
      <c r="M42" s="403"/>
      <c r="N42" s="403"/>
      <c r="O42" s="404"/>
    </row>
    <row r="44" spans="2:15">
      <c r="B44" s="335"/>
      <c r="C44" s="334"/>
    </row>
    <row r="45" spans="2:15">
      <c r="B45" s="335"/>
      <c r="C45" s="334"/>
    </row>
    <row r="46" spans="2:15">
      <c r="C46" s="305"/>
      <c r="D46" s="305"/>
      <c r="E46" s="305"/>
      <c r="F46" s="305"/>
      <c r="G46" s="305"/>
      <c r="H46" s="305"/>
      <c r="I46" s="305"/>
      <c r="J46" s="1135"/>
      <c r="K46" s="1135"/>
      <c r="L46" s="305"/>
      <c r="M46" s="305"/>
      <c r="N46" s="305"/>
      <c r="O46" s="305"/>
    </row>
    <row r="47" spans="2:15">
      <c r="C47" s="305"/>
      <c r="D47" s="305"/>
      <c r="E47" s="305"/>
      <c r="F47" s="305"/>
      <c r="G47" s="305"/>
      <c r="H47" s="305"/>
      <c r="I47" s="305"/>
      <c r="J47" s="1135"/>
      <c r="K47" s="1135"/>
      <c r="L47" s="1135"/>
      <c r="M47" s="1135"/>
      <c r="N47" s="305"/>
      <c r="O47" s="305"/>
    </row>
    <row r="48" spans="2:15">
      <c r="C48" s="305"/>
      <c r="D48" s="305"/>
      <c r="E48" s="305"/>
      <c r="F48" s="305"/>
      <c r="G48" s="305"/>
      <c r="H48" s="305"/>
      <c r="I48" s="305"/>
      <c r="J48" s="1135"/>
      <c r="K48" s="1135"/>
      <c r="L48" s="1135"/>
      <c r="M48" s="1135"/>
      <c r="N48" s="1135"/>
      <c r="O48" s="1135"/>
    </row>
    <row r="49" spans="1:15">
      <c r="C49" s="305"/>
      <c r="D49" s="305"/>
      <c r="E49" s="305"/>
      <c r="F49" s="305"/>
      <c r="G49" s="305"/>
      <c r="H49" s="305"/>
      <c r="I49" s="305"/>
      <c r="J49" s="1135"/>
      <c r="K49" s="1135"/>
      <c r="L49" s="1135"/>
      <c r="M49" s="1135"/>
      <c r="N49" s="305"/>
      <c r="O49" s="305"/>
    </row>
    <row r="50" spans="1:15">
      <c r="C50" s="305"/>
      <c r="D50" s="305"/>
      <c r="E50" s="305"/>
      <c r="F50" s="305"/>
      <c r="G50" s="305"/>
      <c r="H50" s="305"/>
      <c r="I50" s="305"/>
      <c r="J50" s="1136"/>
      <c r="K50" s="1136"/>
      <c r="L50" s="1136"/>
      <c r="M50" s="1136"/>
      <c r="N50" s="1137"/>
      <c r="O50" s="1137"/>
    </row>
    <row r="51" spans="1:15">
      <c r="C51" s="305"/>
      <c r="D51" s="305"/>
      <c r="E51" s="305"/>
      <c r="F51" s="305"/>
      <c r="G51" s="305"/>
      <c r="H51" s="305"/>
      <c r="I51" s="305"/>
      <c r="J51" s="1601"/>
      <c r="K51" s="1601"/>
      <c r="L51" s="1601"/>
      <c r="M51" s="1601"/>
      <c r="N51" s="1137"/>
      <c r="O51" s="1137"/>
    </row>
    <row r="52" spans="1:15">
      <c r="C52" s="305"/>
      <c r="D52" s="305"/>
      <c r="E52" s="305"/>
      <c r="F52" s="305"/>
      <c r="G52" s="305"/>
      <c r="H52" s="305"/>
      <c r="I52" s="305"/>
      <c r="J52" s="1136"/>
      <c r="K52" s="1136"/>
      <c r="L52" s="1136"/>
      <c r="M52" s="1136"/>
      <c r="N52" s="1137"/>
      <c r="O52" s="1137"/>
    </row>
    <row r="53" spans="1:15">
      <c r="C53" s="305"/>
      <c r="D53" s="305"/>
      <c r="E53" s="305"/>
      <c r="F53" s="305"/>
      <c r="G53" s="305"/>
      <c r="H53" s="305"/>
      <c r="I53" s="305"/>
      <c r="J53" s="1601"/>
      <c r="K53" s="1601"/>
      <c r="L53" s="1601"/>
      <c r="M53" s="1601"/>
      <c r="N53" s="1137"/>
      <c r="O53" s="1137"/>
    </row>
    <row r="54" spans="1:15">
      <c r="C54" s="305"/>
      <c r="D54" s="305"/>
      <c r="E54" s="305"/>
      <c r="F54" s="305"/>
      <c r="G54" s="305"/>
      <c r="H54" s="305"/>
      <c r="I54" s="305"/>
      <c r="J54" s="1136"/>
      <c r="K54" s="1136"/>
      <c r="L54" s="1136"/>
      <c r="M54" s="1136"/>
      <c r="N54" s="1137"/>
      <c r="O54" s="1137"/>
    </row>
    <row r="55" spans="1:15">
      <c r="C55" s="305"/>
      <c r="D55" s="305"/>
      <c r="E55" s="305"/>
      <c r="F55" s="305"/>
      <c r="G55" s="305"/>
      <c r="H55" s="305"/>
      <c r="I55" s="305"/>
      <c r="J55" s="1601"/>
      <c r="K55" s="1601"/>
      <c r="L55" s="1601"/>
      <c r="M55" s="1601"/>
      <c r="N55" s="1137"/>
      <c r="O55" s="1137"/>
    </row>
    <row r="56" spans="1:15">
      <c r="C56" s="305"/>
      <c r="D56" s="305"/>
      <c r="E56" s="305"/>
      <c r="F56" s="305"/>
      <c r="G56" s="305"/>
      <c r="H56" s="305"/>
      <c r="I56" s="305"/>
      <c r="J56" s="1136"/>
      <c r="K56" s="1136"/>
      <c r="L56" s="1136"/>
      <c r="M56" s="1136"/>
      <c r="N56" s="1137"/>
      <c r="O56" s="1137"/>
    </row>
    <row r="57" spans="1:15">
      <c r="C57" s="305"/>
      <c r="D57" s="305"/>
      <c r="E57" s="305"/>
      <c r="F57" s="305"/>
      <c r="G57" s="305"/>
      <c r="H57" s="305"/>
      <c r="I57" s="305"/>
      <c r="J57" s="1601"/>
      <c r="K57" s="1601"/>
      <c r="L57" s="1601"/>
      <c r="M57" s="1601"/>
      <c r="N57" s="1137"/>
      <c r="O57" s="1137"/>
    </row>
    <row r="58" spans="1:15">
      <c r="C58" s="305"/>
      <c r="D58" s="305"/>
      <c r="E58" s="305"/>
      <c r="F58" s="305"/>
      <c r="G58" s="305"/>
      <c r="H58" s="305"/>
      <c r="I58" s="305"/>
      <c r="J58" s="1136"/>
      <c r="K58" s="1136"/>
      <c r="L58" s="1136"/>
      <c r="M58" s="1136"/>
      <c r="N58" s="1137"/>
      <c r="O58" s="1137"/>
    </row>
    <row r="59" spans="1:15">
      <c r="C59" s="305"/>
      <c r="D59" s="305"/>
      <c r="E59" s="400"/>
      <c r="F59" s="305"/>
      <c r="G59" s="305"/>
      <c r="H59" s="305"/>
      <c r="I59" s="305"/>
      <c r="J59" s="1137"/>
      <c r="K59" s="1137"/>
      <c r="L59" s="1137"/>
      <c r="M59" s="1137"/>
      <c r="N59" s="1137"/>
      <c r="O59" s="1137"/>
    </row>
    <row r="60" spans="1:15">
      <c r="C60" s="305"/>
      <c r="D60" s="305"/>
      <c r="E60" s="305"/>
      <c r="F60" s="305"/>
      <c r="G60" s="305"/>
      <c r="H60" s="305"/>
      <c r="I60" s="305"/>
      <c r="J60" s="305"/>
      <c r="K60" s="305"/>
      <c r="L60" s="305"/>
      <c r="M60" s="305"/>
      <c r="N60" s="309"/>
      <c r="O60" s="309"/>
    </row>
    <row r="63" spans="1:15" ht="15.75">
      <c r="A63" s="274" t="s">
        <v>3194</v>
      </c>
      <c r="B63" s="276"/>
      <c r="C63" s="276"/>
      <c r="D63" s="276"/>
      <c r="E63" s="276"/>
      <c r="F63" s="276"/>
      <c r="G63" s="276"/>
      <c r="H63" s="276"/>
      <c r="I63" s="276"/>
      <c r="J63" s="276"/>
      <c r="K63" s="276"/>
      <c r="L63" s="276"/>
      <c r="M63" s="276"/>
      <c r="N63" s="276"/>
      <c r="O63" s="276"/>
    </row>
  </sheetData>
  <customSheetViews>
    <customSheetView guid="{FC3B3501-CA52-40D7-B049-0E027A15B235}" fitToPage="1">
      <selection activeCell="S24" sqref="S24"/>
      <pageMargins left="0.25" right="0.25" top="0.75" bottom="0.75" header="0.5" footer="0.5"/>
      <printOptions horizontalCentered="1"/>
      <pageSetup scale="83" orientation="portrait" horizontalDpi="360" verticalDpi="360" r:id="rId1"/>
      <headerFooter alignWithMargins="0"/>
    </customSheetView>
  </customSheetViews>
  <mergeCells count="25">
    <mergeCell ref="F40:G40"/>
    <mergeCell ref="F41:G41"/>
    <mergeCell ref="F42:G42"/>
    <mergeCell ref="F34:G34"/>
    <mergeCell ref="F35:G35"/>
    <mergeCell ref="F36:G36"/>
    <mergeCell ref="F37:G37"/>
    <mergeCell ref="F38:G38"/>
    <mergeCell ref="F39:G39"/>
    <mergeCell ref="J57:K57"/>
    <mergeCell ref="L57:M57"/>
    <mergeCell ref="C34:E34"/>
    <mergeCell ref="C35:E35"/>
    <mergeCell ref="C36:E36"/>
    <mergeCell ref="C37:E37"/>
    <mergeCell ref="C38:E38"/>
    <mergeCell ref="C39:E39"/>
    <mergeCell ref="C40:E40"/>
    <mergeCell ref="C41:E41"/>
    <mergeCell ref="J51:K51"/>
    <mergeCell ref="L51:M51"/>
    <mergeCell ref="J53:K53"/>
    <mergeCell ref="L53:M53"/>
    <mergeCell ref="J55:K55"/>
    <mergeCell ref="L55:M55"/>
  </mergeCells>
  <phoneticPr fontId="0" type="noConversion"/>
  <printOptions horizontalCentered="1"/>
  <pageMargins left="0.25" right="0.25" top="0.75" bottom="0.75" header="0.5" footer="0.5"/>
  <pageSetup scale="83" orientation="portrait" horizontalDpi="360" verticalDpi="360"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pageSetUpPr fitToPage="1"/>
  </sheetPr>
  <dimension ref="A1:L67"/>
  <sheetViews>
    <sheetView topLeftCell="A32" workbookViewId="0">
      <selection activeCell="G66" sqref="G66"/>
    </sheetView>
  </sheetViews>
  <sheetFormatPr defaultRowHeight="12.75"/>
  <cols>
    <col min="1" max="1" width="3.140625" style="784" customWidth="1"/>
    <col min="2" max="2" width="2.5703125" style="784" customWidth="1"/>
    <col min="10" max="10" width="9.140625" customWidth="1"/>
    <col min="11" max="11" width="20" customWidth="1"/>
  </cols>
  <sheetData>
    <row r="1" spans="1:12" ht="18">
      <c r="C1" s="1533" t="str">
        <f>'COVER PAGE'!A9</f>
        <v>TOWN OF BROADUS</v>
      </c>
      <c r="D1" s="1533"/>
      <c r="E1" s="1533"/>
      <c r="F1" s="1533"/>
      <c r="G1" s="1533"/>
      <c r="H1" s="1533"/>
      <c r="I1" s="1533"/>
      <c r="J1" s="1533"/>
      <c r="K1" s="1533"/>
      <c r="L1" s="1533"/>
    </row>
    <row r="2" spans="1:12" ht="18">
      <c r="C2" s="1533" t="s">
        <v>1319</v>
      </c>
      <c r="D2" s="1533"/>
      <c r="E2" s="1533"/>
      <c r="F2" s="1533"/>
      <c r="G2" s="1533"/>
      <c r="H2" s="1533"/>
      <c r="I2" s="1533"/>
      <c r="J2" s="1533"/>
      <c r="K2" s="1533"/>
      <c r="L2" s="1533"/>
    </row>
    <row r="3" spans="1:12" ht="18">
      <c r="C3" s="1535" t="str">
        <f>'COVER PAGE'!A30</f>
        <v>FISCAL YEAR ENDING JUNE 30, 2017</v>
      </c>
      <c r="D3" s="1535"/>
      <c r="E3" s="1535"/>
      <c r="F3" s="1535"/>
      <c r="G3" s="1535"/>
      <c r="H3" s="1535"/>
      <c r="I3" s="1535"/>
      <c r="J3" s="1535"/>
      <c r="K3" s="1535"/>
      <c r="L3" s="1535"/>
    </row>
    <row r="4" spans="1:12" s="784" customFormat="1" ht="18">
      <c r="A4" s="333" t="s">
        <v>86</v>
      </c>
      <c r="B4" s="333"/>
      <c r="C4" s="334" t="s">
        <v>756</v>
      </c>
      <c r="D4" s="334"/>
      <c r="E4" s="261"/>
      <c r="F4" s="261"/>
      <c r="G4" s="261"/>
      <c r="H4" s="261"/>
      <c r="I4" s="871"/>
      <c r="J4" s="871"/>
      <c r="K4" s="871"/>
      <c r="L4" s="871"/>
    </row>
    <row r="6" spans="1:12">
      <c r="B6" s="19" t="s">
        <v>2695</v>
      </c>
      <c r="C6" s="18" t="s">
        <v>2696</v>
      </c>
    </row>
    <row r="7" spans="1:12">
      <c r="C7" s="51" t="s">
        <v>1575</v>
      </c>
    </row>
    <row r="8" spans="1:12">
      <c r="C8" s="51" t="s">
        <v>1576</v>
      </c>
    </row>
    <row r="9" spans="1:12">
      <c r="C9" s="51" t="s">
        <v>1577</v>
      </c>
    </row>
    <row r="10" spans="1:12">
      <c r="C10" s="51" t="s">
        <v>1578</v>
      </c>
    </row>
    <row r="11" spans="1:12">
      <c r="C11" s="51"/>
      <c r="D11" s="51" t="s">
        <v>1579</v>
      </c>
    </row>
    <row r="12" spans="1:12">
      <c r="C12" s="51"/>
      <c r="D12" s="51" t="s">
        <v>1580</v>
      </c>
    </row>
    <row r="14" spans="1:12">
      <c r="D14" s="51" t="s">
        <v>1581</v>
      </c>
    </row>
    <row r="15" spans="1:12">
      <c r="D15" s="51" t="s">
        <v>1582</v>
      </c>
    </row>
    <row r="16" spans="1:12">
      <c r="D16" s="51" t="s">
        <v>1583</v>
      </c>
    </row>
    <row r="18" spans="4:12">
      <c r="D18" s="51" t="s">
        <v>1584</v>
      </c>
    </row>
    <row r="19" spans="4:12">
      <c r="D19" s="51" t="s">
        <v>1585</v>
      </c>
    </row>
    <row r="20" spans="4:12">
      <c r="D20" s="51" t="s">
        <v>1586</v>
      </c>
    </row>
    <row r="22" spans="4:12">
      <c r="D22" s="51" t="s">
        <v>1587</v>
      </c>
    </row>
    <row r="23" spans="4:12">
      <c r="D23" s="51" t="s">
        <v>1611</v>
      </c>
    </row>
    <row r="24" spans="4:12" s="784" customFormat="1">
      <c r="D24" s="787"/>
    </row>
    <row r="25" spans="4:12">
      <c r="D25" s="51" t="s">
        <v>1612</v>
      </c>
    </row>
    <row r="26" spans="4:12">
      <c r="D26" s="241"/>
      <c r="E26" s="241"/>
      <c r="F26" s="242" t="s">
        <v>3721</v>
      </c>
      <c r="G26" s="786"/>
      <c r="H26" s="786"/>
      <c r="I26" s="786"/>
      <c r="J26" s="786"/>
      <c r="K26" s="786"/>
      <c r="L26" s="29"/>
    </row>
    <row r="27" spans="4:12">
      <c r="D27" s="915"/>
      <c r="E27" s="241"/>
      <c r="F27" s="786"/>
      <c r="G27" s="786"/>
      <c r="H27" s="786"/>
      <c r="I27" s="786"/>
      <c r="J27" s="786"/>
      <c r="K27" s="786"/>
      <c r="L27" s="29"/>
    </row>
    <row r="28" spans="4:12" s="784" customFormat="1">
      <c r="D28" s="916" t="s">
        <v>2697</v>
      </c>
      <c r="E28" s="913"/>
      <c r="F28" s="29"/>
      <c r="G28" s="786"/>
      <c r="H28" s="786"/>
      <c r="I28" s="786"/>
      <c r="J28" s="786"/>
      <c r="K28" s="786"/>
      <c r="L28" s="29"/>
    </row>
    <row r="29" spans="4:12">
      <c r="D29" s="241"/>
      <c r="E29" s="241"/>
      <c r="F29" s="242" t="s">
        <v>3722</v>
      </c>
      <c r="G29" s="786"/>
      <c r="H29" s="786"/>
      <c r="I29" s="786"/>
      <c r="J29" s="786"/>
      <c r="K29" s="786"/>
      <c r="L29" s="29"/>
    </row>
    <row r="30" spans="4:12" s="784" customFormat="1">
      <c r="D30" s="913"/>
      <c r="E30" s="913"/>
      <c r="F30" s="29"/>
      <c r="G30" s="29"/>
      <c r="H30" s="29"/>
      <c r="I30" s="29"/>
      <c r="J30" s="29"/>
      <c r="K30" s="29"/>
      <c r="L30" s="29"/>
    </row>
    <row r="31" spans="4:12">
      <c r="D31" s="787" t="s">
        <v>1588</v>
      </c>
    </row>
    <row r="32" spans="4:12">
      <c r="D32" s="787" t="s">
        <v>1589</v>
      </c>
    </row>
    <row r="33" spans="2:4">
      <c r="D33" s="787" t="s">
        <v>1590</v>
      </c>
    </row>
    <row r="34" spans="2:4">
      <c r="D34" s="51"/>
    </row>
    <row r="35" spans="2:4" s="784" customFormat="1">
      <c r="C35" s="931" t="s">
        <v>2698</v>
      </c>
      <c r="D35" s="787"/>
    </row>
    <row r="36" spans="2:4" s="784" customFormat="1">
      <c r="C36" s="932" t="s">
        <v>2699</v>
      </c>
      <c r="D36" s="787"/>
    </row>
    <row r="37" spans="2:4" s="784" customFormat="1">
      <c r="C37" s="932" t="s">
        <v>2700</v>
      </c>
      <c r="D37" s="787"/>
    </row>
    <row r="38" spans="2:4" s="784" customFormat="1">
      <c r="C38" s="932" t="s">
        <v>2701</v>
      </c>
      <c r="D38" s="787"/>
    </row>
    <row r="39" spans="2:4" s="784" customFormat="1">
      <c r="C39" s="932" t="s">
        <v>2702</v>
      </c>
      <c r="D39" s="787"/>
    </row>
    <row r="40" spans="2:4" s="784" customFormat="1">
      <c r="C40" s="932" t="s">
        <v>2703</v>
      </c>
      <c r="D40" s="787"/>
    </row>
    <row r="41" spans="2:4" s="784" customFormat="1">
      <c r="C41" s="932" t="s">
        <v>2704</v>
      </c>
      <c r="D41" s="787"/>
    </row>
    <row r="42" spans="2:4" s="784" customFormat="1">
      <c r="C42" s="932" t="s">
        <v>2705</v>
      </c>
      <c r="D42" s="787"/>
    </row>
    <row r="43" spans="2:4">
      <c r="D43" s="51"/>
    </row>
    <row r="44" spans="2:4">
      <c r="B44" s="19" t="s">
        <v>2706</v>
      </c>
      <c r="C44" s="18" t="s">
        <v>1593</v>
      </c>
      <c r="D44" s="574"/>
    </row>
    <row r="45" spans="2:4">
      <c r="C45" s="51" t="s">
        <v>1899</v>
      </c>
      <c r="D45" s="51"/>
    </row>
    <row r="46" spans="2:4">
      <c r="C46" s="51" t="s">
        <v>1594</v>
      </c>
      <c r="D46" s="51"/>
    </row>
    <row r="47" spans="2:4">
      <c r="C47" s="51" t="s">
        <v>1595</v>
      </c>
      <c r="D47" s="51"/>
    </row>
    <row r="48" spans="2:4">
      <c r="C48" s="51" t="s">
        <v>1596</v>
      </c>
      <c r="D48" s="51"/>
    </row>
    <row r="49" spans="3:6">
      <c r="C49" s="51" t="s">
        <v>1597</v>
      </c>
      <c r="D49" s="51"/>
    </row>
    <row r="50" spans="3:6">
      <c r="C50" s="51" t="s">
        <v>1608</v>
      </c>
      <c r="D50" s="51"/>
    </row>
    <row r="51" spans="3:6">
      <c r="D51" s="51" t="s">
        <v>1598</v>
      </c>
      <c r="E51" s="242" t="s">
        <v>1565</v>
      </c>
      <c r="F51" s="32"/>
    </row>
    <row r="52" spans="3:6">
      <c r="D52" s="51" t="s">
        <v>1599</v>
      </c>
      <c r="E52" s="562" t="s">
        <v>1563</v>
      </c>
      <c r="F52" s="34"/>
    </row>
    <row r="53" spans="3:6">
      <c r="D53" s="51" t="s">
        <v>1600</v>
      </c>
      <c r="E53" s="562" t="s">
        <v>1562</v>
      </c>
      <c r="F53" s="34"/>
    </row>
    <row r="54" spans="3:6">
      <c r="D54" s="51" t="s">
        <v>1601</v>
      </c>
      <c r="E54" s="562" t="s">
        <v>1570</v>
      </c>
      <c r="F54" s="34"/>
    </row>
    <row r="55" spans="3:6">
      <c r="D55" s="51"/>
    </row>
    <row r="56" spans="3:6">
      <c r="C56" s="51" t="s">
        <v>1899</v>
      </c>
      <c r="D56" s="51"/>
    </row>
    <row r="57" spans="3:6">
      <c r="C57" s="51" t="s">
        <v>1603</v>
      </c>
      <c r="D57" s="51"/>
    </row>
    <row r="58" spans="3:6">
      <c r="C58" s="51" t="s">
        <v>1602</v>
      </c>
      <c r="D58" s="51"/>
    </row>
    <row r="59" spans="3:6">
      <c r="C59" s="51" t="s">
        <v>1604</v>
      </c>
      <c r="D59" s="51"/>
    </row>
    <row r="60" spans="3:6">
      <c r="C60" s="51" t="s">
        <v>1605</v>
      </c>
      <c r="D60" s="51"/>
    </row>
    <row r="61" spans="3:6">
      <c r="C61" s="51" t="s">
        <v>1606</v>
      </c>
      <c r="D61" s="51"/>
    </row>
    <row r="62" spans="3:6">
      <c r="C62" s="51" t="s">
        <v>1607</v>
      </c>
      <c r="D62" s="51"/>
    </row>
    <row r="63" spans="3:6">
      <c r="D63" s="51" t="s">
        <v>1598</v>
      </c>
      <c r="E63" s="242" t="s">
        <v>3723</v>
      </c>
      <c r="F63" s="32"/>
    </row>
    <row r="64" spans="3:6">
      <c r="D64" s="51" t="s">
        <v>1599</v>
      </c>
      <c r="E64" s="562" t="s">
        <v>3724</v>
      </c>
      <c r="F64" s="34"/>
    </row>
    <row r="65" spans="3:12">
      <c r="D65" s="51" t="s">
        <v>1600</v>
      </c>
      <c r="E65" s="562" t="s">
        <v>3725</v>
      </c>
      <c r="F65" s="34"/>
    </row>
    <row r="66" spans="3:12">
      <c r="D66" s="51"/>
      <c r="E66" s="51"/>
    </row>
    <row r="67" spans="3:12" ht="15.75">
      <c r="C67" s="1451" t="s">
        <v>3195</v>
      </c>
      <c r="D67" s="1451"/>
      <c r="E67" s="1451"/>
      <c r="F67" s="1451"/>
      <c r="G67" s="1451"/>
      <c r="H67" s="1451"/>
      <c r="I67" s="1451"/>
      <c r="J67" s="1451"/>
      <c r="K67" s="1451"/>
      <c r="L67" s="1451"/>
    </row>
  </sheetData>
  <customSheetViews>
    <customSheetView guid="{FC3B3501-CA52-40D7-B049-0E027A15B235}" fitToPage="1">
      <selection activeCell="P19" sqref="P19"/>
      <pageMargins left="0.2" right="0.2" top="0.06" bottom="0.24" header="0.3" footer="0.3"/>
      <pageSetup scale="83" orientation="portrait" r:id="rId1"/>
    </customSheetView>
  </customSheetViews>
  <mergeCells count="4">
    <mergeCell ref="C1:L1"/>
    <mergeCell ref="C2:L2"/>
    <mergeCell ref="C3:L3"/>
    <mergeCell ref="C67:L67"/>
  </mergeCells>
  <pageMargins left="0.2" right="0.2" top="0.06" bottom="0.24" header="0.3" footer="0.3"/>
  <pageSetup scale="82" orientation="portrait"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pageSetUpPr fitToPage="1"/>
  </sheetPr>
  <dimension ref="A1:M59"/>
  <sheetViews>
    <sheetView topLeftCell="A25" workbookViewId="0">
      <selection activeCell="F47" sqref="F47"/>
    </sheetView>
  </sheetViews>
  <sheetFormatPr defaultRowHeight="12.75"/>
  <cols>
    <col min="1" max="1" width="3.5703125" style="784" customWidth="1"/>
    <col min="2" max="2" width="3.140625" style="784" customWidth="1"/>
    <col min="3" max="3" width="15.42578125" customWidth="1"/>
    <col min="10" max="10" width="9.140625" customWidth="1"/>
  </cols>
  <sheetData>
    <row r="1" spans="2:13" ht="18">
      <c r="C1" s="1533" t="str">
        <f>'COVER PAGE'!A9</f>
        <v>TOWN OF BROADUS</v>
      </c>
      <c r="D1" s="1533"/>
      <c r="E1" s="1533"/>
      <c r="F1" s="1533"/>
      <c r="G1" s="1533"/>
      <c r="H1" s="1533"/>
      <c r="I1" s="1533"/>
      <c r="J1" s="1533"/>
      <c r="K1" s="1533"/>
      <c r="L1" s="1533"/>
      <c r="M1" s="1533"/>
    </row>
    <row r="2" spans="2:13" ht="18">
      <c r="C2" s="1533" t="s">
        <v>1319</v>
      </c>
      <c r="D2" s="1533"/>
      <c r="E2" s="1533"/>
      <c r="F2" s="1533"/>
      <c r="G2" s="1533"/>
      <c r="H2" s="1533"/>
      <c r="I2" s="1533"/>
      <c r="J2" s="1533"/>
      <c r="K2" s="1533"/>
      <c r="L2" s="1533"/>
      <c r="M2" s="1533"/>
    </row>
    <row r="3" spans="2:13" ht="18">
      <c r="C3" s="1535" t="str">
        <f>'COVER PAGE'!A30</f>
        <v>FISCAL YEAR ENDING JUNE 30, 2017</v>
      </c>
      <c r="D3" s="1535"/>
      <c r="E3" s="1535"/>
      <c r="F3" s="1535"/>
      <c r="G3" s="1535"/>
      <c r="H3" s="1535"/>
      <c r="I3" s="1535"/>
      <c r="J3" s="1535"/>
      <c r="K3" s="1535"/>
      <c r="L3" s="1535"/>
      <c r="M3" s="1535"/>
    </row>
    <row r="5" spans="2:13">
      <c r="B5" s="19" t="s">
        <v>2707</v>
      </c>
      <c r="C5" s="18" t="s">
        <v>1610</v>
      </c>
      <c r="D5" s="574"/>
      <c r="E5" s="574"/>
      <c r="F5" s="574" t="s">
        <v>3707</v>
      </c>
      <c r="G5" s="574"/>
    </row>
    <row r="6" spans="2:13">
      <c r="C6" s="51" t="s">
        <v>1900</v>
      </c>
    </row>
    <row r="7" spans="2:13">
      <c r="C7" s="914" t="s">
        <v>1609</v>
      </c>
      <c r="D7" s="29"/>
      <c r="E7" s="29"/>
      <c r="F7" s="29"/>
      <c r="G7" s="29"/>
      <c r="H7" s="29"/>
      <c r="I7" s="29"/>
      <c r="J7" s="29"/>
      <c r="K7" s="29"/>
      <c r="L7" s="29"/>
    </row>
    <row r="8" spans="2:13">
      <c r="C8" s="914"/>
      <c r="D8" s="29"/>
      <c r="E8" s="29"/>
      <c r="F8" s="29"/>
      <c r="G8" s="29"/>
      <c r="H8" s="29"/>
      <c r="I8" s="29"/>
      <c r="J8" s="29"/>
      <c r="K8" s="29"/>
      <c r="L8" s="29"/>
    </row>
    <row r="9" spans="2:13">
      <c r="C9" s="914"/>
      <c r="D9" s="29"/>
      <c r="E9" s="29"/>
      <c r="F9" s="29"/>
      <c r="G9" s="29"/>
      <c r="H9" s="29"/>
      <c r="I9" s="29"/>
      <c r="J9" s="29"/>
      <c r="K9" s="29"/>
      <c r="L9" s="29"/>
    </row>
    <row r="10" spans="2:13">
      <c r="C10" s="29"/>
      <c r="D10" s="29"/>
      <c r="E10" s="29"/>
      <c r="F10" s="29"/>
      <c r="G10" s="29"/>
      <c r="H10" s="29"/>
      <c r="I10" s="29"/>
      <c r="J10" s="29"/>
      <c r="K10" s="29"/>
      <c r="L10" s="29"/>
    </row>
    <row r="12" spans="2:13">
      <c r="B12" s="19" t="s">
        <v>2708</v>
      </c>
      <c r="C12" s="18" t="s">
        <v>1618</v>
      </c>
      <c r="D12" s="574"/>
      <c r="E12" s="574"/>
      <c r="F12" s="574" t="s">
        <v>3707</v>
      </c>
      <c r="G12" s="574"/>
    </row>
    <row r="13" spans="2:13">
      <c r="C13" s="51" t="s">
        <v>1613</v>
      </c>
    </row>
    <row r="14" spans="2:13" ht="13.5" thickBot="1">
      <c r="D14" s="565" t="s">
        <v>1616</v>
      </c>
      <c r="E14" s="563"/>
      <c r="F14" s="563"/>
      <c r="G14" s="563"/>
      <c r="H14" s="564"/>
      <c r="I14" s="1608" t="s">
        <v>1614</v>
      </c>
      <c r="J14" s="1608"/>
      <c r="K14" s="1608"/>
      <c r="L14" s="1609"/>
    </row>
    <row r="15" spans="2:13">
      <c r="D15" s="1610"/>
      <c r="E15" s="1611"/>
      <c r="F15" s="1611"/>
      <c r="G15" s="1611"/>
      <c r="I15" s="1611"/>
      <c r="J15" s="1611"/>
      <c r="K15" s="1611"/>
      <c r="L15" s="1612"/>
    </row>
    <row r="16" spans="2:13">
      <c r="D16" s="1613"/>
      <c r="E16" s="1614"/>
      <c r="F16" s="1614"/>
      <c r="G16" s="1614"/>
      <c r="I16" s="1614"/>
      <c r="J16" s="1614"/>
      <c r="K16" s="1614"/>
      <c r="L16" s="1617"/>
    </row>
    <row r="17" spans="2:13">
      <c r="D17" s="1613"/>
      <c r="E17" s="1614"/>
      <c r="F17" s="1614"/>
      <c r="G17" s="1614"/>
      <c r="I17" s="1614"/>
      <c r="J17" s="1614"/>
      <c r="K17" s="1614"/>
      <c r="L17" s="1617"/>
    </row>
    <row r="18" spans="2:13">
      <c r="D18" s="1613"/>
      <c r="E18" s="1614"/>
      <c r="F18" s="1614"/>
      <c r="G18" s="1614"/>
      <c r="I18" s="1614"/>
      <c r="J18" s="1614"/>
      <c r="K18" s="1614"/>
      <c r="L18" s="1617"/>
    </row>
    <row r="19" spans="2:13">
      <c r="D19" s="1613"/>
      <c r="E19" s="1614"/>
      <c r="F19" s="1614"/>
      <c r="G19" s="1614"/>
      <c r="I19" s="1614"/>
      <c r="J19" s="1614"/>
      <c r="K19" s="1614"/>
      <c r="L19" s="1617"/>
    </row>
    <row r="20" spans="2:13">
      <c r="D20" s="1613"/>
      <c r="E20" s="1614"/>
      <c r="F20" s="1614"/>
      <c r="G20" s="1614"/>
      <c r="I20" s="1614"/>
      <c r="J20" s="1614"/>
      <c r="K20" s="1614"/>
      <c r="L20" s="1617"/>
    </row>
    <row r="21" spans="2:13">
      <c r="D21" s="1615"/>
      <c r="E21" s="1616"/>
      <c r="F21" s="1616"/>
      <c r="G21" s="1616"/>
      <c r="H21" s="32"/>
      <c r="I21" s="1616"/>
      <c r="J21" s="1616"/>
      <c r="K21" s="1616"/>
      <c r="L21" s="1618"/>
    </row>
    <row r="22" spans="2:13">
      <c r="B22" s="19"/>
    </row>
    <row r="23" spans="2:13">
      <c r="B23" s="19" t="s">
        <v>2709</v>
      </c>
      <c r="C23" s="18" t="s">
        <v>1620</v>
      </c>
      <c r="D23" s="574"/>
      <c r="E23" s="574"/>
      <c r="F23" s="574"/>
      <c r="G23" s="574"/>
      <c r="H23" s="574"/>
      <c r="I23" s="574" t="s">
        <v>3707</v>
      </c>
      <c r="J23" s="574"/>
    </row>
    <row r="24" spans="2:13">
      <c r="D24" s="51" t="s">
        <v>1635</v>
      </c>
      <c r="E24" s="51"/>
      <c r="J24" s="29"/>
      <c r="K24" s="29"/>
      <c r="L24" s="29"/>
      <c r="M24" s="29"/>
    </row>
    <row r="25" spans="2:13">
      <c r="D25" s="32"/>
      <c r="E25" s="32"/>
      <c r="F25" s="32"/>
      <c r="G25" s="32"/>
      <c r="H25" s="32"/>
      <c r="I25" s="32"/>
      <c r="J25" s="32"/>
      <c r="K25" s="32"/>
      <c r="L25" s="32"/>
      <c r="M25" s="29"/>
    </row>
    <row r="26" spans="2:13">
      <c r="D26" s="34"/>
      <c r="E26" s="34"/>
      <c r="F26" s="34"/>
      <c r="G26" s="34"/>
      <c r="H26" s="34"/>
      <c r="I26" s="34"/>
      <c r="J26" s="34"/>
      <c r="K26" s="34"/>
      <c r="L26" s="34"/>
      <c r="M26" s="29"/>
    </row>
    <row r="27" spans="2:13">
      <c r="D27" s="29"/>
      <c r="E27" s="29"/>
      <c r="F27" s="29"/>
      <c r="G27" s="29"/>
      <c r="H27" s="29"/>
      <c r="I27" s="29"/>
      <c r="J27" s="29"/>
      <c r="K27" s="29"/>
      <c r="L27" s="29"/>
      <c r="M27" s="29"/>
    </row>
    <row r="28" spans="2:13">
      <c r="D28" s="51" t="s">
        <v>1591</v>
      </c>
      <c r="E28" s="51"/>
      <c r="L28" s="29"/>
      <c r="M28" s="29"/>
    </row>
    <row r="29" spans="2:13">
      <c r="D29" s="253"/>
      <c r="E29" s="253"/>
      <c r="F29" s="253"/>
      <c r="G29" s="253"/>
      <c r="H29" s="253"/>
      <c r="I29" s="253"/>
      <c r="J29" s="253"/>
      <c r="K29" s="253"/>
      <c r="L29" s="253"/>
      <c r="M29" s="561"/>
    </row>
    <row r="30" spans="2:13">
      <c r="D30" s="34"/>
      <c r="E30" s="34"/>
      <c r="F30" s="34"/>
      <c r="G30" s="34"/>
      <c r="H30" s="34"/>
      <c r="I30" s="34"/>
      <c r="J30" s="34"/>
      <c r="K30" s="34"/>
      <c r="L30" s="34"/>
    </row>
    <row r="31" spans="2:13">
      <c r="D31" s="29"/>
      <c r="E31" s="29"/>
      <c r="F31" s="29"/>
      <c r="G31" s="29"/>
      <c r="H31" s="29"/>
      <c r="I31" s="29"/>
      <c r="J31" s="29"/>
      <c r="K31" s="29"/>
      <c r="L31" s="29"/>
    </row>
    <row r="32" spans="2:13">
      <c r="D32" s="51" t="s">
        <v>1592</v>
      </c>
      <c r="E32" s="51"/>
    </row>
    <row r="33" spans="2:13">
      <c r="D33" s="32"/>
      <c r="E33" s="32"/>
      <c r="F33" s="32"/>
      <c r="G33" s="32"/>
      <c r="H33" s="32"/>
      <c r="I33" s="32"/>
      <c r="J33" s="32"/>
      <c r="K33" s="32"/>
      <c r="L33" s="32"/>
      <c r="M33" s="29"/>
    </row>
    <row r="34" spans="2:13">
      <c r="D34" s="34"/>
      <c r="E34" s="34"/>
      <c r="F34" s="34"/>
      <c r="G34" s="34"/>
      <c r="H34" s="34"/>
      <c r="I34" s="34"/>
      <c r="J34" s="34"/>
      <c r="K34" s="34"/>
      <c r="L34" s="34"/>
    </row>
    <row r="36" spans="2:13">
      <c r="B36" s="19" t="s">
        <v>2710</v>
      </c>
      <c r="C36" s="18" t="s">
        <v>1619</v>
      </c>
      <c r="D36" s="574"/>
      <c r="E36" s="574"/>
      <c r="F36" s="574" t="s">
        <v>3707</v>
      </c>
    </row>
    <row r="37" spans="2:13">
      <c r="C37" s="51" t="s">
        <v>1617</v>
      </c>
    </row>
    <row r="38" spans="2:13" ht="13.5" thickBot="1">
      <c r="D38" s="1607" t="s">
        <v>1747</v>
      </c>
      <c r="E38" s="1608"/>
      <c r="F38" s="1608"/>
      <c r="G38" s="43"/>
      <c r="H38" s="1608" t="s">
        <v>1615</v>
      </c>
      <c r="I38" s="1608"/>
      <c r="J38" s="43"/>
      <c r="K38" s="1608" t="s">
        <v>1745</v>
      </c>
      <c r="L38" s="1609"/>
    </row>
    <row r="39" spans="2:13">
      <c r="D39" s="1511"/>
      <c r="E39" s="1517"/>
      <c r="F39" s="1517"/>
      <c r="G39" s="29"/>
      <c r="H39" s="1517"/>
      <c r="I39" s="1517"/>
      <c r="J39" s="29"/>
      <c r="K39" s="1517"/>
      <c r="L39" s="1518"/>
    </row>
    <row r="40" spans="2:13">
      <c r="D40" s="1615"/>
      <c r="E40" s="1616"/>
      <c r="F40" s="1616"/>
      <c r="G40" s="29"/>
      <c r="H40" s="1520"/>
      <c r="I40" s="1520"/>
      <c r="J40" s="29"/>
      <c r="K40" s="1616"/>
      <c r="L40" s="1618"/>
    </row>
    <row r="41" spans="2:13">
      <c r="D41" s="1615"/>
      <c r="E41" s="1616"/>
      <c r="F41" s="1616"/>
      <c r="G41" s="29"/>
      <c r="H41" s="1520"/>
      <c r="I41" s="1520"/>
      <c r="J41" s="29"/>
      <c r="K41" s="1616"/>
      <c r="L41" s="1618"/>
    </row>
    <row r="42" spans="2:13">
      <c r="D42" s="1615"/>
      <c r="E42" s="1616"/>
      <c r="F42" s="1616"/>
      <c r="G42" s="29"/>
      <c r="H42" s="1520"/>
      <c r="I42" s="1520"/>
      <c r="J42" s="29"/>
      <c r="K42" s="1616"/>
      <c r="L42" s="1618"/>
    </row>
    <row r="43" spans="2:13">
      <c r="D43" s="1615"/>
      <c r="E43" s="1616"/>
      <c r="F43" s="1616"/>
      <c r="G43" s="29"/>
      <c r="H43" s="1520"/>
      <c r="I43" s="1520"/>
      <c r="J43" s="29"/>
      <c r="K43" s="1616"/>
      <c r="L43" s="1618"/>
    </row>
    <row r="44" spans="2:13">
      <c r="D44" s="1615"/>
      <c r="E44" s="1616"/>
      <c r="F44" s="1616"/>
      <c r="G44" s="29"/>
      <c r="H44" s="1520"/>
      <c r="I44" s="1520"/>
      <c r="J44" s="29"/>
      <c r="K44" s="1616"/>
      <c r="L44" s="1618"/>
    </row>
    <row r="45" spans="2:13">
      <c r="D45" s="1615"/>
      <c r="E45" s="1616"/>
      <c r="F45" s="1616"/>
      <c r="G45" s="32"/>
      <c r="H45" s="1616"/>
      <c r="I45" s="1616"/>
      <c r="J45" s="32"/>
      <c r="K45" s="1616"/>
      <c r="L45" s="1618"/>
    </row>
    <row r="47" spans="2:13">
      <c r="B47" s="19" t="s">
        <v>2711</v>
      </c>
      <c r="C47" s="18" t="s">
        <v>1633</v>
      </c>
      <c r="D47" s="574"/>
      <c r="E47" s="574"/>
      <c r="F47" s="574" t="s">
        <v>3707</v>
      </c>
    </row>
    <row r="48" spans="2:13">
      <c r="C48" s="51" t="s">
        <v>1634</v>
      </c>
    </row>
    <row r="49" spans="3:12" ht="13.5" thickBot="1">
      <c r="D49" s="1607" t="s">
        <v>1747</v>
      </c>
      <c r="E49" s="1608"/>
      <c r="F49" s="1608"/>
      <c r="G49" s="43"/>
      <c r="H49" s="1608" t="s">
        <v>1615</v>
      </c>
      <c r="I49" s="1608"/>
      <c r="J49" s="43"/>
      <c r="K49" s="1608" t="s">
        <v>1746</v>
      </c>
      <c r="L49" s="1609"/>
    </row>
    <row r="50" spans="3:12">
      <c r="D50" s="1511"/>
      <c r="E50" s="1517"/>
      <c r="F50" s="1517"/>
      <c r="G50" s="29"/>
      <c r="H50" s="1517"/>
      <c r="I50" s="1517"/>
      <c r="J50" s="29"/>
      <c r="K50" s="1517"/>
      <c r="L50" s="1518"/>
    </row>
    <row r="51" spans="3:12">
      <c r="D51" s="1615"/>
      <c r="E51" s="1616"/>
      <c r="F51" s="1616"/>
      <c r="G51" s="29"/>
      <c r="H51" s="1520"/>
      <c r="I51" s="1520"/>
      <c r="J51" s="29"/>
      <c r="K51" s="1616"/>
      <c r="L51" s="1618"/>
    </row>
    <row r="52" spans="3:12">
      <c r="D52" s="1615"/>
      <c r="E52" s="1616"/>
      <c r="F52" s="1616"/>
      <c r="G52" s="29"/>
      <c r="H52" s="1520"/>
      <c r="I52" s="1520"/>
      <c r="J52" s="29"/>
      <c r="K52" s="1616"/>
      <c r="L52" s="1618"/>
    </row>
    <row r="53" spans="3:12">
      <c r="D53" s="1615"/>
      <c r="E53" s="1616"/>
      <c r="F53" s="1616"/>
      <c r="G53" s="29"/>
      <c r="H53" s="1520"/>
      <c r="I53" s="1520"/>
      <c r="J53" s="29"/>
      <c r="K53" s="1616"/>
      <c r="L53" s="1618"/>
    </row>
    <row r="54" spans="3:12">
      <c r="D54" s="1615"/>
      <c r="E54" s="1616"/>
      <c r="F54" s="1616"/>
      <c r="G54" s="29"/>
      <c r="H54" s="1520"/>
      <c r="I54" s="1520"/>
      <c r="J54" s="29"/>
      <c r="K54" s="1616"/>
      <c r="L54" s="1618"/>
    </row>
    <row r="55" spans="3:12">
      <c r="D55" s="1615"/>
      <c r="E55" s="1616"/>
      <c r="F55" s="1616"/>
      <c r="G55" s="29"/>
      <c r="H55" s="1520"/>
      <c r="I55" s="1520"/>
      <c r="J55" s="29"/>
      <c r="K55" s="1616"/>
      <c r="L55" s="1618"/>
    </row>
    <row r="56" spans="3:12">
      <c r="D56" s="1615"/>
      <c r="E56" s="1616"/>
      <c r="F56" s="1616"/>
      <c r="G56" s="29"/>
      <c r="H56" s="1520"/>
      <c r="I56" s="1520"/>
      <c r="J56" s="29"/>
      <c r="K56" s="1616"/>
      <c r="L56" s="1618"/>
    </row>
    <row r="57" spans="3:12">
      <c r="D57" s="1615"/>
      <c r="E57" s="1616"/>
      <c r="F57" s="1616"/>
      <c r="G57" s="32"/>
      <c r="H57" s="1616"/>
      <c r="I57" s="1616"/>
      <c r="J57" s="32"/>
      <c r="K57" s="1616"/>
      <c r="L57" s="1618"/>
    </row>
    <row r="59" spans="3:12" ht="15.75">
      <c r="C59" s="1451" t="s">
        <v>3447</v>
      </c>
      <c r="D59" s="1451"/>
      <c r="E59" s="1451"/>
      <c r="F59" s="1451"/>
      <c r="G59" s="1451"/>
      <c r="H59" s="1451"/>
      <c r="I59" s="1451"/>
      <c r="J59" s="1451"/>
      <c r="K59" s="1451"/>
      <c r="L59" s="1451"/>
    </row>
  </sheetData>
  <customSheetViews>
    <customSheetView guid="{FC3B3501-CA52-40D7-B049-0E027A15B235}" fitToPage="1" topLeftCell="A28">
      <selection activeCell="P47" sqref="P47"/>
      <pageMargins left="0.45" right="0.45" top="0.11" bottom="0.22" header="0" footer="0"/>
      <pageSetup scale="87" orientation="portrait" r:id="rId1"/>
    </customSheetView>
  </customSheetViews>
  <mergeCells count="70">
    <mergeCell ref="D55:F55"/>
    <mergeCell ref="D56:F56"/>
    <mergeCell ref="D57:F57"/>
    <mergeCell ref="K50:L50"/>
    <mergeCell ref="K51:L51"/>
    <mergeCell ref="K52:L52"/>
    <mergeCell ref="K53:L53"/>
    <mergeCell ref="K54:L54"/>
    <mergeCell ref="K55:L55"/>
    <mergeCell ref="K56:L56"/>
    <mergeCell ref="K57:L57"/>
    <mergeCell ref="H57:I57"/>
    <mergeCell ref="D50:F50"/>
    <mergeCell ref="D51:F51"/>
    <mergeCell ref="D52:F52"/>
    <mergeCell ref="D53:F53"/>
    <mergeCell ref="D54:F54"/>
    <mergeCell ref="D43:F43"/>
    <mergeCell ref="D44:F44"/>
    <mergeCell ref="D45:F45"/>
    <mergeCell ref="H45:I45"/>
    <mergeCell ref="K44:L44"/>
    <mergeCell ref="K45:L45"/>
    <mergeCell ref="I21:L21"/>
    <mergeCell ref="D39:F39"/>
    <mergeCell ref="D40:F40"/>
    <mergeCell ref="D41:F41"/>
    <mergeCell ref="D42:F42"/>
    <mergeCell ref="K39:L39"/>
    <mergeCell ref="K40:L40"/>
    <mergeCell ref="K41:L41"/>
    <mergeCell ref="K42:L42"/>
    <mergeCell ref="K43:L43"/>
    <mergeCell ref="I16:L16"/>
    <mergeCell ref="I17:L17"/>
    <mergeCell ref="I18:L18"/>
    <mergeCell ref="I19:L19"/>
    <mergeCell ref="I20:L20"/>
    <mergeCell ref="H56:I56"/>
    <mergeCell ref="C1:M1"/>
    <mergeCell ref="C2:M2"/>
    <mergeCell ref="C3:M3"/>
    <mergeCell ref="I14:L14"/>
    <mergeCell ref="D38:F38"/>
    <mergeCell ref="H38:I38"/>
    <mergeCell ref="K38:L38"/>
    <mergeCell ref="D15:G15"/>
    <mergeCell ref="I15:L15"/>
    <mergeCell ref="D16:G16"/>
    <mergeCell ref="D17:G17"/>
    <mergeCell ref="D18:G18"/>
    <mergeCell ref="D19:G19"/>
    <mergeCell ref="D20:G20"/>
    <mergeCell ref="D21:G21"/>
    <mergeCell ref="C59:L59"/>
    <mergeCell ref="D49:F49"/>
    <mergeCell ref="H49:I49"/>
    <mergeCell ref="K49:L49"/>
    <mergeCell ref="H39:I39"/>
    <mergeCell ref="H40:I40"/>
    <mergeCell ref="H41:I41"/>
    <mergeCell ref="H42:I42"/>
    <mergeCell ref="H43:I43"/>
    <mergeCell ref="H44:I44"/>
    <mergeCell ref="H50:I50"/>
    <mergeCell ref="H51:I51"/>
    <mergeCell ref="H52:I52"/>
    <mergeCell ref="H53:I53"/>
    <mergeCell ref="H54:I54"/>
    <mergeCell ref="H55:I55"/>
  </mergeCells>
  <pageMargins left="0.45" right="0.45" top="0.11" bottom="0.22" header="0" footer="0"/>
  <pageSetup scale="87" orientation="portrait"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O56"/>
  <sheetViews>
    <sheetView workbookViewId="0">
      <pane xSplit="2" ySplit="10" topLeftCell="C38" activePane="bottomRight" state="frozen"/>
      <selection pane="topRight" activeCell="C1" sqref="C1"/>
      <selection pane="bottomLeft" activeCell="A11" sqref="A11"/>
      <selection pane="bottomRight" activeCell="N59" sqref="M59:N60"/>
    </sheetView>
  </sheetViews>
  <sheetFormatPr defaultRowHeight="15"/>
  <cols>
    <col min="1" max="1" width="3.28515625" style="566" customWidth="1"/>
    <col min="2" max="2" width="24.42578125" style="566" customWidth="1"/>
    <col min="3" max="3" width="10.5703125" style="566" customWidth="1"/>
    <col min="4" max="4" width="10.42578125" style="566" customWidth="1"/>
    <col min="5" max="10" width="11" style="566" customWidth="1"/>
    <col min="11" max="11" width="12.85546875" style="566" customWidth="1"/>
    <col min="12" max="12" width="15.85546875" style="566" customWidth="1"/>
    <col min="13" max="16384" width="9.140625" style="566"/>
  </cols>
  <sheetData>
    <row r="1" spans="2:15" ht="18">
      <c r="B1" s="1533" t="str">
        <f>'COVER PAGE'!A9</f>
        <v>TOWN OF BROADUS</v>
      </c>
      <c r="C1" s="1533"/>
      <c r="D1" s="1533"/>
      <c r="E1" s="1533"/>
      <c r="F1" s="1533"/>
      <c r="G1" s="1533"/>
      <c r="H1" s="1533"/>
      <c r="I1" s="1533"/>
      <c r="J1" s="1533"/>
      <c r="K1" s="1533"/>
      <c r="L1" s="1533"/>
      <c r="M1" s="559"/>
      <c r="N1" s="559"/>
      <c r="O1" s="559"/>
    </row>
    <row r="2" spans="2:15" ht="18">
      <c r="B2" s="1533" t="s">
        <v>1319</v>
      </c>
      <c r="C2" s="1533"/>
      <c r="D2" s="1533"/>
      <c r="E2" s="1533"/>
      <c r="F2" s="1533"/>
      <c r="G2" s="1533"/>
      <c r="H2" s="1533"/>
      <c r="I2" s="1533"/>
      <c r="J2" s="1533"/>
      <c r="K2" s="1533"/>
      <c r="L2" s="1533"/>
      <c r="M2" s="559"/>
      <c r="N2" s="559"/>
      <c r="O2" s="559"/>
    </row>
    <row r="3" spans="2:15" ht="18">
      <c r="B3" s="1535" t="str">
        <f>'COVER PAGE'!A30</f>
        <v>FISCAL YEAR ENDING JUNE 30, 2017</v>
      </c>
      <c r="C3" s="1535"/>
      <c r="D3" s="1535"/>
      <c r="E3" s="1535"/>
      <c r="F3" s="1535"/>
      <c r="G3" s="1535"/>
      <c r="H3" s="1535"/>
      <c r="I3" s="1535"/>
      <c r="J3" s="1535"/>
      <c r="K3" s="1535"/>
      <c r="L3" s="1535"/>
      <c r="M3" s="524"/>
      <c r="N3" s="524"/>
      <c r="O3" s="524"/>
    </row>
    <row r="4" spans="2:15" ht="13.5" customHeight="1">
      <c r="B4" s="1621" t="s">
        <v>2722</v>
      </c>
      <c r="C4" s="1621"/>
      <c r="D4" s="1621"/>
      <c r="E4" s="1621"/>
      <c r="F4" s="1621"/>
      <c r="G4" s="1621"/>
      <c r="H4" s="1621"/>
      <c r="I4" s="1621"/>
      <c r="J4" s="1621"/>
      <c r="K4" s="1621"/>
      <c r="L4" s="1621"/>
      <c r="M4" s="524"/>
      <c r="N4" s="524"/>
      <c r="O4" s="524"/>
    </row>
    <row r="5" spans="2:15" ht="13.5" customHeight="1">
      <c r="B5" s="873" t="s">
        <v>2712</v>
      </c>
      <c r="C5" s="873"/>
      <c r="D5" s="873"/>
      <c r="E5" s="873"/>
      <c r="F5" s="873"/>
      <c r="G5" s="873"/>
      <c r="H5" s="873"/>
      <c r="I5" s="873"/>
      <c r="J5" s="873"/>
      <c r="K5" s="873"/>
      <c r="L5" s="873"/>
      <c r="M5" s="871"/>
      <c r="N5" s="871"/>
      <c r="O5" s="871"/>
    </row>
    <row r="6" spans="2:15" ht="13.5" customHeight="1">
      <c r="B6" s="873"/>
      <c r="C6" s="567"/>
      <c r="D6" s="567"/>
      <c r="E6" s="567"/>
      <c r="F6" s="567"/>
      <c r="G6" s="567"/>
      <c r="H6" s="567"/>
      <c r="I6" s="567"/>
      <c r="J6" s="567"/>
      <c r="K6" s="567"/>
      <c r="L6" s="567"/>
      <c r="M6" s="524"/>
      <c r="N6" s="524"/>
      <c r="O6" s="524"/>
    </row>
    <row r="7" spans="2:15" ht="14.25" customHeight="1">
      <c r="B7" s="1621" t="s">
        <v>2713</v>
      </c>
      <c r="C7" s="1621"/>
      <c r="D7" s="1621"/>
      <c r="E7" s="1621"/>
      <c r="F7" s="1621"/>
      <c r="G7" s="1621"/>
      <c r="H7" s="1621"/>
      <c r="I7" s="1621"/>
      <c r="J7" s="1621"/>
      <c r="K7" s="1621"/>
      <c r="L7" s="1621"/>
      <c r="M7" s="524"/>
      <c r="N7" s="524"/>
      <c r="O7" s="524"/>
    </row>
    <row r="8" spans="2:15">
      <c r="B8" s="568"/>
      <c r="C8" s="568"/>
      <c r="D8" s="1620" t="s">
        <v>1628</v>
      </c>
      <c r="E8" s="1620"/>
      <c r="F8" s="1620"/>
      <c r="G8" s="1620"/>
      <c r="H8" s="1620"/>
      <c r="I8" s="1620"/>
      <c r="J8" s="1620"/>
      <c r="K8" s="573" t="s">
        <v>1202</v>
      </c>
      <c r="L8" s="573" t="s">
        <v>1058</v>
      </c>
    </row>
    <row r="9" spans="2:15">
      <c r="B9" s="569"/>
      <c r="C9" s="568"/>
      <c r="D9" s="573" t="str">
        <f>'GOVERNMENTAL FUNDS - BS(15)'!E7</f>
        <v>Fund #2190</v>
      </c>
      <c r="E9" s="573" t="str">
        <f>'GOVERNMENTAL FUNDS - BS(15)'!F7</f>
        <v>Fund #2500</v>
      </c>
      <c r="F9" s="573" t="str">
        <f>'GOVERNMENTAL FUNDS - BS(15)'!G7</f>
        <v>Fund #2820</v>
      </c>
      <c r="G9" s="573" t="str">
        <f>'GOVERNMENTAL FUNDS - BS(15)'!H7</f>
        <v>Fund #4003</v>
      </c>
      <c r="H9" s="573" t="str">
        <f>'GOVERNMENTAL FUNDS - BS(15)'!I7</f>
        <v>Fund #</v>
      </c>
      <c r="I9" s="573" t="str">
        <f>'GOVERNMENTAL FUNDS - BS(15)'!J7</f>
        <v>Fund #</v>
      </c>
      <c r="J9" s="573" t="str">
        <f>'GOVERNMENTAL FUNDS - BS(15)'!K7</f>
        <v>Fund #</v>
      </c>
      <c r="K9" s="573" t="s">
        <v>1056</v>
      </c>
      <c r="L9" s="573" t="s">
        <v>1056</v>
      </c>
    </row>
    <row r="10" spans="2:15" ht="36" customHeight="1">
      <c r="B10" s="570"/>
      <c r="C10" s="571" t="s">
        <v>1201</v>
      </c>
      <c r="D10" s="780" t="str">
        <f>'OPER-MAJOR SP. REVENUE(54-56)'!C3</f>
        <v>COMP INS</v>
      </c>
      <c r="E10" s="758" t="str">
        <f>'OPER-MAJOR SP. REVENUE(54-56)'!G3</f>
        <v>OTHER MAINT</v>
      </c>
      <c r="F10" s="758" t="str">
        <f>'OPER-MAJOR SP. REVENUE(54-56)'!K3</f>
        <v>GAS APPORTION</v>
      </c>
      <c r="G10" s="758" t="str">
        <f>'OPER-MAJOR SP. REVENUE(54-56)'!O3</f>
        <v>CIP #3</v>
      </c>
      <c r="H10" s="758" t="str">
        <f>'OPER-MAJOR SP. REVENUE(54-56)'!S3</f>
        <v>Fund Name</v>
      </c>
      <c r="I10" s="758" t="str">
        <f>'OPER-MAJOR SP. REVENUE(54-56)'!W3</f>
        <v>Fund Name</v>
      </c>
      <c r="J10" s="758" t="str">
        <f>'OPER-MAJOR SP. REVENUE(54-56)'!AA3</f>
        <v>Fund Name</v>
      </c>
      <c r="K10" s="814" t="s">
        <v>1203</v>
      </c>
      <c r="L10" s="814" t="s">
        <v>1203</v>
      </c>
    </row>
    <row r="11" spans="2:15">
      <c r="B11" s="572" t="s">
        <v>1566</v>
      </c>
      <c r="C11" s="582"/>
      <c r="D11" s="582"/>
      <c r="E11" s="582"/>
      <c r="F11" s="582"/>
      <c r="G11" s="582"/>
      <c r="H11" s="582"/>
      <c r="I11" s="582"/>
      <c r="J11" s="582"/>
      <c r="K11" s="582"/>
      <c r="L11" s="582"/>
    </row>
    <row r="12" spans="2:15">
      <c r="B12" s="572" t="s">
        <v>1624</v>
      </c>
      <c r="C12" s="582"/>
      <c r="D12" s="582"/>
      <c r="E12" s="582"/>
      <c r="F12" s="582"/>
      <c r="G12" s="582"/>
      <c r="H12" s="582"/>
      <c r="I12" s="582"/>
      <c r="J12" s="582"/>
      <c r="K12" s="582"/>
      <c r="L12" s="582"/>
    </row>
    <row r="13" spans="2:15">
      <c r="B13" s="569" t="s">
        <v>1571</v>
      </c>
      <c r="C13" s="582"/>
      <c r="D13" s="582"/>
      <c r="E13" s="582"/>
      <c r="F13" s="582"/>
      <c r="G13" s="582"/>
      <c r="H13" s="582"/>
      <c r="I13" s="582"/>
      <c r="J13" s="582"/>
      <c r="K13" s="582"/>
      <c r="L13" s="582">
        <f>SUM(C13:K13)</f>
        <v>0</v>
      </c>
    </row>
    <row r="14" spans="2:15">
      <c r="B14" s="569" t="s">
        <v>1625</v>
      </c>
      <c r="C14" s="582"/>
      <c r="D14" s="582"/>
      <c r="E14" s="582"/>
      <c r="F14" s="582"/>
      <c r="G14" s="582"/>
      <c r="H14" s="582"/>
      <c r="I14" s="582"/>
      <c r="J14" s="582"/>
      <c r="K14" s="582"/>
      <c r="L14" s="582">
        <f>SUM(C14:K14)</f>
        <v>0</v>
      </c>
    </row>
    <row r="15" spans="2:15">
      <c r="B15" s="569" t="s">
        <v>1629</v>
      </c>
      <c r="C15" s="582"/>
      <c r="D15" s="582"/>
      <c r="E15" s="582"/>
      <c r="F15" s="582"/>
      <c r="G15" s="582"/>
      <c r="H15" s="582"/>
      <c r="I15" s="582"/>
      <c r="J15" s="582"/>
      <c r="K15" s="582"/>
      <c r="L15" s="582">
        <f>SUM(C15:K15)</f>
        <v>0</v>
      </c>
    </row>
    <row r="16" spans="2:15">
      <c r="B16" s="569" t="s">
        <v>1626</v>
      </c>
      <c r="C16" s="582"/>
      <c r="D16" s="582"/>
      <c r="E16" s="582"/>
      <c r="F16" s="582"/>
      <c r="G16" s="582"/>
      <c r="H16" s="582"/>
      <c r="I16" s="582"/>
      <c r="J16" s="582"/>
      <c r="K16" s="582"/>
      <c r="L16" s="582">
        <f>SUM(C16:K16)</f>
        <v>0</v>
      </c>
    </row>
    <row r="17" spans="1:12">
      <c r="B17" s="572" t="s">
        <v>1366</v>
      </c>
      <c r="C17" s="582"/>
      <c r="D17" s="582"/>
      <c r="E17" s="582"/>
      <c r="F17" s="582"/>
      <c r="G17" s="582"/>
      <c r="H17" s="582"/>
      <c r="I17" s="582"/>
      <c r="J17" s="582"/>
      <c r="K17" s="582"/>
      <c r="L17" s="582"/>
    </row>
    <row r="18" spans="1:12">
      <c r="B18" s="569" t="s">
        <v>1630</v>
      </c>
      <c r="C18" s="582"/>
      <c r="D18" s="582"/>
      <c r="E18" s="582"/>
      <c r="F18" s="582"/>
      <c r="G18" s="582"/>
      <c r="H18" s="582"/>
      <c r="I18" s="582"/>
      <c r="J18" s="582"/>
      <c r="K18" s="582"/>
      <c r="L18" s="582">
        <f t="shared" ref="L18:L28" si="0">SUM(C18:K18)</f>
        <v>0</v>
      </c>
    </row>
    <row r="19" spans="1:12">
      <c r="B19" s="569" t="s">
        <v>1123</v>
      </c>
      <c r="C19" s="582"/>
      <c r="D19" s="582"/>
      <c r="E19" s="582"/>
      <c r="F19" s="582"/>
      <c r="G19" s="582"/>
      <c r="H19" s="582"/>
      <c r="I19" s="582"/>
      <c r="J19" s="582"/>
      <c r="K19" s="582"/>
      <c r="L19" s="582">
        <f t="shared" si="0"/>
        <v>0</v>
      </c>
    </row>
    <row r="20" spans="1:12">
      <c r="B20" s="569" t="s">
        <v>1122</v>
      </c>
      <c r="C20" s="582"/>
      <c r="D20" s="582"/>
      <c r="E20" s="582"/>
      <c r="F20" s="582"/>
      <c r="G20" s="582"/>
      <c r="H20" s="582"/>
      <c r="I20" s="582"/>
      <c r="J20" s="582"/>
      <c r="K20" s="582"/>
      <c r="L20" s="582">
        <f t="shared" si="0"/>
        <v>0</v>
      </c>
    </row>
    <row r="21" spans="1:12">
      <c r="B21" s="569" t="s">
        <v>1124</v>
      </c>
      <c r="C21" s="582"/>
      <c r="D21" s="582"/>
      <c r="E21" s="582"/>
      <c r="F21" s="582"/>
      <c r="G21" s="582"/>
      <c r="H21" s="582"/>
      <c r="I21" s="582"/>
      <c r="J21" s="582"/>
      <c r="K21" s="582"/>
      <c r="L21" s="582">
        <f t="shared" si="0"/>
        <v>0</v>
      </c>
    </row>
    <row r="22" spans="1:12">
      <c r="B22" s="569" t="s">
        <v>1631</v>
      </c>
      <c r="C22" s="582"/>
      <c r="D22" s="582"/>
      <c r="E22" s="582"/>
      <c r="F22" s="582"/>
      <c r="G22" s="582"/>
      <c r="H22" s="582"/>
      <c r="I22" s="582"/>
      <c r="J22" s="582"/>
      <c r="K22" s="582"/>
      <c r="L22" s="582">
        <f t="shared" si="0"/>
        <v>0</v>
      </c>
    </row>
    <row r="23" spans="1:12">
      <c r="B23" s="569" t="s">
        <v>1632</v>
      </c>
      <c r="C23" s="582"/>
      <c r="D23" s="582"/>
      <c r="E23" s="582"/>
      <c r="F23" s="582"/>
      <c r="G23" s="582"/>
      <c r="H23" s="582"/>
      <c r="I23" s="582"/>
      <c r="J23" s="582"/>
      <c r="K23" s="582"/>
      <c r="L23" s="582">
        <f t="shared" si="0"/>
        <v>0</v>
      </c>
    </row>
    <row r="24" spans="1:12">
      <c r="B24" s="569" t="s">
        <v>2716</v>
      </c>
      <c r="C24" s="582"/>
      <c r="D24" s="582"/>
      <c r="E24" s="582"/>
      <c r="F24" s="582"/>
      <c r="G24" s="582"/>
      <c r="H24" s="582"/>
      <c r="I24" s="582"/>
      <c r="J24" s="582"/>
      <c r="K24" s="582"/>
      <c r="L24" s="582">
        <f t="shared" si="0"/>
        <v>0</v>
      </c>
    </row>
    <row r="25" spans="1:12">
      <c r="B25" s="569" t="s">
        <v>2715</v>
      </c>
      <c r="C25" s="582"/>
      <c r="D25" s="582"/>
      <c r="E25" s="582"/>
      <c r="F25" s="582"/>
      <c r="G25" s="582"/>
      <c r="H25" s="582"/>
      <c r="I25" s="582"/>
      <c r="J25" s="582"/>
      <c r="K25" s="582"/>
      <c r="L25" s="582">
        <f t="shared" si="0"/>
        <v>0</v>
      </c>
    </row>
    <row r="26" spans="1:12">
      <c r="B26" s="569" t="s">
        <v>1121</v>
      </c>
      <c r="C26" s="582"/>
      <c r="D26" s="582"/>
      <c r="E26" s="582"/>
      <c r="F26" s="582"/>
      <c r="G26" s="582"/>
      <c r="H26" s="582"/>
      <c r="I26" s="582"/>
      <c r="J26" s="582"/>
      <c r="K26" s="582"/>
      <c r="L26" s="582">
        <f t="shared" si="0"/>
        <v>0</v>
      </c>
    </row>
    <row r="27" spans="1:12">
      <c r="B27" s="569" t="s">
        <v>2714</v>
      </c>
      <c r="C27" s="582"/>
      <c r="D27" s="582"/>
      <c r="E27" s="582"/>
      <c r="F27" s="582"/>
      <c r="G27" s="582"/>
      <c r="H27" s="582"/>
      <c r="I27" s="582"/>
      <c r="J27" s="582"/>
      <c r="K27" s="582"/>
      <c r="L27" s="582">
        <f t="shared" si="0"/>
        <v>0</v>
      </c>
    </row>
    <row r="28" spans="1:12">
      <c r="A28" s="1619" t="s">
        <v>1719</v>
      </c>
      <c r="B28" s="569" t="s">
        <v>1626</v>
      </c>
      <c r="C28" s="582"/>
      <c r="D28" s="582"/>
      <c r="E28" s="582"/>
      <c r="F28" s="582"/>
      <c r="G28" s="582"/>
      <c r="H28" s="582"/>
      <c r="I28" s="582"/>
      <c r="J28" s="582"/>
      <c r="K28" s="582"/>
      <c r="L28" s="582">
        <f t="shared" si="0"/>
        <v>0</v>
      </c>
    </row>
    <row r="29" spans="1:12" ht="18.75" customHeight="1">
      <c r="A29" s="1619"/>
      <c r="B29" s="572" t="s">
        <v>1623</v>
      </c>
      <c r="C29" s="582"/>
      <c r="D29" s="582"/>
      <c r="E29" s="582"/>
      <c r="F29" s="582"/>
      <c r="G29" s="582"/>
      <c r="H29" s="582"/>
      <c r="I29" s="582"/>
      <c r="J29" s="582"/>
      <c r="K29" s="582"/>
      <c r="L29" s="582"/>
    </row>
    <row r="30" spans="1:12">
      <c r="A30" s="1619"/>
      <c r="B30" s="569" t="s">
        <v>1630</v>
      </c>
      <c r="C30" s="582"/>
      <c r="D30" s="582"/>
      <c r="E30" s="582"/>
      <c r="F30" s="582"/>
      <c r="G30" s="582"/>
      <c r="H30" s="582"/>
      <c r="I30" s="582"/>
      <c r="J30" s="582"/>
      <c r="K30" s="582"/>
      <c r="L30" s="582">
        <f t="shared" ref="L30:L40" si="1">SUM(C30:K30)</f>
        <v>0</v>
      </c>
    </row>
    <row r="31" spans="1:12">
      <c r="B31" s="569" t="s">
        <v>1123</v>
      </c>
      <c r="C31" s="582"/>
      <c r="D31" s="582"/>
      <c r="E31" s="582"/>
      <c r="F31" s="582"/>
      <c r="G31" s="582"/>
      <c r="H31" s="582"/>
      <c r="I31" s="582"/>
      <c r="J31" s="582"/>
      <c r="K31" s="582"/>
      <c r="L31" s="582">
        <f t="shared" si="1"/>
        <v>0</v>
      </c>
    </row>
    <row r="32" spans="1:12">
      <c r="B32" s="569" t="s">
        <v>1122</v>
      </c>
      <c r="C32" s="582"/>
      <c r="D32" s="582"/>
      <c r="E32" s="582"/>
      <c r="F32" s="582"/>
      <c r="G32" s="582"/>
      <c r="H32" s="582"/>
      <c r="I32" s="582"/>
      <c r="J32" s="582"/>
      <c r="K32" s="582"/>
      <c r="L32" s="582">
        <f t="shared" si="1"/>
        <v>0</v>
      </c>
    </row>
    <row r="33" spans="2:12">
      <c r="B33" s="569" t="s">
        <v>1124</v>
      </c>
      <c r="C33" s="582"/>
      <c r="D33" s="582"/>
      <c r="E33" s="582"/>
      <c r="F33" s="582"/>
      <c r="G33" s="582"/>
      <c r="H33" s="582"/>
      <c r="I33" s="582"/>
      <c r="J33" s="582"/>
      <c r="K33" s="582"/>
      <c r="L33" s="582">
        <f t="shared" si="1"/>
        <v>0</v>
      </c>
    </row>
    <row r="34" spans="2:12">
      <c r="B34" s="569" t="s">
        <v>1631</v>
      </c>
      <c r="C34" s="582"/>
      <c r="D34" s="582"/>
      <c r="E34" s="582"/>
      <c r="F34" s="582"/>
      <c r="G34" s="582"/>
      <c r="H34" s="582"/>
      <c r="I34" s="582"/>
      <c r="J34" s="582"/>
      <c r="K34" s="582"/>
      <c r="L34" s="582">
        <f t="shared" si="1"/>
        <v>0</v>
      </c>
    </row>
    <row r="35" spans="2:12">
      <c r="B35" s="569" t="s">
        <v>1632</v>
      </c>
      <c r="C35" s="582"/>
      <c r="D35" s="582"/>
      <c r="E35" s="582"/>
      <c r="F35" s="582"/>
      <c r="G35" s="582"/>
      <c r="H35" s="582"/>
      <c r="I35" s="582"/>
      <c r="J35" s="582"/>
      <c r="K35" s="582"/>
      <c r="L35" s="582">
        <f t="shared" si="1"/>
        <v>0</v>
      </c>
    </row>
    <row r="36" spans="2:12">
      <c r="B36" s="569" t="s">
        <v>2716</v>
      </c>
      <c r="C36" s="582"/>
      <c r="D36" s="582"/>
      <c r="E36" s="582"/>
      <c r="F36" s="582"/>
      <c r="G36" s="582"/>
      <c r="H36" s="582"/>
      <c r="I36" s="582"/>
      <c r="J36" s="582"/>
      <c r="K36" s="582"/>
      <c r="L36" s="582">
        <f t="shared" si="1"/>
        <v>0</v>
      </c>
    </row>
    <row r="37" spans="2:12">
      <c r="B37" s="569" t="s">
        <v>2715</v>
      </c>
      <c r="C37" s="582"/>
      <c r="D37" s="582"/>
      <c r="E37" s="582"/>
      <c r="F37" s="582"/>
      <c r="G37" s="582"/>
      <c r="H37" s="582"/>
      <c r="I37" s="582"/>
      <c r="J37" s="582"/>
      <c r="K37" s="582"/>
      <c r="L37" s="582">
        <f t="shared" si="1"/>
        <v>0</v>
      </c>
    </row>
    <row r="38" spans="2:12">
      <c r="B38" s="569" t="s">
        <v>1121</v>
      </c>
      <c r="C38" s="582"/>
      <c r="D38" s="582"/>
      <c r="E38" s="582"/>
      <c r="F38" s="582"/>
      <c r="G38" s="582"/>
      <c r="H38" s="582"/>
      <c r="I38" s="582"/>
      <c r="J38" s="582"/>
      <c r="K38" s="582"/>
      <c r="L38" s="582">
        <f t="shared" si="1"/>
        <v>0</v>
      </c>
    </row>
    <row r="39" spans="2:12">
      <c r="B39" s="569" t="s">
        <v>2714</v>
      </c>
      <c r="C39" s="582"/>
      <c r="D39" s="582"/>
      <c r="E39" s="582"/>
      <c r="F39" s="582"/>
      <c r="G39" s="582"/>
      <c r="H39" s="582"/>
      <c r="I39" s="582"/>
      <c r="J39" s="582"/>
      <c r="K39" s="582"/>
      <c r="L39" s="582">
        <f t="shared" si="1"/>
        <v>0</v>
      </c>
    </row>
    <row r="40" spans="2:12">
      <c r="B40" s="569" t="s">
        <v>1626</v>
      </c>
      <c r="C40" s="582"/>
      <c r="D40" s="582"/>
      <c r="E40" s="582"/>
      <c r="F40" s="582"/>
      <c r="G40" s="582"/>
      <c r="H40" s="582"/>
      <c r="I40" s="582"/>
      <c r="J40" s="582"/>
      <c r="K40" s="582"/>
      <c r="L40" s="582">
        <f t="shared" si="1"/>
        <v>0</v>
      </c>
    </row>
    <row r="41" spans="2:12">
      <c r="B41" s="572" t="s">
        <v>1627</v>
      </c>
      <c r="C41" s="582"/>
      <c r="D41" s="582"/>
      <c r="E41" s="582"/>
      <c r="F41" s="582"/>
      <c r="G41" s="582"/>
      <c r="H41" s="582"/>
      <c r="I41" s="582"/>
      <c r="J41" s="582"/>
      <c r="K41" s="582"/>
      <c r="L41" s="582"/>
    </row>
    <row r="42" spans="2:12">
      <c r="B42" s="569" t="s">
        <v>1630</v>
      </c>
      <c r="C42" s="582"/>
      <c r="D42" s="582"/>
      <c r="E42" s="582"/>
      <c r="F42" s="582"/>
      <c r="G42" s="582"/>
      <c r="H42" s="582"/>
      <c r="I42" s="582"/>
      <c r="J42" s="582"/>
      <c r="K42" s="582"/>
      <c r="L42" s="582">
        <f t="shared" ref="L42:L53" si="2">SUM(C42:K42)</f>
        <v>0</v>
      </c>
    </row>
    <row r="43" spans="2:12">
      <c r="B43" s="569" t="s">
        <v>1123</v>
      </c>
      <c r="C43" s="582"/>
      <c r="D43" s="582"/>
      <c r="E43" s="582"/>
      <c r="F43" s="582"/>
      <c r="G43" s="582"/>
      <c r="H43" s="582"/>
      <c r="I43" s="582"/>
      <c r="J43" s="582"/>
      <c r="K43" s="582"/>
      <c r="L43" s="582">
        <f t="shared" si="2"/>
        <v>0</v>
      </c>
    </row>
    <row r="44" spans="2:12">
      <c r="B44" s="569" t="s">
        <v>1122</v>
      </c>
      <c r="C44" s="582"/>
      <c r="D44" s="582"/>
      <c r="E44" s="582"/>
      <c r="F44" s="582"/>
      <c r="G44" s="582"/>
      <c r="H44" s="582"/>
      <c r="I44" s="582"/>
      <c r="J44" s="582"/>
      <c r="K44" s="582"/>
      <c r="L44" s="582">
        <f t="shared" si="2"/>
        <v>0</v>
      </c>
    </row>
    <row r="45" spans="2:12">
      <c r="B45" s="569" t="s">
        <v>1124</v>
      </c>
      <c r="C45" s="582"/>
      <c r="D45" s="582"/>
      <c r="E45" s="582"/>
      <c r="F45" s="582"/>
      <c r="G45" s="582"/>
      <c r="H45" s="582"/>
      <c r="I45" s="582"/>
      <c r="J45" s="582"/>
      <c r="K45" s="582"/>
      <c r="L45" s="582">
        <f t="shared" si="2"/>
        <v>0</v>
      </c>
    </row>
    <row r="46" spans="2:12">
      <c r="B46" s="569" t="s">
        <v>1631</v>
      </c>
      <c r="C46" s="582"/>
      <c r="D46" s="582"/>
      <c r="E46" s="582"/>
      <c r="F46" s="582"/>
      <c r="G46" s="582"/>
      <c r="H46" s="582"/>
      <c r="I46" s="582"/>
      <c r="J46" s="582"/>
      <c r="K46" s="582"/>
      <c r="L46" s="582">
        <f t="shared" si="2"/>
        <v>0</v>
      </c>
    </row>
    <row r="47" spans="2:12">
      <c r="B47" s="569" t="s">
        <v>1632</v>
      </c>
      <c r="C47" s="582"/>
      <c r="D47" s="582"/>
      <c r="E47" s="582"/>
      <c r="F47" s="582"/>
      <c r="G47" s="582"/>
      <c r="H47" s="582"/>
      <c r="I47" s="582"/>
      <c r="J47" s="582"/>
      <c r="K47" s="582"/>
      <c r="L47" s="582">
        <f t="shared" si="2"/>
        <v>0</v>
      </c>
    </row>
    <row r="48" spans="2:12">
      <c r="B48" s="569" t="s">
        <v>2716</v>
      </c>
      <c r="C48" s="582"/>
      <c r="D48" s="582"/>
      <c r="E48" s="582"/>
      <c r="F48" s="582"/>
      <c r="G48" s="582"/>
      <c r="H48" s="582"/>
      <c r="I48" s="582"/>
      <c r="J48" s="582"/>
      <c r="K48" s="582"/>
      <c r="L48" s="582">
        <f t="shared" si="2"/>
        <v>0</v>
      </c>
    </row>
    <row r="49" spans="2:12">
      <c r="B49" s="569" t="s">
        <v>2715</v>
      </c>
      <c r="C49" s="582"/>
      <c r="D49" s="582"/>
      <c r="E49" s="582"/>
      <c r="F49" s="582"/>
      <c r="G49" s="582"/>
      <c r="H49" s="582"/>
      <c r="I49" s="582"/>
      <c r="J49" s="582"/>
      <c r="K49" s="582"/>
      <c r="L49" s="582">
        <f t="shared" si="2"/>
        <v>0</v>
      </c>
    </row>
    <row r="50" spans="2:12">
      <c r="B50" s="569" t="s">
        <v>1121</v>
      </c>
      <c r="C50" s="582"/>
      <c r="D50" s="582"/>
      <c r="E50" s="582"/>
      <c r="F50" s="582"/>
      <c r="G50" s="582"/>
      <c r="H50" s="582"/>
      <c r="I50" s="582"/>
      <c r="J50" s="582"/>
      <c r="K50" s="582"/>
      <c r="L50" s="582">
        <f t="shared" si="2"/>
        <v>0</v>
      </c>
    </row>
    <row r="51" spans="2:12">
      <c r="B51" s="569" t="s">
        <v>2714</v>
      </c>
      <c r="C51" s="582"/>
      <c r="D51" s="582"/>
      <c r="E51" s="582"/>
      <c r="F51" s="582"/>
      <c r="G51" s="582"/>
      <c r="H51" s="582"/>
      <c r="I51" s="582"/>
      <c r="J51" s="582"/>
      <c r="K51" s="582"/>
      <c r="L51" s="582">
        <f t="shared" si="2"/>
        <v>0</v>
      </c>
    </row>
    <row r="52" spans="2:12">
      <c r="B52" s="569" t="s">
        <v>1626</v>
      </c>
      <c r="C52" s="582"/>
      <c r="D52" s="582"/>
      <c r="E52" s="582"/>
      <c r="F52" s="582"/>
      <c r="G52" s="582"/>
      <c r="H52" s="582"/>
      <c r="I52" s="582"/>
      <c r="J52" s="582"/>
      <c r="K52" s="582"/>
      <c r="L52" s="582">
        <f t="shared" si="2"/>
        <v>0</v>
      </c>
    </row>
    <row r="53" spans="2:12">
      <c r="B53" s="572" t="s">
        <v>1622</v>
      </c>
      <c r="C53" s="582">
        <f>'GOVERNMENTAL FUNDS - BS(15)'!D71</f>
        <v>135861.18</v>
      </c>
      <c r="D53" s="582">
        <f>'GOVERNMENTAL FUNDS - BS(15)'!E71</f>
        <v>2416.62</v>
      </c>
      <c r="E53" s="582">
        <f>'GOVERNMENTAL FUNDS - BS(15)'!F71</f>
        <v>34582.89</v>
      </c>
      <c r="F53" s="582">
        <f>'GOVERNMENTAL FUNDS - BS(15)'!G71</f>
        <v>5126.08</v>
      </c>
      <c r="G53" s="582">
        <f>'GOVERNMENTAL FUNDS - BS(15)'!H71</f>
        <v>6506</v>
      </c>
      <c r="H53" s="582">
        <f>'GOVERNMENTAL FUNDS - BS(15)'!I71</f>
        <v>0</v>
      </c>
      <c r="I53" s="582">
        <f>'GOVERNMENTAL FUNDS - BS(15)'!J71</f>
        <v>0</v>
      </c>
      <c r="J53" s="582">
        <f>'GOVERNMENTAL FUNDS - BS(15)'!K71</f>
        <v>0</v>
      </c>
      <c r="K53" s="582">
        <f>'GOVERNMENTAL FUNDS - BS(15)'!L71</f>
        <v>39017.380000000005</v>
      </c>
      <c r="L53" s="582">
        <f t="shared" si="2"/>
        <v>223510.15</v>
      </c>
    </row>
    <row r="54" spans="2:12" ht="15.75" thickBot="1">
      <c r="B54" s="572" t="s">
        <v>1621</v>
      </c>
      <c r="C54" s="583">
        <f t="shared" ref="C54:L54" si="3">SUM(C12:C53)</f>
        <v>135861.18</v>
      </c>
      <c r="D54" s="583">
        <f t="shared" si="3"/>
        <v>2416.62</v>
      </c>
      <c r="E54" s="583">
        <f t="shared" si="3"/>
        <v>34582.89</v>
      </c>
      <c r="F54" s="583">
        <f t="shared" si="3"/>
        <v>5126.08</v>
      </c>
      <c r="G54" s="583">
        <f t="shared" si="3"/>
        <v>6506</v>
      </c>
      <c r="H54" s="583">
        <f t="shared" si="3"/>
        <v>0</v>
      </c>
      <c r="I54" s="583">
        <f t="shared" si="3"/>
        <v>0</v>
      </c>
      <c r="J54" s="583">
        <f t="shared" si="3"/>
        <v>0</v>
      </c>
      <c r="K54" s="583">
        <f t="shared" si="3"/>
        <v>39017.380000000005</v>
      </c>
      <c r="L54" s="583">
        <f t="shared" si="3"/>
        <v>223510.15</v>
      </c>
    </row>
    <row r="55" spans="2:12" ht="15.75" thickTop="1">
      <c r="L55" s="650">
        <f>L54-'GOVERNMENTAL FUNDS - BS(15)'!M72</f>
        <v>0</v>
      </c>
    </row>
    <row r="56" spans="2:12" ht="15.75">
      <c r="F56" s="1097" t="s">
        <v>3451</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7">
    <mergeCell ref="A28:A30"/>
    <mergeCell ref="D8:J8"/>
    <mergeCell ref="B4:L4"/>
    <mergeCell ref="B7:L7"/>
    <mergeCell ref="B1:L1"/>
    <mergeCell ref="B2:L2"/>
    <mergeCell ref="B3:L3"/>
  </mergeCells>
  <pageMargins left="0.47" right="0.19" top="0.24" bottom="0.3" header="0" footer="0"/>
  <pageSetup scale="70" orientation="portrait"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O84"/>
  <sheetViews>
    <sheetView topLeftCell="A40" zoomScaleNormal="100" workbookViewId="0">
      <selection activeCell="G5" sqref="G5"/>
    </sheetView>
  </sheetViews>
  <sheetFormatPr defaultRowHeight="12.75"/>
  <cols>
    <col min="1" max="1" width="3.7109375" style="1117" customWidth="1"/>
    <col min="2" max="2" width="2.42578125" style="1117" customWidth="1"/>
    <col min="3" max="3" width="11.7109375" style="1117" customWidth="1"/>
    <col min="4" max="4" width="2.7109375" style="1117" customWidth="1"/>
    <col min="5" max="5" width="10" style="1117" customWidth="1"/>
    <col min="6" max="6" width="2.7109375" style="1117" customWidth="1"/>
    <col min="7" max="7" width="24.85546875" style="1117" customWidth="1"/>
    <col min="8" max="8" width="2.7109375" style="1117" customWidth="1"/>
    <col min="9" max="9" width="23.85546875" style="1117" customWidth="1"/>
    <col min="10" max="16384" width="9.140625" style="1117"/>
  </cols>
  <sheetData>
    <row r="1" spans="1:13" ht="18">
      <c r="A1" s="4" t="str">
        <f>'NOTE TO FIN ST (23)'!A1</f>
        <v>TOWN OF BROADUS</v>
      </c>
      <c r="B1" s="2"/>
      <c r="C1" s="2"/>
      <c r="D1" s="2"/>
      <c r="E1" s="2"/>
      <c r="F1" s="2"/>
      <c r="G1" s="2"/>
      <c r="H1" s="2"/>
      <c r="I1" s="2"/>
      <c r="J1" s="2"/>
      <c r="K1" s="2"/>
      <c r="L1" s="2"/>
      <c r="M1" s="2"/>
    </row>
    <row r="2" spans="1:13" ht="18">
      <c r="A2" s="4" t="s">
        <v>1319</v>
      </c>
      <c r="B2" s="2"/>
      <c r="C2" s="2"/>
      <c r="D2" s="2"/>
      <c r="E2" s="2"/>
      <c r="F2" s="2"/>
      <c r="G2" s="2"/>
      <c r="H2" s="2"/>
      <c r="I2" s="2"/>
      <c r="J2" s="2"/>
      <c r="K2" s="2"/>
      <c r="L2" s="2"/>
      <c r="M2" s="2"/>
    </row>
    <row r="3" spans="1:13" ht="18">
      <c r="A3" s="5" t="str">
        <f>'NOTES TO FIN ST (31)'!A3:M3</f>
        <v>FISCAL YEAR ENDING JUNE 30, 2017</v>
      </c>
      <c r="B3" s="2"/>
      <c r="C3" s="2"/>
      <c r="D3" s="2"/>
      <c r="E3" s="2"/>
      <c r="F3" s="2"/>
      <c r="G3" s="2"/>
      <c r="H3" s="2"/>
      <c r="I3" s="2"/>
      <c r="J3" s="2"/>
      <c r="K3" s="2"/>
      <c r="L3" s="2"/>
      <c r="M3" s="2"/>
    </row>
    <row r="4" spans="1:13" ht="18">
      <c r="A4" s="5"/>
      <c r="B4" s="2"/>
      <c r="C4" s="2"/>
      <c r="D4" s="2"/>
      <c r="E4" s="2"/>
      <c r="F4" s="2"/>
      <c r="G4" s="2"/>
      <c r="H4" s="2"/>
      <c r="I4" s="2"/>
      <c r="J4" s="2"/>
      <c r="K4" s="2"/>
      <c r="L4" s="2"/>
      <c r="M4" s="2"/>
    </row>
    <row r="5" spans="1:13" ht="12.75" customHeight="1">
      <c r="A5" s="787" t="s">
        <v>3300</v>
      </c>
      <c r="B5" s="787"/>
      <c r="C5" s="1188" t="s">
        <v>3272</v>
      </c>
      <c r="D5" s="1123"/>
      <c r="E5" s="1123"/>
      <c r="F5" s="1123"/>
      <c r="G5" s="1123" t="s">
        <v>3707</v>
      </c>
      <c r="H5" s="1123"/>
      <c r="I5" s="1123"/>
      <c r="J5" s="1123"/>
      <c r="K5" s="1123"/>
      <c r="L5" s="1123"/>
    </row>
    <row r="6" spans="1:13" ht="15" customHeight="1">
      <c r="A6" s="15"/>
      <c r="B6" s="19"/>
      <c r="C6" s="1623" t="s">
        <v>3455</v>
      </c>
      <c r="D6" s="1623"/>
      <c r="E6" s="1623"/>
      <c r="F6" s="1623"/>
      <c r="G6" s="1623"/>
      <c r="H6" s="1623"/>
      <c r="I6" s="1623"/>
      <c r="J6" s="1623"/>
      <c r="K6" s="1623"/>
      <c r="L6" s="1623"/>
      <c r="M6" s="1623"/>
    </row>
    <row r="7" spans="1:13" s="1172" customFormat="1" ht="12.75" customHeight="1">
      <c r="A7" s="15"/>
      <c r="B7" s="19"/>
      <c r="C7" s="1623" t="s">
        <v>3452</v>
      </c>
      <c r="D7" s="1623"/>
      <c r="E7" s="1623"/>
      <c r="F7" s="1623"/>
      <c r="G7" s="1623"/>
      <c r="H7" s="1623"/>
      <c r="I7" s="1623"/>
      <c r="J7" s="1623"/>
      <c r="K7" s="1623"/>
      <c r="L7" s="1623"/>
      <c r="M7" s="1623"/>
    </row>
    <row r="8" spans="1:13" ht="12.75" customHeight="1">
      <c r="A8" s="15"/>
      <c r="B8" s="19"/>
      <c r="C8" s="1122" t="s">
        <v>3453</v>
      </c>
    </row>
    <row r="9" spans="1:13" ht="12.75" customHeight="1">
      <c r="A9" s="15"/>
      <c r="B9" s="19"/>
      <c r="C9" s="1122" t="s">
        <v>3454</v>
      </c>
    </row>
    <row r="10" spans="1:13" ht="12.75" customHeight="1">
      <c r="A10" s="15"/>
      <c r="B10" s="19"/>
      <c r="C10" s="1122"/>
    </row>
    <row r="11" spans="1:13" ht="12.75" customHeight="1">
      <c r="A11" s="15"/>
      <c r="B11" s="19"/>
      <c r="C11" s="1626" t="s">
        <v>3524</v>
      </c>
      <c r="D11" s="1626"/>
      <c r="E11" s="1626"/>
      <c r="F11" s="1626"/>
      <c r="G11" s="1626"/>
      <c r="H11" s="1626"/>
      <c r="I11" s="1626"/>
      <c r="J11" s="1626"/>
      <c r="K11" s="1626"/>
      <c r="L11" s="1626"/>
      <c r="M11" s="1626"/>
    </row>
    <row r="12" spans="1:13" ht="12.75" customHeight="1">
      <c r="A12" s="15"/>
      <c r="B12" s="19"/>
      <c r="C12" s="1626"/>
      <c r="D12" s="1626"/>
      <c r="E12" s="1626"/>
      <c r="F12" s="1626"/>
      <c r="G12" s="1626"/>
      <c r="H12" s="1626"/>
      <c r="I12" s="1626"/>
      <c r="J12" s="1626"/>
      <c r="K12" s="1626"/>
      <c r="L12" s="1626"/>
      <c r="M12" s="1626"/>
    </row>
    <row r="13" spans="1:13" ht="27" customHeight="1">
      <c r="A13" s="15"/>
      <c r="C13" s="1626"/>
      <c r="D13" s="1626"/>
      <c r="E13" s="1626"/>
      <c r="F13" s="1626"/>
      <c r="G13" s="1626"/>
      <c r="H13" s="1626"/>
      <c r="I13" s="1626"/>
      <c r="J13" s="1626"/>
      <c r="K13" s="1626"/>
      <c r="L13" s="1626"/>
      <c r="M13" s="1626"/>
    </row>
    <row r="14" spans="1:13" ht="12.75" customHeight="1">
      <c r="A14" s="15"/>
      <c r="C14" s="1122"/>
      <c r="D14" s="1119"/>
      <c r="E14" s="1119"/>
      <c r="F14" s="1119"/>
      <c r="G14" s="1119"/>
      <c r="H14" s="1119"/>
      <c r="I14" s="1119"/>
      <c r="J14" s="1119"/>
      <c r="K14" s="1119"/>
      <c r="L14" s="1119"/>
    </row>
    <row r="15" spans="1:13" ht="12.75" customHeight="1">
      <c r="A15" s="15"/>
      <c r="C15" s="1627" t="s">
        <v>3489</v>
      </c>
      <c r="D15" s="1627"/>
      <c r="E15" s="1627"/>
      <c r="F15" s="1627"/>
      <c r="G15" s="1627"/>
      <c r="H15" s="1627"/>
      <c r="I15" s="1627"/>
      <c r="J15" s="1627"/>
      <c r="K15" s="1627"/>
      <c r="L15" s="1627"/>
      <c r="M15" s="1627"/>
    </row>
    <row r="16" spans="1:13" ht="12.75" customHeight="1">
      <c r="A16" s="15"/>
      <c r="C16" s="1627"/>
      <c r="D16" s="1627"/>
      <c r="E16" s="1627"/>
      <c r="F16" s="1627"/>
      <c r="G16" s="1627"/>
      <c r="H16" s="1627"/>
      <c r="I16" s="1627"/>
      <c r="J16" s="1627"/>
      <c r="K16" s="1627"/>
      <c r="L16" s="1627"/>
      <c r="M16" s="1627"/>
    </row>
    <row r="17" spans="1:13" ht="12.75" customHeight="1">
      <c r="A17" s="15"/>
      <c r="C17" s="1627"/>
      <c r="D17" s="1627"/>
      <c r="E17" s="1627"/>
      <c r="F17" s="1627"/>
      <c r="G17" s="1627"/>
      <c r="H17" s="1627"/>
      <c r="I17" s="1627"/>
      <c r="J17" s="1627"/>
      <c r="K17" s="1627"/>
      <c r="L17" s="1627"/>
      <c r="M17" s="1627"/>
    </row>
    <row r="18" spans="1:13" ht="27.75" customHeight="1">
      <c r="A18" s="15"/>
      <c r="C18" s="1627"/>
      <c r="D18" s="1627"/>
      <c r="E18" s="1627"/>
      <c r="F18" s="1627"/>
      <c r="G18" s="1627"/>
      <c r="H18" s="1627"/>
      <c r="I18" s="1627"/>
      <c r="J18" s="1627"/>
      <c r="K18" s="1627"/>
      <c r="L18" s="1627"/>
      <c r="M18" s="1627"/>
    </row>
    <row r="19" spans="1:13" ht="12.75" customHeight="1">
      <c r="A19" s="15"/>
      <c r="C19" s="1124"/>
      <c r="D19" s="1119"/>
      <c r="E19" s="1119"/>
      <c r="F19" s="1119"/>
      <c r="G19" s="1119"/>
      <c r="H19" s="1119"/>
      <c r="I19" s="1119"/>
      <c r="J19" s="1119"/>
      <c r="K19" s="1119"/>
      <c r="L19" s="1119"/>
    </row>
    <row r="20" spans="1:13" ht="14.25" customHeight="1">
      <c r="A20" s="15"/>
      <c r="C20" s="1628" t="s">
        <v>3464</v>
      </c>
      <c r="D20" s="1628"/>
      <c r="E20" s="1628"/>
      <c r="F20" s="1628"/>
      <c r="G20" s="1628"/>
      <c r="H20" s="1628"/>
      <c r="I20" s="1628"/>
      <c r="J20" s="1628"/>
      <c r="K20" s="1628"/>
      <c r="L20" s="1628"/>
      <c r="M20" s="1628"/>
    </row>
    <row r="21" spans="1:13" ht="12.75" customHeight="1">
      <c r="A21" s="15"/>
      <c r="C21" s="1626" t="s">
        <v>3484</v>
      </c>
      <c r="D21" s="1626"/>
      <c r="E21" s="1626"/>
      <c r="F21" s="1626"/>
      <c r="G21" s="1626"/>
      <c r="H21" s="1626"/>
      <c r="I21" s="1626"/>
      <c r="J21" s="1626"/>
      <c r="K21" s="1626"/>
      <c r="L21" s="1626"/>
      <c r="M21" s="1626"/>
    </row>
    <row r="22" spans="1:13" s="1172" customFormat="1" ht="12.75" customHeight="1">
      <c r="A22" s="15"/>
      <c r="C22" s="1192" t="s">
        <v>3468</v>
      </c>
      <c r="D22" s="1192"/>
      <c r="E22" s="1192"/>
      <c r="F22" s="1192"/>
      <c r="G22" s="1192"/>
      <c r="H22" s="1192"/>
      <c r="I22" s="1192"/>
      <c r="J22" s="1192"/>
      <c r="K22" s="1192"/>
      <c r="L22" s="1192"/>
      <c r="M22" s="1192"/>
    </row>
    <row r="23" spans="1:13" ht="12.75" customHeight="1">
      <c r="A23" s="15"/>
      <c r="C23" s="1193" t="s">
        <v>3485</v>
      </c>
      <c r="D23" s="1194"/>
      <c r="E23" s="1194"/>
      <c r="F23" s="1194"/>
      <c r="G23" s="1194"/>
      <c r="H23" s="1194"/>
      <c r="I23" s="1194"/>
      <c r="J23" s="1194"/>
      <c r="K23" s="1194"/>
      <c r="L23" s="1194"/>
      <c r="M23" s="236"/>
    </row>
    <row r="24" spans="1:13" ht="12.75" customHeight="1">
      <c r="A24" s="15"/>
      <c r="C24" s="1193" t="s">
        <v>3463</v>
      </c>
      <c r="D24" s="1194"/>
      <c r="E24" s="1194"/>
      <c r="F24" s="1194"/>
      <c r="G24" s="1194"/>
      <c r="H24" s="1194"/>
      <c r="I24" s="1194"/>
      <c r="J24" s="1194"/>
      <c r="K24" s="1194"/>
      <c r="L24" s="1194"/>
      <c r="M24" s="236"/>
    </row>
    <row r="25" spans="1:13" ht="12.75" customHeight="1">
      <c r="A25" s="15"/>
      <c r="C25" s="1122"/>
      <c r="D25" s="1119"/>
      <c r="E25" s="1119"/>
      <c r="F25" s="1119"/>
      <c r="G25" s="1119"/>
      <c r="H25" s="1119"/>
      <c r="I25" s="1119"/>
      <c r="J25" s="1119"/>
      <c r="K25" s="1119"/>
      <c r="L25" s="1119"/>
    </row>
    <row r="26" spans="1:13" ht="12.75" customHeight="1">
      <c r="A26" s="15"/>
      <c r="B26" s="19">
        <v>1</v>
      </c>
      <c r="C26" s="1195" t="s">
        <v>3273</v>
      </c>
      <c r="J26" s="1119"/>
      <c r="K26" s="1119"/>
      <c r="L26" s="1119"/>
    </row>
    <row r="27" spans="1:13" ht="10.5" customHeight="1">
      <c r="A27" s="15"/>
      <c r="B27" s="19"/>
      <c r="C27" s="1120"/>
      <c r="J27" s="1119"/>
      <c r="K27" s="1119"/>
      <c r="L27" s="1119"/>
    </row>
    <row r="28" spans="1:13" ht="12.75" customHeight="1">
      <c r="A28" s="15"/>
      <c r="B28" s="19"/>
      <c r="C28" s="1629" t="s">
        <v>3465</v>
      </c>
      <c r="D28" s="1629"/>
      <c r="E28" s="1629"/>
      <c r="F28" s="1629"/>
      <c r="G28" s="1629"/>
      <c r="H28" s="1629"/>
      <c r="I28" s="1629"/>
      <c r="J28" s="1629"/>
      <c r="K28" s="1629"/>
      <c r="L28" s="1629"/>
      <c r="M28" s="1629"/>
    </row>
    <row r="29" spans="1:13" s="1172" customFormat="1" ht="12.75" customHeight="1">
      <c r="A29" s="15"/>
      <c r="B29" s="19"/>
      <c r="C29" s="1178"/>
      <c r="D29" s="1178"/>
      <c r="E29" s="1178"/>
      <c r="F29" s="1178"/>
      <c r="G29" s="1178"/>
      <c r="H29" s="1178"/>
      <c r="I29" s="1178"/>
      <c r="J29" s="1178"/>
      <c r="K29" s="1178"/>
      <c r="L29" s="1178"/>
      <c r="M29" s="1178"/>
    </row>
    <row r="30" spans="1:13" s="1184" customFormat="1" ht="12.75" customHeight="1">
      <c r="A30" s="1185"/>
      <c r="B30" s="1186"/>
      <c r="C30" s="1625" t="s">
        <v>3458</v>
      </c>
      <c r="D30" s="1625"/>
      <c r="E30" s="1625"/>
      <c r="F30" s="1625"/>
      <c r="G30" s="1625"/>
      <c r="H30" s="1625"/>
      <c r="I30" s="1625"/>
      <c r="J30" s="1625"/>
      <c r="K30" s="1625"/>
      <c r="L30" s="1625"/>
      <c r="M30" s="1625"/>
    </row>
    <row r="31" spans="1:13" s="1172" customFormat="1" ht="12.75" customHeight="1">
      <c r="A31" s="15"/>
      <c r="B31" s="19"/>
      <c r="C31" s="1625" t="s">
        <v>3459</v>
      </c>
      <c r="D31" s="1625"/>
      <c r="E31" s="1625"/>
      <c r="F31" s="1625"/>
      <c r="G31" s="1625"/>
      <c r="H31" s="1625"/>
      <c r="I31" s="1625"/>
      <c r="J31" s="1625"/>
      <c r="K31" s="1625"/>
      <c r="L31" s="1625"/>
      <c r="M31" s="1625"/>
    </row>
    <row r="32" spans="1:13" s="1172" customFormat="1" ht="12.75" customHeight="1">
      <c r="A32" s="15"/>
      <c r="B32" s="19"/>
      <c r="C32" s="1177"/>
      <c r="D32" s="1177"/>
      <c r="E32" s="1177"/>
      <c r="F32" s="1177"/>
      <c r="G32" s="1177"/>
      <c r="H32" s="1177"/>
      <c r="I32" s="1177"/>
      <c r="J32" s="1177"/>
      <c r="K32" s="1177"/>
      <c r="L32" s="1177"/>
      <c r="M32" s="1177"/>
    </row>
    <row r="33" spans="1:13" ht="12.75" customHeight="1">
      <c r="A33" s="15"/>
      <c r="B33" s="19"/>
      <c r="C33" s="1624" t="s">
        <v>3457</v>
      </c>
      <c r="D33" s="1624"/>
      <c r="E33" s="1624"/>
      <c r="F33" s="1624"/>
      <c r="G33" s="1624"/>
      <c r="H33" s="1624"/>
      <c r="I33" s="1624"/>
      <c r="J33" s="1624"/>
      <c r="K33" s="1624"/>
      <c r="L33" s="1624"/>
      <c r="M33" s="1624"/>
    </row>
    <row r="34" spans="1:13" s="1172" customFormat="1" ht="12.75" customHeight="1">
      <c r="A34" s="15"/>
      <c r="B34" s="19"/>
      <c r="C34" s="1624" t="s">
        <v>3456</v>
      </c>
      <c r="D34" s="1624"/>
      <c r="E34" s="1624"/>
      <c r="F34" s="1624"/>
      <c r="G34" s="1624"/>
      <c r="H34" s="1624"/>
      <c r="I34" s="1624"/>
      <c r="J34" s="1624"/>
      <c r="K34" s="1624"/>
      <c r="L34" s="1624"/>
      <c r="M34" s="1624"/>
    </row>
    <row r="35" spans="1:13" s="1172" customFormat="1" ht="12.75" customHeight="1">
      <c r="A35" s="15"/>
      <c r="B35" s="19"/>
      <c r="C35" s="1177"/>
      <c r="J35" s="1174"/>
      <c r="K35" s="1174"/>
      <c r="L35" s="1174"/>
    </row>
    <row r="36" spans="1:13" ht="12.75" customHeight="1">
      <c r="A36" s="15"/>
      <c r="B36" s="19"/>
      <c r="C36" s="1124" t="s">
        <v>3483</v>
      </c>
      <c r="J36" s="1119"/>
      <c r="K36" s="1119"/>
      <c r="L36" s="1119"/>
    </row>
    <row r="37" spans="1:13" s="1172" customFormat="1" ht="12.75" customHeight="1">
      <c r="A37" s="15"/>
      <c r="B37" s="19"/>
      <c r="C37" s="1177"/>
      <c r="J37" s="1174"/>
      <c r="K37" s="1174"/>
      <c r="L37" s="1174"/>
    </row>
    <row r="38" spans="1:13" ht="12.75" customHeight="1">
      <c r="A38" s="15"/>
      <c r="B38" s="19"/>
      <c r="C38" s="1624" t="s">
        <v>3469</v>
      </c>
      <c r="D38" s="1624"/>
      <c r="E38" s="1624"/>
      <c r="F38" s="1624"/>
      <c r="G38" s="1624"/>
      <c r="H38" s="1624"/>
      <c r="I38" s="1624"/>
      <c r="J38" s="1624"/>
      <c r="K38" s="1624"/>
      <c r="L38" s="1624"/>
      <c r="M38" s="1624"/>
    </row>
    <row r="39" spans="1:13" s="1172" customFormat="1" ht="12.75" customHeight="1">
      <c r="A39" s="15"/>
      <c r="B39" s="19"/>
      <c r="C39" s="1177"/>
      <c r="D39" s="1177"/>
      <c r="E39" s="1177"/>
      <c r="F39" s="1177"/>
      <c r="G39" s="1177"/>
      <c r="H39" s="1177"/>
      <c r="I39" s="1177"/>
      <c r="J39" s="1177"/>
      <c r="K39" s="1177"/>
      <c r="L39" s="1177"/>
      <c r="M39" s="1177"/>
    </row>
    <row r="40" spans="1:13" ht="12.75" customHeight="1">
      <c r="B40" s="19"/>
      <c r="C40" s="1124" t="s">
        <v>3274</v>
      </c>
      <c r="E40" s="1124"/>
    </row>
    <row r="41" spans="1:13">
      <c r="B41" s="19"/>
      <c r="C41" s="1124"/>
    </row>
    <row r="42" spans="1:13">
      <c r="B42" s="19"/>
      <c r="C42" s="1187" t="s">
        <v>3275</v>
      </c>
    </row>
    <row r="43" spans="1:13" ht="12.75" customHeight="1">
      <c r="B43" s="19"/>
      <c r="C43" s="1453" t="s">
        <v>3472</v>
      </c>
      <c r="D43" s="1453"/>
      <c r="E43" s="1453"/>
      <c r="F43" s="1453"/>
      <c r="G43" s="1453"/>
      <c r="H43" s="1453"/>
      <c r="I43" s="1453"/>
      <c r="J43" s="1453"/>
      <c r="K43" s="1453"/>
      <c r="L43" s="1453"/>
      <c r="M43" s="1453"/>
    </row>
    <row r="44" spans="1:13">
      <c r="B44" s="19"/>
      <c r="C44" s="1120" t="s">
        <v>3460</v>
      </c>
    </row>
    <row r="45" spans="1:13" s="1172" customFormat="1">
      <c r="B45" s="19"/>
      <c r="C45" s="1629"/>
      <c r="D45" s="1629"/>
      <c r="E45" s="1629"/>
      <c r="F45" s="1629"/>
      <c r="G45" s="1629"/>
      <c r="H45" s="1629"/>
      <c r="I45" s="1629"/>
      <c r="J45" s="1629"/>
      <c r="K45" s="1629"/>
      <c r="L45" s="1629"/>
      <c r="M45" s="1629"/>
    </row>
    <row r="46" spans="1:13" s="1172" customFormat="1">
      <c r="B46" s="19"/>
      <c r="C46" s="1175"/>
    </row>
    <row r="47" spans="1:13">
      <c r="B47" s="19"/>
      <c r="C47" s="1120" t="s">
        <v>3473</v>
      </c>
    </row>
    <row r="48" spans="1:13" s="1172" customFormat="1">
      <c r="B48" s="19"/>
      <c r="C48" s="1629" t="s">
        <v>3461</v>
      </c>
      <c r="D48" s="1629"/>
      <c r="E48" s="1629"/>
      <c r="F48" s="1629"/>
      <c r="G48" s="1629"/>
      <c r="H48" s="1629"/>
      <c r="I48" s="1629"/>
      <c r="J48" s="1629"/>
      <c r="K48" s="1629"/>
      <c r="L48" s="1629"/>
      <c r="M48" s="1629"/>
    </row>
    <row r="49" spans="2:13" s="1172" customFormat="1">
      <c r="B49" s="19"/>
      <c r="C49" s="1629"/>
      <c r="D49" s="1629"/>
      <c r="E49" s="1629"/>
      <c r="F49" s="1629"/>
      <c r="G49" s="1629"/>
      <c r="H49" s="1629"/>
      <c r="I49" s="1629"/>
      <c r="J49" s="1629"/>
      <c r="K49" s="1629"/>
      <c r="L49" s="1629"/>
      <c r="M49" s="1629"/>
    </row>
    <row r="50" spans="2:13" s="1172" customFormat="1">
      <c r="B50" s="19"/>
      <c r="C50" s="1175"/>
    </row>
    <row r="51" spans="2:13">
      <c r="B51" s="19"/>
      <c r="C51" s="1120" t="s">
        <v>3474</v>
      </c>
    </row>
    <row r="52" spans="2:13">
      <c r="B52" s="19"/>
      <c r="C52" s="1178" t="s">
        <v>3462</v>
      </c>
      <c r="D52" s="1178"/>
      <c r="E52" s="1178"/>
      <c r="F52" s="1178"/>
      <c r="G52" s="1178"/>
      <c r="H52" s="1178"/>
      <c r="I52" s="1178"/>
      <c r="J52" s="1178"/>
      <c r="K52" s="1178"/>
      <c r="L52" s="1178"/>
      <c r="M52" s="1178"/>
    </row>
    <row r="53" spans="2:13">
      <c r="C53" s="1622"/>
      <c r="D53" s="1622"/>
      <c r="E53" s="1622"/>
      <c r="F53" s="1622"/>
      <c r="G53" s="1622"/>
      <c r="H53" s="1622"/>
      <c r="I53" s="1622"/>
      <c r="J53" s="1622"/>
      <c r="K53" s="1622"/>
      <c r="L53" s="1622"/>
      <c r="M53" s="1622"/>
    </row>
    <row r="54" spans="2:13">
      <c r="C54" s="1622"/>
      <c r="D54" s="1622"/>
      <c r="E54" s="1622"/>
      <c r="F54" s="1622"/>
      <c r="G54" s="1622"/>
      <c r="H54" s="1622"/>
      <c r="I54" s="1622"/>
      <c r="J54" s="1622"/>
      <c r="K54" s="1622"/>
      <c r="L54" s="1622"/>
      <c r="M54" s="1622"/>
    </row>
    <row r="55" spans="2:13">
      <c r="C55" s="1622"/>
      <c r="D55" s="1622"/>
      <c r="E55" s="1622"/>
      <c r="F55" s="1622"/>
      <c r="G55" s="1622"/>
      <c r="H55" s="1622"/>
      <c r="I55" s="1622"/>
      <c r="J55" s="1622"/>
      <c r="K55" s="1622"/>
      <c r="L55" s="1622"/>
      <c r="M55" s="1622"/>
    </row>
    <row r="57" spans="2:13">
      <c r="B57" s="1118">
        <v>2</v>
      </c>
      <c r="C57" s="19" t="s">
        <v>3276</v>
      </c>
    </row>
    <row r="58" spans="2:13">
      <c r="B58" s="1118"/>
      <c r="C58" s="787" t="s">
        <v>3467</v>
      </c>
    </row>
    <row r="59" spans="2:13" s="1172" customFormat="1">
      <c r="B59" s="1173"/>
      <c r="C59" s="1565" t="s">
        <v>3466</v>
      </c>
      <c r="D59" s="1565"/>
      <c r="E59" s="1565"/>
      <c r="F59" s="1565"/>
      <c r="G59" s="1565"/>
      <c r="H59" s="1565"/>
      <c r="I59" s="1565"/>
      <c r="J59" s="1565"/>
      <c r="K59" s="1565"/>
      <c r="L59" s="1565"/>
      <c r="M59" s="1565"/>
    </row>
    <row r="60" spans="2:13" s="1172" customFormat="1">
      <c r="B60" s="1173"/>
      <c r="C60" s="787"/>
    </row>
    <row r="61" spans="2:13">
      <c r="B61" s="1118"/>
      <c r="C61" s="787" t="s">
        <v>3277</v>
      </c>
    </row>
    <row r="62" spans="2:13" s="1172" customFormat="1">
      <c r="B62" s="1173"/>
      <c r="C62" s="787"/>
    </row>
    <row r="63" spans="2:13">
      <c r="B63" s="1118"/>
      <c r="C63" s="1565" t="s">
        <v>3470</v>
      </c>
      <c r="D63" s="1565"/>
      <c r="E63" s="1565"/>
      <c r="F63" s="1565"/>
      <c r="G63" s="1565"/>
      <c r="H63" s="1565"/>
      <c r="I63" s="1565"/>
      <c r="J63" s="1565"/>
      <c r="K63" s="1565"/>
      <c r="L63" s="1565"/>
      <c r="M63" s="1565"/>
    </row>
    <row r="64" spans="2:13" s="1172" customFormat="1">
      <c r="B64" s="1173"/>
      <c r="C64" s="1630" t="s">
        <v>3471</v>
      </c>
      <c r="D64" s="1565"/>
      <c r="E64" s="1565"/>
      <c r="F64" s="1565"/>
      <c r="G64" s="1565"/>
      <c r="H64" s="1565"/>
      <c r="I64" s="1565"/>
      <c r="J64" s="1565"/>
      <c r="K64" s="1565"/>
      <c r="L64" s="1565"/>
      <c r="M64" s="1565"/>
    </row>
    <row r="65" spans="2:13">
      <c r="B65" s="1118"/>
      <c r="C65" s="787"/>
    </row>
    <row r="66" spans="2:13">
      <c r="B66" s="19"/>
      <c r="C66" s="1187" t="s">
        <v>3275</v>
      </c>
    </row>
    <row r="67" spans="2:13">
      <c r="B67" s="19"/>
      <c r="C67" s="1629" t="s">
        <v>3475</v>
      </c>
      <c r="D67" s="1629"/>
      <c r="E67" s="1629"/>
      <c r="F67" s="1629"/>
      <c r="G67" s="1629"/>
      <c r="H67" s="1629"/>
      <c r="I67" s="1629"/>
      <c r="J67" s="1629"/>
      <c r="K67" s="1629"/>
      <c r="L67" s="1629"/>
      <c r="M67" s="1629"/>
    </row>
    <row r="68" spans="2:13">
      <c r="B68" s="19"/>
      <c r="C68" s="1629" t="s">
        <v>3462</v>
      </c>
      <c r="D68" s="1629"/>
      <c r="E68" s="1629"/>
      <c r="F68" s="1629"/>
      <c r="G68" s="1629"/>
      <c r="H68" s="1629"/>
      <c r="I68" s="1629"/>
      <c r="J68" s="1629"/>
      <c r="K68" s="1629"/>
      <c r="L68" s="1629"/>
      <c r="M68" s="1629"/>
    </row>
    <row r="69" spans="2:13" ht="12.75" customHeight="1">
      <c r="C69" s="1631"/>
      <c r="D69" s="1631"/>
      <c r="E69" s="1631"/>
      <c r="F69" s="1631"/>
      <c r="G69" s="1631"/>
      <c r="H69" s="1631"/>
      <c r="I69" s="1631"/>
      <c r="J69" s="1631"/>
      <c r="K69" s="1631"/>
      <c r="L69" s="1631"/>
      <c r="M69" s="1631"/>
    </row>
    <row r="70" spans="2:13" ht="12.75" customHeight="1">
      <c r="C70" s="1565" t="s">
        <v>3121</v>
      </c>
      <c r="D70" s="1565"/>
      <c r="E70" s="1565"/>
      <c r="F70" s="1565"/>
      <c r="G70" s="1565"/>
      <c r="H70" s="1565"/>
      <c r="I70" s="1565"/>
      <c r="J70" s="1565"/>
      <c r="K70" s="1565"/>
      <c r="L70" s="1565"/>
      <c r="M70" s="1565"/>
    </row>
    <row r="71" spans="2:13" ht="12.75" customHeight="1">
      <c r="C71" s="1565"/>
      <c r="D71" s="1565"/>
      <c r="E71" s="1565"/>
      <c r="F71" s="1565"/>
      <c r="G71" s="1565"/>
      <c r="H71" s="1565"/>
      <c r="I71" s="1565"/>
      <c r="J71" s="1565"/>
      <c r="K71" s="1565"/>
      <c r="L71" s="1565"/>
      <c r="M71" s="1565"/>
    </row>
    <row r="72" spans="2:13" ht="12.75" customHeight="1">
      <c r="C72" s="1622"/>
      <c r="D72" s="1622"/>
      <c r="E72" s="1622"/>
      <c r="F72" s="1622"/>
      <c r="G72" s="1622"/>
      <c r="H72" s="1622"/>
      <c r="I72" s="1622"/>
      <c r="J72" s="1622"/>
      <c r="K72" s="1622"/>
      <c r="L72" s="1622"/>
      <c r="M72" s="1622"/>
    </row>
    <row r="73" spans="2:13" ht="12.75" customHeight="1">
      <c r="C73" s="1622"/>
      <c r="D73" s="1622"/>
      <c r="E73" s="1622"/>
      <c r="F73" s="1622"/>
      <c r="G73" s="1622"/>
      <c r="H73" s="1622"/>
      <c r="I73" s="1622"/>
      <c r="J73" s="1622"/>
      <c r="K73" s="1622"/>
      <c r="L73" s="1622"/>
      <c r="M73" s="1622"/>
    </row>
    <row r="74" spans="2:13" ht="12.75" customHeight="1">
      <c r="C74" s="787"/>
    </row>
    <row r="75" spans="2:13" ht="12.75" customHeight="1"/>
    <row r="76" spans="2:13" ht="12.75" customHeight="1"/>
    <row r="77" spans="2:13" ht="12.75" customHeight="1"/>
    <row r="78" spans="2:13" ht="12.75" customHeight="1"/>
    <row r="79" spans="2:13" ht="12.75" customHeight="1"/>
    <row r="84" spans="1:15" ht="15.75">
      <c r="A84" s="123" t="s">
        <v>3196</v>
      </c>
      <c r="B84" s="2"/>
      <c r="C84" s="1189"/>
      <c r="D84" s="2"/>
      <c r="E84" s="2"/>
      <c r="F84" s="2"/>
      <c r="G84" s="2"/>
      <c r="H84" s="2"/>
      <c r="I84" s="2"/>
      <c r="J84" s="2"/>
      <c r="K84" s="2"/>
      <c r="L84" s="2"/>
      <c r="M84" s="2"/>
      <c r="N84" s="2"/>
      <c r="O84" s="2"/>
    </row>
  </sheetData>
  <mergeCells count="29">
    <mergeCell ref="C59:M59"/>
    <mergeCell ref="C45:M45"/>
    <mergeCell ref="C53:M53"/>
    <mergeCell ref="C70:M70"/>
    <mergeCell ref="C71:M71"/>
    <mergeCell ref="C54:M54"/>
    <mergeCell ref="C55:M55"/>
    <mergeCell ref="C49:M49"/>
    <mergeCell ref="C64:M64"/>
    <mergeCell ref="C63:M63"/>
    <mergeCell ref="C68:M68"/>
    <mergeCell ref="C67:M67"/>
    <mergeCell ref="C69:M69"/>
    <mergeCell ref="C72:M72"/>
    <mergeCell ref="C73:M73"/>
    <mergeCell ref="C6:M6"/>
    <mergeCell ref="C7:M7"/>
    <mergeCell ref="C34:M34"/>
    <mergeCell ref="C31:M31"/>
    <mergeCell ref="C33:M33"/>
    <mergeCell ref="C30:M30"/>
    <mergeCell ref="C11:M13"/>
    <mergeCell ref="C15:M18"/>
    <mergeCell ref="C20:M20"/>
    <mergeCell ref="C21:M21"/>
    <mergeCell ref="C28:M28"/>
    <mergeCell ref="C38:M38"/>
    <mergeCell ref="C43:M43"/>
    <mergeCell ref="C48:M48"/>
  </mergeCells>
  <printOptions horizontalCentered="1" verticalCentered="1"/>
  <pageMargins left="0.25" right="0.25" top="0.5" bottom="0.5" header="0.05" footer="0.05"/>
  <pageSetup scale="65"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topLeftCell="A25" workbookViewId="0">
      <selection activeCell="L28" sqref="L28"/>
    </sheetView>
  </sheetViews>
  <sheetFormatPr defaultRowHeight="12.75"/>
  <cols>
    <col min="1" max="2" width="3.7109375" customWidth="1"/>
  </cols>
  <sheetData>
    <row r="1" spans="1:15" ht="18">
      <c r="A1" s="4" t="str">
        <f>'COVER PAGE'!A9</f>
        <v>TOWN OF BROADUS</v>
      </c>
      <c r="B1" s="2"/>
      <c r="C1" s="2"/>
      <c r="D1" s="2"/>
      <c r="E1" s="2"/>
      <c r="F1" s="2"/>
      <c r="G1" s="2"/>
      <c r="H1" s="2"/>
      <c r="I1" s="2"/>
      <c r="J1" s="2"/>
      <c r="K1" s="2"/>
      <c r="L1" s="2"/>
      <c r="M1" s="2"/>
      <c r="N1" s="2"/>
      <c r="O1" s="2"/>
    </row>
    <row r="2" spans="1:15" ht="18">
      <c r="A2" s="4" t="s">
        <v>1319</v>
      </c>
      <c r="B2" s="2"/>
      <c r="C2" s="2"/>
      <c r="D2" s="2"/>
      <c r="E2" s="2"/>
      <c r="F2" s="2"/>
      <c r="G2" s="2"/>
      <c r="H2" s="2"/>
      <c r="I2" s="2"/>
      <c r="J2" s="2"/>
      <c r="K2" s="2"/>
      <c r="L2" s="2"/>
      <c r="M2" s="2"/>
      <c r="N2" s="2"/>
      <c r="O2" s="2"/>
    </row>
    <row r="3" spans="1:15" ht="18">
      <c r="A3" s="5" t="str">
        <f>'COVER PAGE'!A30</f>
        <v>FISCAL YEAR ENDING JUNE 30, 2017</v>
      </c>
      <c r="B3" s="2"/>
      <c r="C3" s="2"/>
      <c r="D3" s="2"/>
      <c r="E3" s="2"/>
      <c r="F3" s="2"/>
      <c r="G3" s="2"/>
      <c r="H3" s="2"/>
      <c r="I3" s="2"/>
      <c r="J3" s="2"/>
      <c r="K3" s="2"/>
      <c r="L3" s="2"/>
      <c r="M3" s="2"/>
      <c r="N3" s="2"/>
      <c r="O3" s="2"/>
    </row>
    <row r="5" spans="1:15">
      <c r="A5" s="15" t="s">
        <v>76</v>
      </c>
      <c r="C5" s="18" t="s">
        <v>77</v>
      </c>
      <c r="G5" s="787" t="s">
        <v>3707</v>
      </c>
    </row>
    <row r="6" spans="1:15">
      <c r="B6" s="15" t="s">
        <v>1320</v>
      </c>
      <c r="C6" s="18" t="s">
        <v>627</v>
      </c>
    </row>
    <row r="7" spans="1:15">
      <c r="C7" t="s">
        <v>78</v>
      </c>
    </row>
    <row r="8" spans="1:15" ht="13.5" thickBot="1"/>
    <row r="9" spans="1:15" ht="12" customHeight="1">
      <c r="C9" s="35"/>
      <c r="D9" s="28"/>
      <c r="E9" s="28"/>
      <c r="F9" s="28"/>
      <c r="G9" s="63" t="s">
        <v>79</v>
      </c>
      <c r="H9" s="61"/>
      <c r="I9" s="61"/>
      <c r="J9" s="61"/>
      <c r="K9" s="61"/>
      <c r="L9" s="61"/>
      <c r="M9" s="61"/>
      <c r="N9" s="62"/>
    </row>
    <row r="10" spans="1:15" ht="12" customHeight="1">
      <c r="C10" s="56" t="s">
        <v>448</v>
      </c>
      <c r="D10" s="3"/>
      <c r="E10" s="3"/>
      <c r="F10" s="3"/>
      <c r="G10" s="47" t="s">
        <v>80</v>
      </c>
      <c r="H10" s="48"/>
      <c r="I10" s="48"/>
      <c r="J10" s="53"/>
      <c r="K10" s="47" t="s">
        <v>81</v>
      </c>
      <c r="L10" s="48"/>
      <c r="M10" s="48"/>
      <c r="N10" s="68"/>
    </row>
    <row r="11" spans="1:15" ht="12" customHeight="1">
      <c r="C11" s="55"/>
      <c r="G11" s="856" t="s">
        <v>749</v>
      </c>
      <c r="H11" s="860"/>
      <c r="I11" s="860"/>
      <c r="J11" s="861"/>
      <c r="K11" s="862"/>
      <c r="L11" s="863"/>
      <c r="M11" s="863"/>
      <c r="N11" s="864"/>
    </row>
    <row r="12" spans="1:15" ht="12" customHeight="1">
      <c r="C12" s="57" t="s">
        <v>82</v>
      </c>
      <c r="D12" s="32"/>
      <c r="E12" s="32"/>
      <c r="F12" s="32"/>
      <c r="G12" s="1643"/>
      <c r="H12" s="1649"/>
      <c r="I12" s="1649"/>
      <c r="J12" s="1642"/>
      <c r="K12" s="1643"/>
      <c r="L12" s="1649"/>
      <c r="M12" s="1649"/>
      <c r="N12" s="1644"/>
    </row>
    <row r="13" spans="1:15" ht="12" customHeight="1">
      <c r="C13" s="55"/>
      <c r="G13" s="856" t="s">
        <v>1390</v>
      </c>
      <c r="H13" s="855"/>
      <c r="I13" s="855"/>
      <c r="J13" s="855"/>
      <c r="K13" s="1650"/>
      <c r="L13" s="1651"/>
      <c r="M13" s="1651"/>
      <c r="N13" s="1652"/>
    </row>
    <row r="14" spans="1:15" ht="12" customHeight="1">
      <c r="C14" s="57" t="s">
        <v>83</v>
      </c>
      <c r="D14" s="32"/>
      <c r="E14" s="32"/>
      <c r="F14" s="32"/>
      <c r="G14" s="1643"/>
      <c r="H14" s="1649"/>
      <c r="I14" s="1649"/>
      <c r="J14" s="1642"/>
      <c r="K14" s="1643"/>
      <c r="L14" s="1649"/>
      <c r="M14" s="1649"/>
      <c r="N14" s="1644"/>
    </row>
    <row r="15" spans="1:15" ht="12" customHeight="1">
      <c r="C15" s="55"/>
      <c r="G15" s="856" t="s">
        <v>1391</v>
      </c>
      <c r="H15" s="855"/>
      <c r="I15" s="855"/>
      <c r="J15" s="855"/>
      <c r="K15" s="865"/>
      <c r="L15" s="855"/>
      <c r="M15" s="855"/>
      <c r="N15" s="858"/>
    </row>
    <row r="16" spans="1:15" ht="12" customHeight="1">
      <c r="C16" s="57" t="s">
        <v>84</v>
      </c>
      <c r="D16" s="32"/>
      <c r="E16" s="32"/>
      <c r="F16" s="32"/>
      <c r="G16" s="1643"/>
      <c r="H16" s="1649"/>
      <c r="I16" s="1649"/>
      <c r="J16" s="1642"/>
      <c r="K16" s="1643"/>
      <c r="L16" s="1649"/>
      <c r="M16" s="1649"/>
      <c r="N16" s="1644"/>
    </row>
    <row r="17" spans="2:14" ht="12" customHeight="1">
      <c r="C17" s="55"/>
      <c r="G17" s="856" t="s">
        <v>1392</v>
      </c>
      <c r="H17" s="855"/>
      <c r="I17" s="855"/>
      <c r="J17" s="855"/>
      <c r="K17" s="865"/>
      <c r="L17" s="855"/>
      <c r="M17" s="855"/>
      <c r="N17" s="858"/>
    </row>
    <row r="18" spans="2:14" ht="12" customHeight="1">
      <c r="C18" s="57" t="s">
        <v>85</v>
      </c>
      <c r="D18" s="32"/>
      <c r="E18" s="32"/>
      <c r="F18" s="32"/>
      <c r="G18" s="1643"/>
      <c r="H18" s="1649"/>
      <c r="I18" s="1649"/>
      <c r="J18" s="1642"/>
      <c r="K18" s="1659"/>
      <c r="L18" s="1660"/>
      <c r="M18" s="1660"/>
      <c r="N18" s="1661"/>
    </row>
    <row r="19" spans="2:14" ht="12" customHeight="1">
      <c r="C19" s="55"/>
      <c r="G19" s="856" t="s">
        <v>1393</v>
      </c>
      <c r="H19" s="855"/>
      <c r="I19" s="855"/>
      <c r="J19" s="855"/>
      <c r="K19" s="856" t="s">
        <v>605</v>
      </c>
      <c r="L19" s="855"/>
      <c r="M19" s="855"/>
      <c r="N19" s="858"/>
    </row>
    <row r="20" spans="2:14" ht="12" customHeight="1">
      <c r="C20" s="57" t="s">
        <v>346</v>
      </c>
      <c r="D20" s="32"/>
      <c r="E20" s="32"/>
      <c r="F20" s="32"/>
      <c r="G20" s="1643"/>
      <c r="H20" s="1649"/>
      <c r="I20" s="1649"/>
      <c r="J20" s="1642"/>
      <c r="K20" s="1643"/>
      <c r="L20" s="1649"/>
      <c r="M20" s="1649"/>
      <c r="N20" s="1644"/>
    </row>
    <row r="21" spans="2:14" ht="12" customHeight="1">
      <c r="C21" s="55"/>
      <c r="G21" s="856" t="s">
        <v>1394</v>
      </c>
      <c r="H21" s="855"/>
      <c r="I21" s="855"/>
      <c r="J21" s="855"/>
      <c r="K21" s="856" t="s">
        <v>606</v>
      </c>
      <c r="L21" s="855"/>
      <c r="M21" s="855"/>
      <c r="N21" s="858"/>
    </row>
    <row r="22" spans="2:14" ht="12" customHeight="1" thickBot="1">
      <c r="C22" s="37" t="s">
        <v>1202</v>
      </c>
      <c r="D22" s="1"/>
      <c r="E22" s="1"/>
      <c r="F22" s="1"/>
      <c r="G22" s="1662"/>
      <c r="H22" s="1663"/>
      <c r="I22" s="1663"/>
      <c r="J22" s="1664"/>
      <c r="K22" s="1662"/>
      <c r="L22" s="1663"/>
      <c r="M22" s="1663"/>
      <c r="N22" s="1665"/>
    </row>
    <row r="23" spans="2:14" ht="12.75" customHeight="1" thickBot="1"/>
    <row r="24" spans="2:14">
      <c r="B24" s="60" t="s">
        <v>368</v>
      </c>
      <c r="C24" s="18" t="s">
        <v>347</v>
      </c>
      <c r="L24" s="64" t="s">
        <v>350</v>
      </c>
      <c r="M24" s="65"/>
      <c r="N24" s="66"/>
    </row>
    <row r="25" spans="2:14">
      <c r="C25" t="s">
        <v>348</v>
      </c>
      <c r="L25" s="1632">
        <v>173780.34</v>
      </c>
      <c r="M25" s="1633"/>
      <c r="N25" s="1634"/>
    </row>
    <row r="26" spans="2:14">
      <c r="C26" t="s">
        <v>349</v>
      </c>
      <c r="L26" s="1635"/>
      <c r="M26" s="1636"/>
      <c r="N26" s="1637"/>
    </row>
    <row r="27" spans="2:14" ht="13.5" thickBot="1">
      <c r="L27" s="1638"/>
      <c r="M27" s="1639"/>
      <c r="N27" s="1640"/>
    </row>
    <row r="29" spans="2:14">
      <c r="B29" s="60" t="s">
        <v>356</v>
      </c>
      <c r="C29" s="18" t="s">
        <v>351</v>
      </c>
      <c r="F29" s="787" t="s">
        <v>3707</v>
      </c>
    </row>
    <row r="30" spans="2:14" ht="13.5" thickBot="1">
      <c r="C30" s="19" t="s">
        <v>352</v>
      </c>
    </row>
    <row r="31" spans="2:14" ht="12" customHeight="1">
      <c r="C31" s="35"/>
      <c r="D31" s="28"/>
      <c r="E31" s="35"/>
      <c r="F31" s="28"/>
      <c r="G31" s="69" t="s">
        <v>643</v>
      </c>
      <c r="H31" s="65"/>
      <c r="I31" s="65"/>
      <c r="J31" s="65"/>
      <c r="K31" s="65"/>
      <c r="L31" s="65"/>
      <c r="M31" s="65"/>
      <c r="N31" s="66"/>
    </row>
    <row r="32" spans="2:14" ht="12" customHeight="1">
      <c r="C32" s="55"/>
      <c r="E32" s="56" t="s">
        <v>1396</v>
      </c>
      <c r="F32" s="2"/>
      <c r="G32" s="47" t="s">
        <v>354</v>
      </c>
      <c r="H32" s="48"/>
      <c r="I32" s="48"/>
      <c r="J32" s="48"/>
      <c r="K32" s="246" t="s">
        <v>1427</v>
      </c>
      <c r="L32" s="245"/>
      <c r="M32" s="557" t="str">
        <f>'NOTES TO FIN ST (34)'!J40</f>
        <v>6/30/2017</v>
      </c>
      <c r="N32" s="68"/>
    </row>
    <row r="33" spans="3:14" ht="12" customHeight="1">
      <c r="C33" s="1645" t="s">
        <v>448</v>
      </c>
      <c r="D33" s="1434"/>
      <c r="E33" s="653" t="s">
        <v>3257</v>
      </c>
      <c r="F33" s="120"/>
      <c r="G33" s="121" t="s">
        <v>644</v>
      </c>
      <c r="H33" s="48"/>
      <c r="I33" s="47" t="s">
        <v>645</v>
      </c>
      <c r="J33" s="48"/>
      <c r="K33" s="47" t="s">
        <v>646</v>
      </c>
      <c r="L33" s="48"/>
      <c r="M33" s="48" t="s">
        <v>647</v>
      </c>
      <c r="N33" s="68"/>
    </row>
    <row r="34" spans="3:14" ht="12" customHeight="1">
      <c r="C34" s="55"/>
      <c r="E34" s="854" t="s">
        <v>1395</v>
      </c>
      <c r="F34" s="855"/>
      <c r="G34" s="856" t="s">
        <v>1400</v>
      </c>
      <c r="H34" s="855"/>
      <c r="I34" s="856" t="s">
        <v>1401</v>
      </c>
      <c r="J34" s="855"/>
      <c r="K34" s="856" t="s">
        <v>586</v>
      </c>
      <c r="L34" s="855"/>
      <c r="M34" s="857" t="s">
        <v>587</v>
      </c>
      <c r="N34" s="858"/>
    </row>
    <row r="35" spans="3:14" ht="12" customHeight="1">
      <c r="C35" s="57" t="s">
        <v>1381</v>
      </c>
      <c r="D35" s="32"/>
      <c r="E35" s="1641"/>
      <c r="F35" s="1642"/>
      <c r="G35" s="1643"/>
      <c r="H35" s="1642"/>
      <c r="I35" s="1643"/>
      <c r="J35" s="1642"/>
      <c r="K35" s="1643"/>
      <c r="L35" s="1642"/>
      <c r="M35" s="1643"/>
      <c r="N35" s="1644"/>
    </row>
    <row r="36" spans="3:14" ht="12" customHeight="1">
      <c r="C36" s="55"/>
      <c r="E36" s="854" t="s">
        <v>1399</v>
      </c>
      <c r="F36" s="855"/>
      <c r="G36" s="856" t="s">
        <v>588</v>
      </c>
      <c r="H36" s="855"/>
      <c r="I36" s="856" t="s">
        <v>591</v>
      </c>
      <c r="J36" s="855"/>
      <c r="K36" s="856" t="s">
        <v>594</v>
      </c>
      <c r="L36" s="855"/>
      <c r="M36" s="856" t="s">
        <v>597</v>
      </c>
      <c r="N36" s="858"/>
    </row>
    <row r="37" spans="3:14" ht="12" customHeight="1">
      <c r="C37" s="57" t="s">
        <v>1383</v>
      </c>
      <c r="D37" s="32"/>
      <c r="E37" s="1641"/>
      <c r="F37" s="1642"/>
      <c r="G37" s="1643"/>
      <c r="H37" s="1642"/>
      <c r="I37" s="1643"/>
      <c r="J37" s="1642"/>
      <c r="K37" s="1643"/>
      <c r="L37" s="1642"/>
      <c r="M37" s="1643"/>
      <c r="N37" s="1644"/>
    </row>
    <row r="38" spans="3:14" ht="12" customHeight="1">
      <c r="C38" s="55"/>
      <c r="E38" s="859" t="s">
        <v>1398</v>
      </c>
      <c r="F38" s="855"/>
      <c r="G38" s="856" t="s">
        <v>589</v>
      </c>
      <c r="H38" s="855"/>
      <c r="I38" s="856" t="s">
        <v>593</v>
      </c>
      <c r="J38" s="855"/>
      <c r="K38" s="856" t="s">
        <v>595</v>
      </c>
      <c r="L38" s="855"/>
      <c r="M38" s="856" t="s">
        <v>599</v>
      </c>
      <c r="N38" s="858"/>
    </row>
    <row r="39" spans="3:14" ht="12" customHeight="1">
      <c r="C39" s="57" t="s">
        <v>1384</v>
      </c>
      <c r="D39" s="32"/>
      <c r="E39" s="1641"/>
      <c r="F39" s="1642"/>
      <c r="G39" s="1643"/>
      <c r="H39" s="1642"/>
      <c r="I39" s="1643"/>
      <c r="J39" s="1642"/>
      <c r="K39" s="1643"/>
      <c r="L39" s="1642"/>
      <c r="M39" s="1643"/>
      <c r="N39" s="1644"/>
    </row>
    <row r="40" spans="3:14" ht="12" customHeight="1">
      <c r="C40" s="55"/>
      <c r="E40" s="854" t="s">
        <v>1397</v>
      </c>
      <c r="F40" s="855"/>
      <c r="G40" s="856" t="s">
        <v>590</v>
      </c>
      <c r="H40" s="855"/>
      <c r="I40" s="856" t="s">
        <v>592</v>
      </c>
      <c r="J40" s="855"/>
      <c r="K40" s="856" t="s">
        <v>596</v>
      </c>
      <c r="L40" s="855"/>
      <c r="M40" s="856" t="s">
        <v>598</v>
      </c>
      <c r="N40" s="858"/>
    </row>
    <row r="41" spans="3:14" ht="12" customHeight="1">
      <c r="C41" s="57" t="s">
        <v>1385</v>
      </c>
      <c r="D41" s="32"/>
      <c r="E41" s="1641"/>
      <c r="F41" s="1642"/>
      <c r="G41" s="1643"/>
      <c r="H41" s="1642"/>
      <c r="I41" s="1643"/>
      <c r="J41" s="1642"/>
      <c r="K41" s="1643"/>
      <c r="L41" s="1642"/>
      <c r="M41" s="1643"/>
      <c r="N41" s="1644"/>
    </row>
    <row r="42" spans="3:14" ht="12" customHeight="1">
      <c r="C42" s="55"/>
      <c r="E42" s="854" t="s">
        <v>1399</v>
      </c>
      <c r="F42" s="855"/>
      <c r="G42" s="856" t="s">
        <v>588</v>
      </c>
      <c r="H42" s="855"/>
      <c r="I42" s="856" t="s">
        <v>591</v>
      </c>
      <c r="J42" s="855"/>
      <c r="K42" s="856" t="s">
        <v>594</v>
      </c>
      <c r="L42" s="855"/>
      <c r="M42" s="856" t="s">
        <v>597</v>
      </c>
      <c r="N42" s="858"/>
    </row>
    <row r="43" spans="3:14" ht="12" customHeight="1" thickBot="1">
      <c r="C43" s="37" t="s">
        <v>1386</v>
      </c>
      <c r="D43" s="1"/>
      <c r="E43" s="1641"/>
      <c r="F43" s="1642"/>
      <c r="G43" s="1643"/>
      <c r="H43" s="1642"/>
      <c r="I43" s="1643"/>
      <c r="J43" s="1642"/>
      <c r="K43" s="1643"/>
      <c r="L43" s="1642"/>
      <c r="M43" s="1643"/>
      <c r="N43" s="1644"/>
    </row>
    <row r="44" spans="3:14">
      <c r="C44" s="28"/>
    </row>
    <row r="45" spans="3:14" ht="13.5" thickBot="1">
      <c r="C45" s="19" t="s">
        <v>1387</v>
      </c>
    </row>
    <row r="46" spans="3:14" ht="12" customHeight="1">
      <c r="C46" s="64" t="s">
        <v>1388</v>
      </c>
      <c r="D46" s="65"/>
      <c r="E46" s="65"/>
      <c r="F46" s="65"/>
      <c r="G46" s="69" t="s">
        <v>1389</v>
      </c>
      <c r="H46" s="65"/>
      <c r="I46" s="65"/>
      <c r="J46" s="65"/>
      <c r="K46" s="69" t="s">
        <v>1094</v>
      </c>
      <c r="L46" s="65"/>
      <c r="M46" s="65"/>
      <c r="N46" s="66"/>
    </row>
    <row r="47" spans="3:14" ht="12" customHeight="1">
      <c r="C47" s="55"/>
      <c r="D47" s="29"/>
      <c r="E47" s="29"/>
      <c r="F47" s="29"/>
      <c r="G47" s="850" t="s">
        <v>600</v>
      </c>
      <c r="H47" s="305"/>
      <c r="I47" s="305"/>
      <c r="J47" s="305"/>
      <c r="K47" s="850" t="s">
        <v>601</v>
      </c>
      <c r="L47" s="305"/>
      <c r="M47" s="305"/>
      <c r="N47" s="406"/>
    </row>
    <row r="48" spans="3:14" ht="12" customHeight="1">
      <c r="C48" s="57" t="s">
        <v>1095</v>
      </c>
      <c r="D48" s="32"/>
      <c r="E48" s="32"/>
      <c r="F48" s="32"/>
      <c r="G48" s="1646"/>
      <c r="H48" s="1647"/>
      <c r="I48" s="1647"/>
      <c r="J48" s="1666"/>
      <c r="K48" s="1646"/>
      <c r="L48" s="1647"/>
      <c r="M48" s="1647"/>
      <c r="N48" s="1648"/>
    </row>
    <row r="49" spans="2:14" ht="12" customHeight="1">
      <c r="C49" s="55"/>
      <c r="D49" s="29"/>
      <c r="E49" s="29"/>
      <c r="F49" s="29"/>
      <c r="G49" s="851"/>
      <c r="H49" s="852"/>
      <c r="I49" s="852"/>
      <c r="J49" s="852"/>
      <c r="K49" s="851"/>
      <c r="L49" s="852"/>
      <c r="M49" s="852"/>
      <c r="N49" s="853"/>
    </row>
    <row r="50" spans="2:14" ht="12" customHeight="1">
      <c r="C50" s="57" t="s">
        <v>289</v>
      </c>
      <c r="D50" s="32"/>
      <c r="E50" s="32"/>
      <c r="F50" s="32"/>
      <c r="G50" s="1646"/>
      <c r="H50" s="1647"/>
      <c r="I50" s="1647"/>
      <c r="J50" s="1666"/>
      <c r="K50" s="1646"/>
      <c r="L50" s="1647"/>
      <c r="M50" s="1647"/>
      <c r="N50" s="1648"/>
    </row>
    <row r="51" spans="2:14" ht="12" customHeight="1">
      <c r="C51" s="55"/>
      <c r="D51" s="29"/>
      <c r="E51" s="29"/>
      <c r="F51" s="29"/>
      <c r="G51" s="851"/>
      <c r="H51" s="852"/>
      <c r="I51" s="852"/>
      <c r="J51" s="852"/>
      <c r="K51" s="851"/>
      <c r="L51" s="852"/>
      <c r="M51" s="852"/>
      <c r="N51" s="853"/>
    </row>
    <row r="52" spans="2:14" ht="12" customHeight="1">
      <c r="C52" s="57" t="s">
        <v>1096</v>
      </c>
      <c r="D52" s="32"/>
      <c r="E52" s="32"/>
      <c r="F52" s="32"/>
      <c r="G52" s="1646"/>
      <c r="H52" s="1647"/>
      <c r="I52" s="1647"/>
      <c r="J52" s="1666"/>
      <c r="K52" s="1646"/>
      <c r="L52" s="1647"/>
      <c r="M52" s="1647"/>
      <c r="N52" s="1648"/>
    </row>
    <row r="53" spans="2:14" ht="12" customHeight="1">
      <c r="C53" s="55"/>
      <c r="D53" s="29"/>
      <c r="E53" s="29"/>
      <c r="F53" s="29"/>
      <c r="G53" s="1653"/>
      <c r="H53" s="1654"/>
      <c r="I53" s="1654"/>
      <c r="J53" s="1655"/>
      <c r="K53" s="1653"/>
      <c r="L53" s="1654"/>
      <c r="M53" s="1654"/>
      <c r="N53" s="1658"/>
    </row>
    <row r="54" spans="2:14" ht="12" customHeight="1" thickBot="1">
      <c r="C54" s="72" t="s">
        <v>1097</v>
      </c>
      <c r="D54" s="1"/>
      <c r="E54" s="1"/>
      <c r="F54" s="1"/>
      <c r="G54" s="1656"/>
      <c r="H54" s="1639"/>
      <c r="I54" s="1639"/>
      <c r="J54" s="1657"/>
      <c r="K54" s="1656"/>
      <c r="L54" s="1639"/>
      <c r="M54" s="1639"/>
      <c r="N54" s="1640"/>
    </row>
    <row r="56" spans="2:14">
      <c r="B56" s="15" t="s">
        <v>86</v>
      </c>
      <c r="C56" s="18" t="s">
        <v>1098</v>
      </c>
    </row>
    <row r="57" spans="2:14" ht="13.5" thickBot="1">
      <c r="C57" t="s">
        <v>1099</v>
      </c>
    </row>
    <row r="58" spans="2:14" ht="12" customHeight="1">
      <c r="C58" s="64" t="s">
        <v>1100</v>
      </c>
      <c r="D58" s="65"/>
      <c r="E58" s="65"/>
      <c r="F58" s="65"/>
      <c r="G58" s="65"/>
      <c r="H58" s="65"/>
      <c r="I58" s="65"/>
      <c r="J58" s="65"/>
      <c r="K58" s="65" t="s">
        <v>1101</v>
      </c>
      <c r="L58" s="61"/>
      <c r="M58" s="61"/>
      <c r="N58" s="62"/>
    </row>
    <row r="59" spans="2:14" ht="12" customHeight="1">
      <c r="C59" s="55"/>
      <c r="D59" s="29"/>
      <c r="E59" s="29"/>
      <c r="F59" s="29"/>
      <c r="G59" s="29"/>
      <c r="H59" s="29"/>
      <c r="I59" s="29"/>
      <c r="J59" s="29"/>
      <c r="K59" s="762" t="s">
        <v>602</v>
      </c>
      <c r="L59" s="759"/>
      <c r="M59" s="759"/>
      <c r="N59" s="760"/>
    </row>
    <row r="60" spans="2:14" ht="12" customHeight="1">
      <c r="C60" s="57" t="s">
        <v>1102</v>
      </c>
      <c r="D60" s="32"/>
      <c r="E60" s="32"/>
      <c r="F60" s="32"/>
      <c r="G60" s="32"/>
      <c r="H60" s="32"/>
      <c r="I60" s="32"/>
      <c r="J60" s="32"/>
      <c r="K60" s="847">
        <f>'SCHEDULE OF REC. &amp; DISB.'!H6</f>
        <v>136398.51</v>
      </c>
      <c r="L60" s="848"/>
      <c r="M60" s="848"/>
      <c r="N60" s="849"/>
    </row>
    <row r="61" spans="2:14" ht="12" customHeight="1">
      <c r="C61" s="55"/>
      <c r="D61" s="29"/>
      <c r="E61" s="29"/>
      <c r="F61" s="29"/>
      <c r="G61" s="29"/>
      <c r="H61" s="29"/>
      <c r="I61" s="29"/>
      <c r="J61" s="29"/>
      <c r="K61" s="761" t="s">
        <v>602</v>
      </c>
      <c r="L61" s="759"/>
      <c r="M61" s="759"/>
      <c r="N61" s="760"/>
    </row>
    <row r="62" spans="2:14" ht="12" customHeight="1">
      <c r="C62" s="57" t="s">
        <v>1103</v>
      </c>
      <c r="D62" s="32"/>
      <c r="E62" s="32"/>
      <c r="F62" s="32"/>
      <c r="G62" s="32"/>
      <c r="H62" s="32"/>
      <c r="I62" s="32"/>
      <c r="J62" s="32"/>
      <c r="K62" s="847">
        <f>'SCHEDULE OF REC. &amp; DISB.'!H61</f>
        <v>71487.88</v>
      </c>
      <c r="L62" s="848"/>
      <c r="M62" s="848"/>
      <c r="N62" s="849"/>
    </row>
    <row r="63" spans="2:14" ht="12" customHeight="1">
      <c r="C63" s="55"/>
      <c r="D63" s="29"/>
      <c r="E63" s="29"/>
      <c r="F63" s="29"/>
      <c r="G63" s="29"/>
      <c r="H63" s="29"/>
      <c r="I63" s="29"/>
      <c r="J63" s="29"/>
      <c r="K63" s="761" t="s">
        <v>603</v>
      </c>
      <c r="L63" s="759"/>
      <c r="M63" s="759"/>
      <c r="N63" s="760"/>
    </row>
    <row r="64" spans="2:14" ht="12" customHeight="1">
      <c r="C64" s="57" t="s">
        <v>1106</v>
      </c>
      <c r="D64" s="32"/>
      <c r="E64" s="32"/>
      <c r="F64" s="32"/>
      <c r="G64" s="32"/>
      <c r="H64" s="32"/>
      <c r="I64" s="32"/>
      <c r="J64" s="32"/>
      <c r="K64" s="847">
        <f>'SCHEDULE OF REC. &amp; DISB.'!H69</f>
        <v>0</v>
      </c>
      <c r="L64" s="848"/>
      <c r="M64" s="848"/>
      <c r="N64" s="849"/>
    </row>
    <row r="65" spans="1:15" ht="12" customHeight="1">
      <c r="C65" s="55"/>
      <c r="D65" s="29"/>
      <c r="E65" s="29"/>
      <c r="F65" s="29"/>
      <c r="G65" s="29"/>
      <c r="H65" s="29"/>
      <c r="I65" s="29"/>
      <c r="J65" s="29"/>
      <c r="K65" s="761" t="s">
        <v>604</v>
      </c>
      <c r="L65" s="759"/>
      <c r="M65" s="759"/>
      <c r="N65" s="760"/>
    </row>
    <row r="66" spans="1:15" ht="12" customHeight="1">
      <c r="C66" s="57" t="s">
        <v>1107</v>
      </c>
      <c r="D66" s="32"/>
      <c r="E66" s="32"/>
      <c r="F66" s="32"/>
      <c r="G66" s="32"/>
      <c r="H66" s="32"/>
      <c r="I66" s="32"/>
      <c r="J66" s="32"/>
      <c r="K66" s="847">
        <f>'SCHEDULE OF REC. &amp; DISB.'!H75</f>
        <v>15501.02</v>
      </c>
      <c r="L66" s="848"/>
      <c r="M66" s="848"/>
      <c r="N66" s="849"/>
    </row>
    <row r="67" spans="1:15" ht="12" customHeight="1">
      <c r="C67" s="55"/>
      <c r="D67" s="29"/>
      <c r="E67" s="29"/>
      <c r="F67" s="29"/>
      <c r="G67" s="29"/>
      <c r="H67" s="29"/>
      <c r="I67" s="29"/>
      <c r="J67" s="29"/>
      <c r="K67" s="761" t="s">
        <v>602</v>
      </c>
      <c r="L67" s="759"/>
      <c r="M67" s="759"/>
      <c r="N67" s="760"/>
    </row>
    <row r="68" spans="1:15" ht="12" customHeight="1">
      <c r="C68" s="57" t="s">
        <v>1108</v>
      </c>
      <c r="D68" s="32"/>
      <c r="E68" s="32"/>
      <c r="F68" s="32"/>
      <c r="G68" s="32"/>
      <c r="H68" s="32"/>
      <c r="I68" s="32"/>
      <c r="J68" s="32"/>
      <c r="K68" s="847">
        <f>'SCHEDULE OF REC. &amp; DISB.'!H84</f>
        <v>334310.70000000007</v>
      </c>
      <c r="L68" s="848"/>
      <c r="M68" s="848"/>
      <c r="N68" s="849"/>
    </row>
    <row r="69" spans="1:15" ht="12" customHeight="1">
      <c r="C69" s="55"/>
      <c r="D69" s="29"/>
      <c r="E69" s="29"/>
      <c r="F69" s="29"/>
      <c r="G69" s="29"/>
      <c r="H69" s="29"/>
      <c r="I69" s="29"/>
      <c r="J69" s="29"/>
      <c r="K69" s="763"/>
      <c r="L69" s="759"/>
      <c r="M69" s="759"/>
      <c r="N69" s="760"/>
    </row>
    <row r="70" spans="1:15" ht="12" customHeight="1">
      <c r="C70" s="57" t="s">
        <v>1109</v>
      </c>
      <c r="D70" s="32"/>
      <c r="E70" s="32"/>
      <c r="F70" s="32"/>
      <c r="G70" s="32"/>
      <c r="H70" s="32"/>
      <c r="I70" s="32"/>
      <c r="J70" s="32"/>
      <c r="K70" s="847">
        <f>'SCHEDULE OF REC. &amp; DISB.'!H88</f>
        <v>0</v>
      </c>
      <c r="L70" s="848"/>
      <c r="M70" s="848"/>
      <c r="N70" s="849"/>
    </row>
    <row r="71" spans="1:15" ht="12" customHeight="1">
      <c r="C71" s="55"/>
      <c r="D71" s="29"/>
      <c r="E71" s="29"/>
      <c r="F71" s="29"/>
      <c r="G71" s="29"/>
      <c r="H71" s="29"/>
      <c r="I71" s="29"/>
      <c r="J71" s="29"/>
      <c r="K71" s="763"/>
      <c r="L71" s="759"/>
      <c r="M71" s="759"/>
      <c r="N71" s="760"/>
    </row>
    <row r="72" spans="1:15" ht="12" customHeight="1">
      <c r="C72" s="57" t="s">
        <v>1105</v>
      </c>
      <c r="D72" s="32"/>
      <c r="E72" s="32"/>
      <c r="F72" s="32"/>
      <c r="G72" s="32"/>
      <c r="H72" s="32"/>
      <c r="I72" s="32"/>
      <c r="J72" s="32"/>
      <c r="K72" s="847">
        <f>'SCHEDULE OF REC. &amp; DISB.'!H134</f>
        <v>35153.989999999991</v>
      </c>
      <c r="L72" s="848"/>
      <c r="M72" s="848"/>
      <c r="N72" s="849"/>
    </row>
    <row r="73" spans="1:15" ht="12" customHeight="1">
      <c r="C73" s="55"/>
      <c r="D73" s="29"/>
      <c r="E73" s="29"/>
      <c r="F73" s="29"/>
      <c r="G73" s="29"/>
      <c r="H73" s="29"/>
      <c r="I73" s="29"/>
      <c r="J73" s="29"/>
      <c r="K73" s="763"/>
      <c r="L73" s="759"/>
      <c r="M73" s="759"/>
      <c r="N73" s="760"/>
    </row>
    <row r="74" spans="1:15" ht="12" customHeight="1">
      <c r="C74" s="57" t="s">
        <v>1104</v>
      </c>
      <c r="D74" s="32"/>
      <c r="E74" s="32"/>
      <c r="F74" s="32"/>
      <c r="G74" s="32"/>
      <c r="H74" s="32"/>
      <c r="I74" s="32"/>
      <c r="J74" s="32"/>
      <c r="K74" s="847">
        <f>'SCHEDULE OF REC. &amp; DISB.'!H140</f>
        <v>0</v>
      </c>
      <c r="L74" s="848"/>
      <c r="M74" s="848"/>
      <c r="N74" s="849"/>
    </row>
    <row r="75" spans="1:15" ht="13.5" thickBot="1">
      <c r="C75" s="191" t="s">
        <v>472</v>
      </c>
      <c r="D75" s="11"/>
      <c r="E75" s="11"/>
      <c r="F75" s="11"/>
      <c r="G75" s="11"/>
      <c r="H75" s="11"/>
      <c r="I75" s="11"/>
      <c r="J75" s="11"/>
      <c r="K75" s="764">
        <f>SUM(K60:K74)</f>
        <v>592852.10000000009</v>
      </c>
      <c r="L75" s="764"/>
      <c r="M75" s="764"/>
      <c r="N75" s="765"/>
    </row>
    <row r="76" spans="1:15">
      <c r="C76" s="122" t="s">
        <v>1006</v>
      </c>
    </row>
    <row r="78" spans="1:15" ht="15.75">
      <c r="A78" s="123" t="s">
        <v>3197</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 ref="G12:J12"/>
    <mergeCell ref="K12:N12"/>
    <mergeCell ref="G14:J14"/>
    <mergeCell ref="K13:N14"/>
    <mergeCell ref="G16:J16"/>
    <mergeCell ref="K16:N16"/>
    <mergeCell ref="K41:L41"/>
    <mergeCell ref="C33:D33"/>
    <mergeCell ref="K50:N50"/>
    <mergeCell ref="E43:F43"/>
    <mergeCell ref="G43:H43"/>
    <mergeCell ref="I43:J43"/>
    <mergeCell ref="K43:L43"/>
    <mergeCell ref="K35:L35"/>
    <mergeCell ref="M35:N35"/>
    <mergeCell ref="M41:N41"/>
    <mergeCell ref="E41:F41"/>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s>
  <phoneticPr fontId="0" type="noConversion"/>
  <printOptions horizontalCentered="1"/>
  <pageMargins left="0.25" right="0.25" top="0.25" bottom="0.25" header="0.5" footer="0.5"/>
  <pageSetup scale="79" orientation="portrait" horizontalDpi="360" verticalDpi="360"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2.75"/>
  <sheetData>
    <row r="1" spans="1:10" ht="60">
      <c r="A1" s="1432" t="s">
        <v>989</v>
      </c>
      <c r="B1" s="1433"/>
      <c r="C1" s="1433"/>
      <c r="D1" s="1433"/>
      <c r="E1" s="1433"/>
      <c r="F1" s="1433"/>
      <c r="G1" s="1433"/>
      <c r="H1" s="1433"/>
      <c r="I1" s="1433"/>
      <c r="J1" s="1433"/>
    </row>
    <row r="6" spans="1:10" ht="60">
      <c r="A6" s="1432" t="s">
        <v>990</v>
      </c>
      <c r="B6" s="1434"/>
      <c r="C6" s="1434"/>
      <c r="D6" s="1434"/>
      <c r="E6" s="1434"/>
      <c r="F6" s="1434"/>
      <c r="G6" s="1434"/>
      <c r="H6" s="1434"/>
      <c r="I6" s="1434"/>
      <c r="J6" s="1434"/>
    </row>
    <row r="11" spans="1:10" ht="60">
      <c r="A11" s="1432" t="s">
        <v>991</v>
      </c>
      <c r="B11" s="1434"/>
      <c r="C11" s="1434"/>
      <c r="D11" s="1434"/>
      <c r="E11" s="1434"/>
      <c r="F11" s="1434"/>
      <c r="G11" s="1434"/>
      <c r="H11" s="1434"/>
      <c r="I11" s="1434"/>
      <c r="J11" s="1434"/>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A53" sqref="A53:K53"/>
    </sheetView>
  </sheetViews>
  <sheetFormatPr defaultRowHeight="12.75"/>
  <sheetData>
    <row r="1" spans="1:11" ht="60">
      <c r="A1" s="1432" t="s">
        <v>984</v>
      </c>
      <c r="B1" s="1433"/>
      <c r="C1" s="1433"/>
      <c r="D1" s="1433"/>
      <c r="E1" s="1433"/>
      <c r="F1" s="1433"/>
      <c r="G1" s="1433"/>
      <c r="H1" s="1433"/>
      <c r="I1" s="1433"/>
      <c r="J1" s="1433"/>
      <c r="K1" s="1433"/>
    </row>
    <row r="8" spans="1:11" ht="60">
      <c r="A8" s="1432" t="s">
        <v>985</v>
      </c>
      <c r="B8" s="1434"/>
      <c r="C8" s="1434"/>
      <c r="D8" s="1434"/>
      <c r="E8" s="1434"/>
      <c r="F8" s="1434"/>
      <c r="G8" s="1434"/>
      <c r="H8" s="1434"/>
      <c r="I8" s="1434"/>
      <c r="J8" s="1434"/>
      <c r="K8" s="16"/>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0"/>
  <sheetViews>
    <sheetView zoomScaleNormal="100" workbookViewId="0">
      <pane xSplit="2" ySplit="12" topLeftCell="C264" activePane="bottomRight" state="frozen"/>
      <selection pane="topRight" activeCell="C1" sqref="C1"/>
      <selection pane="bottomLeft" activeCell="A13" sqref="A13"/>
      <selection pane="bottomRight" activeCell="E275" sqref="E275"/>
    </sheetView>
  </sheetViews>
  <sheetFormatPr defaultColWidth="8.85546875" defaultRowHeight="12.75"/>
  <cols>
    <col min="1" max="1" width="14.7109375" style="261" customWidth="1"/>
    <col min="2" max="2" width="50.7109375" style="261" customWidth="1"/>
    <col min="3" max="6" width="18.7109375" style="261" customWidth="1"/>
    <col min="7" max="16384" width="8.85546875" style="261"/>
  </cols>
  <sheetData>
    <row r="1" spans="1:6" ht="18">
      <c r="A1" s="259" t="str">
        <f>+'GW-STATEMENT NET POSITION(13)'!A1</f>
        <v>TOWN OF BROADUS</v>
      </c>
      <c r="B1" s="276"/>
      <c r="C1" s="276"/>
      <c r="D1" s="276"/>
      <c r="E1" s="276"/>
      <c r="F1" s="276"/>
    </row>
    <row r="2" spans="1:6" ht="18">
      <c r="A2" s="259" t="s">
        <v>1226</v>
      </c>
      <c r="B2" s="276"/>
      <c r="C2" s="276"/>
      <c r="D2" s="276"/>
      <c r="E2" s="276"/>
      <c r="F2" s="276"/>
    </row>
    <row r="3" spans="1:6" ht="18">
      <c r="A3" s="259" t="s">
        <v>1228</v>
      </c>
      <c r="B3" s="276"/>
      <c r="C3" s="276"/>
      <c r="D3" s="276"/>
      <c r="E3" s="276"/>
      <c r="F3" s="276"/>
    </row>
    <row r="4" spans="1:6" ht="18">
      <c r="A4" s="259" t="s">
        <v>1227</v>
      </c>
      <c r="B4" s="276"/>
      <c r="C4" s="276"/>
      <c r="D4" s="276"/>
      <c r="E4" s="276"/>
      <c r="F4" s="276"/>
    </row>
    <row r="5" spans="1:6" ht="18">
      <c r="A5" s="259" t="str">
        <f>+'GW-STATEMENT OF ACTIVITIES(14)'!B3</f>
        <v>FISCAL YEAR ENDING JUNE 30, 2017</v>
      </c>
      <c r="B5" s="276"/>
      <c r="C5" s="276"/>
      <c r="D5" s="276"/>
      <c r="E5" s="276"/>
      <c r="F5" s="276"/>
    </row>
    <row r="6" spans="1:6" ht="18">
      <c r="B6" s="259"/>
      <c r="C6" s="276"/>
      <c r="D6" s="276"/>
      <c r="E6" s="276"/>
      <c r="F6" s="276"/>
    </row>
    <row r="7" spans="1:6" ht="15.75">
      <c r="B7" s="263"/>
      <c r="C7" s="263"/>
      <c r="D7" s="263"/>
      <c r="E7" s="263"/>
      <c r="F7" s="430" t="s">
        <v>1317</v>
      </c>
    </row>
    <row r="8" spans="1:6" ht="16.5" thickBot="1">
      <c r="B8" s="263"/>
      <c r="C8" s="264" t="s">
        <v>994</v>
      </c>
      <c r="D8" s="265"/>
      <c r="E8" s="263"/>
      <c r="F8" s="430" t="s">
        <v>1318</v>
      </c>
    </row>
    <row r="9" spans="1:6" ht="15.75">
      <c r="A9" s="430" t="s">
        <v>177</v>
      </c>
      <c r="B9" s="411"/>
      <c r="C9" s="263"/>
      <c r="D9" s="263"/>
      <c r="E9" s="266" t="s">
        <v>999</v>
      </c>
      <c r="F9" s="430" t="s">
        <v>1004</v>
      </c>
    </row>
    <row r="10" spans="1:6" ht="16.5" thickBot="1">
      <c r="A10" s="676" t="s">
        <v>178</v>
      </c>
      <c r="B10" s="676" t="s">
        <v>179</v>
      </c>
      <c r="C10" s="267" t="s">
        <v>995</v>
      </c>
      <c r="D10" s="264" t="s">
        <v>996</v>
      </c>
      <c r="E10" s="267" t="s">
        <v>1000</v>
      </c>
      <c r="F10" s="676" t="s">
        <v>1005</v>
      </c>
    </row>
    <row r="11" spans="1:6" ht="20.100000000000001" customHeight="1">
      <c r="A11" s="428"/>
      <c r="B11" s="431" t="s">
        <v>208</v>
      </c>
      <c r="C11" s="277"/>
      <c r="D11" s="277"/>
      <c r="E11" s="277"/>
      <c r="F11" s="277"/>
    </row>
    <row r="12" spans="1:6" ht="20.100000000000001" customHeight="1">
      <c r="A12" s="428"/>
      <c r="B12" s="431" t="s">
        <v>127</v>
      </c>
      <c r="C12" s="277"/>
      <c r="D12" s="277"/>
      <c r="E12" s="277"/>
      <c r="F12" s="277"/>
    </row>
    <row r="13" spans="1:6" ht="20.100000000000001" customHeight="1">
      <c r="A13" s="429" t="s">
        <v>187</v>
      </c>
      <c r="B13" s="411" t="s">
        <v>128</v>
      </c>
      <c r="C13" s="269">
        <v>250</v>
      </c>
      <c r="D13" s="269">
        <v>250</v>
      </c>
      <c r="E13" s="269">
        <v>50979.519999999997</v>
      </c>
      <c r="F13" s="277">
        <f>-D13+E13</f>
        <v>50729.52</v>
      </c>
    </row>
    <row r="14" spans="1:6" ht="20.100000000000001" customHeight="1">
      <c r="A14" s="429">
        <v>314140</v>
      </c>
      <c r="B14" s="411" t="s">
        <v>129</v>
      </c>
      <c r="C14" s="269">
        <v>16000</v>
      </c>
      <c r="D14" s="269">
        <v>16000</v>
      </c>
      <c r="E14" s="269">
        <v>16906.560000000001</v>
      </c>
      <c r="F14" s="277">
        <f>-D14+E14</f>
        <v>906.56000000000131</v>
      </c>
    </row>
    <row r="15" spans="1:6" ht="20.100000000000001" customHeight="1">
      <c r="A15" s="429"/>
      <c r="B15" s="431" t="s">
        <v>209</v>
      </c>
      <c r="C15" s="277"/>
      <c r="D15" s="277"/>
      <c r="E15" s="277"/>
      <c r="F15" s="277"/>
    </row>
    <row r="16" spans="1:6" ht="20.100000000000001" customHeight="1">
      <c r="A16" s="429">
        <v>322010</v>
      </c>
      <c r="B16" s="411" t="s">
        <v>485</v>
      </c>
      <c r="C16" s="269">
        <v>1500</v>
      </c>
      <c r="D16" s="269">
        <v>1500</v>
      </c>
      <c r="E16" s="269">
        <v>1125</v>
      </c>
      <c r="F16" s="277">
        <f>-D16+E16</f>
        <v>-375</v>
      </c>
    </row>
    <row r="17" spans="1:6" ht="20.100000000000001" customHeight="1">
      <c r="A17" s="429">
        <v>322020</v>
      </c>
      <c r="B17" s="411" t="s">
        <v>131</v>
      </c>
      <c r="C17" s="269"/>
      <c r="D17" s="269"/>
      <c r="E17" s="269"/>
      <c r="F17" s="277">
        <f>-D17+E17</f>
        <v>0</v>
      </c>
    </row>
    <row r="18" spans="1:6" ht="20.100000000000001" customHeight="1">
      <c r="A18" s="429">
        <v>323010</v>
      </c>
      <c r="B18" s="411" t="s">
        <v>487</v>
      </c>
      <c r="C18" s="269"/>
      <c r="D18" s="269"/>
      <c r="E18" s="269"/>
      <c r="F18" s="277">
        <f>-D18+E18</f>
        <v>0</v>
      </c>
    </row>
    <row r="19" spans="1:6" ht="20.100000000000001" customHeight="1">
      <c r="A19" s="429">
        <v>323030</v>
      </c>
      <c r="B19" s="411" t="s">
        <v>486</v>
      </c>
      <c r="C19" s="269">
        <v>200</v>
      </c>
      <c r="D19" s="269">
        <v>200</v>
      </c>
      <c r="E19" s="269">
        <v>285</v>
      </c>
      <c r="F19" s="277">
        <f>-D19+E19</f>
        <v>85</v>
      </c>
    </row>
    <row r="20" spans="1:6" ht="20.100000000000001" customHeight="1">
      <c r="A20" s="429">
        <v>323050</v>
      </c>
      <c r="B20" s="411" t="s">
        <v>488</v>
      </c>
      <c r="C20" s="269">
        <v>25</v>
      </c>
      <c r="D20" s="269">
        <v>25</v>
      </c>
      <c r="E20" s="269">
        <v>0</v>
      </c>
      <c r="F20" s="277">
        <f>-D20+E20</f>
        <v>-25</v>
      </c>
    </row>
    <row r="21" spans="1:6" ht="30" customHeight="1">
      <c r="A21" s="429"/>
      <c r="B21" s="435" t="s">
        <v>493</v>
      </c>
      <c r="C21" s="277"/>
      <c r="D21" s="277"/>
      <c r="E21" s="277"/>
      <c r="F21" s="277"/>
    </row>
    <row r="22" spans="1:6" ht="20.100000000000001" customHeight="1">
      <c r="A22" s="429">
        <v>331000</v>
      </c>
      <c r="B22" s="411" t="s">
        <v>489</v>
      </c>
      <c r="C22" s="269"/>
      <c r="D22" s="269"/>
      <c r="E22" s="269"/>
      <c r="F22" s="277">
        <f t="shared" ref="F22:F27" si="0">-D22+E22</f>
        <v>0</v>
      </c>
    </row>
    <row r="23" spans="1:6" ht="20.100000000000001" customHeight="1">
      <c r="A23" s="429" t="s">
        <v>2608</v>
      </c>
      <c r="B23" s="411" t="s">
        <v>490</v>
      </c>
      <c r="C23" s="269"/>
      <c r="D23" s="269"/>
      <c r="E23" s="269"/>
      <c r="F23" s="277">
        <f t="shared" si="0"/>
        <v>0</v>
      </c>
    </row>
    <row r="24" spans="1:6" ht="18" customHeight="1">
      <c r="A24" s="429">
        <v>334000</v>
      </c>
      <c r="B24" s="411" t="s">
        <v>491</v>
      </c>
      <c r="C24" s="269">
        <v>750</v>
      </c>
      <c r="D24" s="269">
        <v>750</v>
      </c>
      <c r="E24" s="269">
        <v>750</v>
      </c>
      <c r="F24" s="277">
        <f t="shared" si="0"/>
        <v>0</v>
      </c>
    </row>
    <row r="25" spans="1:6" ht="20.100000000000001" customHeight="1">
      <c r="A25" s="429" t="s">
        <v>2609</v>
      </c>
      <c r="B25" s="411" t="s">
        <v>492</v>
      </c>
      <c r="C25" s="269">
        <v>120000</v>
      </c>
      <c r="D25" s="269">
        <v>120000</v>
      </c>
      <c r="E25" s="269">
        <v>105228.02</v>
      </c>
      <c r="F25" s="277">
        <f t="shared" si="0"/>
        <v>-14771.979999999996</v>
      </c>
    </row>
    <row r="26" spans="1:6" ht="20.100000000000001" customHeight="1">
      <c r="A26" s="429">
        <v>337000</v>
      </c>
      <c r="B26" s="411" t="s">
        <v>1150</v>
      </c>
      <c r="C26" s="269"/>
      <c r="D26" s="269"/>
      <c r="E26" s="269"/>
      <c r="F26" s="277">
        <f t="shared" si="0"/>
        <v>0</v>
      </c>
    </row>
    <row r="27" spans="1:6" ht="20.100000000000001" customHeight="1">
      <c r="A27" s="429">
        <v>338000</v>
      </c>
      <c r="B27" s="411" t="s">
        <v>1151</v>
      </c>
      <c r="C27" s="269"/>
      <c r="D27" s="269"/>
      <c r="E27" s="269"/>
      <c r="F27" s="277">
        <f t="shared" si="0"/>
        <v>0</v>
      </c>
    </row>
    <row r="28" spans="1:6" ht="20.100000000000001" customHeight="1">
      <c r="A28" s="429"/>
      <c r="B28" s="431" t="s">
        <v>212</v>
      </c>
      <c r="C28" s="277"/>
      <c r="D28" s="277"/>
      <c r="E28" s="277"/>
      <c r="F28" s="277"/>
    </row>
    <row r="29" spans="1:6" ht="20.100000000000001" customHeight="1">
      <c r="A29" s="429">
        <v>341000</v>
      </c>
      <c r="B29" s="411" t="s">
        <v>494</v>
      </c>
      <c r="C29" s="269">
        <v>500</v>
      </c>
      <c r="D29" s="269">
        <v>500</v>
      </c>
      <c r="E29" s="269">
        <v>727.89</v>
      </c>
      <c r="F29" s="277">
        <f t="shared" ref="F29:F34" si="1">-D29+E29</f>
        <v>227.89</v>
      </c>
    </row>
    <row r="30" spans="1:6" ht="20.100000000000001" customHeight="1">
      <c r="A30" s="429">
        <v>342000</v>
      </c>
      <c r="B30" s="411" t="s">
        <v>219</v>
      </c>
      <c r="C30" s="269"/>
      <c r="D30" s="269"/>
      <c r="E30" s="269"/>
      <c r="F30" s="277">
        <f t="shared" si="1"/>
        <v>0</v>
      </c>
    </row>
    <row r="31" spans="1:6" ht="20.100000000000001" customHeight="1">
      <c r="A31" s="429">
        <v>343000</v>
      </c>
      <c r="B31" s="411" t="s">
        <v>220</v>
      </c>
      <c r="C31" s="269"/>
      <c r="D31" s="269"/>
      <c r="E31" s="269"/>
      <c r="F31" s="277">
        <f t="shared" si="1"/>
        <v>0</v>
      </c>
    </row>
    <row r="32" spans="1:6" ht="20.100000000000001" customHeight="1">
      <c r="A32" s="429">
        <v>344000</v>
      </c>
      <c r="B32" s="411" t="s">
        <v>188</v>
      </c>
      <c r="C32" s="269"/>
      <c r="D32" s="269"/>
      <c r="E32" s="269"/>
      <c r="F32" s="277">
        <f t="shared" si="1"/>
        <v>0</v>
      </c>
    </row>
    <row r="33" spans="1:6" ht="20.100000000000001" customHeight="1">
      <c r="A33" s="429">
        <v>345000</v>
      </c>
      <c r="B33" s="411" t="s">
        <v>189</v>
      </c>
      <c r="C33" s="269"/>
      <c r="D33" s="269"/>
      <c r="E33" s="269"/>
      <c r="F33" s="277">
        <f t="shared" si="1"/>
        <v>0</v>
      </c>
    </row>
    <row r="34" spans="1:6" ht="20.100000000000001" customHeight="1">
      <c r="A34" s="429">
        <v>346000</v>
      </c>
      <c r="B34" s="411" t="s">
        <v>223</v>
      </c>
      <c r="C34" s="269"/>
      <c r="D34" s="269"/>
      <c r="E34" s="269"/>
      <c r="F34" s="277">
        <f t="shared" si="1"/>
        <v>0</v>
      </c>
    </row>
    <row r="35" spans="1:6" ht="20.100000000000001" customHeight="1">
      <c r="A35" s="429"/>
      <c r="B35" s="431" t="s">
        <v>213</v>
      </c>
      <c r="C35" s="277"/>
      <c r="D35" s="277"/>
      <c r="E35" s="277"/>
      <c r="F35" s="277"/>
    </row>
    <row r="36" spans="1:6" ht="20.100000000000001" customHeight="1">
      <c r="A36" s="429">
        <v>351010</v>
      </c>
      <c r="B36" s="411" t="s">
        <v>320</v>
      </c>
      <c r="C36" s="269"/>
      <c r="D36" s="269"/>
      <c r="E36" s="269"/>
      <c r="F36" s="277">
        <f>-D36+E36</f>
        <v>0</v>
      </c>
    </row>
    <row r="37" spans="1:6" ht="20.100000000000001" customHeight="1">
      <c r="A37" s="429">
        <v>351020</v>
      </c>
      <c r="B37" s="411" t="s">
        <v>322</v>
      </c>
      <c r="C37" s="269"/>
      <c r="D37" s="269"/>
      <c r="E37" s="269"/>
      <c r="F37" s="277">
        <f>-D37+E37</f>
        <v>0</v>
      </c>
    </row>
    <row r="38" spans="1:6" ht="20.100000000000001" customHeight="1">
      <c r="A38" s="429">
        <v>351030</v>
      </c>
      <c r="B38" s="411" t="s">
        <v>321</v>
      </c>
      <c r="C38" s="269">
        <v>0</v>
      </c>
      <c r="D38" s="269">
        <v>0</v>
      </c>
      <c r="E38" s="269">
        <v>110</v>
      </c>
      <c r="F38" s="277">
        <f>-D38+E38</f>
        <v>110</v>
      </c>
    </row>
    <row r="39" spans="1:6" ht="20.100000000000001" customHeight="1">
      <c r="A39" s="429">
        <v>360000</v>
      </c>
      <c r="B39" s="431" t="s">
        <v>214</v>
      </c>
      <c r="C39" s="269"/>
      <c r="D39" s="269"/>
      <c r="E39" s="269"/>
      <c r="F39" s="277">
        <f>-D39+E39</f>
        <v>0</v>
      </c>
    </row>
    <row r="40" spans="1:6" ht="20.100000000000001" customHeight="1">
      <c r="A40" s="429">
        <v>370000</v>
      </c>
      <c r="B40" s="431" t="s">
        <v>215</v>
      </c>
      <c r="C40" s="269">
        <v>250</v>
      </c>
      <c r="D40" s="269">
        <v>250</v>
      </c>
      <c r="E40" s="269">
        <v>262.22000000000003</v>
      </c>
      <c r="F40" s="277">
        <f>-D40+E40</f>
        <v>12.220000000000027</v>
      </c>
    </row>
    <row r="41" spans="1:6" ht="20.100000000000001" customHeight="1" thickBot="1">
      <c r="A41" s="429"/>
      <c r="B41" s="411"/>
      <c r="C41" s="278"/>
      <c r="D41" s="278"/>
      <c r="E41" s="278"/>
      <c r="F41" s="278"/>
    </row>
    <row r="42" spans="1:6" ht="20.100000000000001" customHeight="1" thickBot="1">
      <c r="A42" s="429"/>
      <c r="B42" s="1000" t="s">
        <v>130</v>
      </c>
      <c r="C42" s="279">
        <f>SUM(C11:C41)</f>
        <v>139475</v>
      </c>
      <c r="D42" s="279">
        <f>SUM(D11:D41)</f>
        <v>139475</v>
      </c>
      <c r="E42" s="279">
        <f>SUM(E11:E41)</f>
        <v>176374.21000000002</v>
      </c>
      <c r="F42" s="279">
        <f>SUM(F11:F41)</f>
        <v>36899.210000000006</v>
      </c>
    </row>
    <row r="43" spans="1:6" ht="20.100000000000001" customHeight="1">
      <c r="A43" s="429"/>
      <c r="B43" s="411"/>
      <c r="C43" s="326"/>
      <c r="D43" s="326"/>
      <c r="E43" s="326"/>
      <c r="F43" s="326"/>
    </row>
    <row r="44" spans="1:6" ht="20.100000000000001" customHeight="1">
      <c r="A44" s="429"/>
      <c r="B44" s="431" t="s">
        <v>217</v>
      </c>
      <c r="C44" s="326"/>
      <c r="D44" s="326"/>
      <c r="E44" s="326"/>
      <c r="F44" s="326"/>
    </row>
    <row r="45" spans="1:6" ht="20.100000000000001" customHeight="1">
      <c r="A45" s="429"/>
      <c r="B45" s="431" t="s">
        <v>218</v>
      </c>
      <c r="C45" s="326"/>
      <c r="D45" s="326"/>
      <c r="E45" s="326"/>
      <c r="F45" s="326"/>
    </row>
    <row r="46" spans="1:6" ht="20.100000000000001" customHeight="1">
      <c r="A46" s="429">
        <v>410000</v>
      </c>
      <c r="B46" s="431" t="s">
        <v>323</v>
      </c>
      <c r="C46" s="326"/>
      <c r="D46" s="326"/>
      <c r="E46" s="326"/>
      <c r="F46" s="326"/>
    </row>
    <row r="47" spans="1:6" ht="20.100000000000001" customHeight="1">
      <c r="A47" s="429">
        <v>410100</v>
      </c>
      <c r="B47" s="431" t="s">
        <v>324</v>
      </c>
      <c r="C47" s="277"/>
      <c r="D47" s="277"/>
      <c r="E47" s="277"/>
      <c r="F47" s="277"/>
    </row>
    <row r="48" spans="1:6" ht="20.100000000000001" customHeight="1">
      <c r="A48" s="696">
        <v>100</v>
      </c>
      <c r="B48" s="411" t="s">
        <v>871</v>
      </c>
      <c r="C48" s="269">
        <v>2000</v>
      </c>
      <c r="D48" s="269">
        <v>2000</v>
      </c>
      <c r="E48" s="269">
        <v>1800</v>
      </c>
      <c r="F48" s="277">
        <f>+D48-E48</f>
        <v>200</v>
      </c>
    </row>
    <row r="49" spans="1:6" ht="20.100000000000001" customHeight="1">
      <c r="A49" s="696" t="s">
        <v>191</v>
      </c>
      <c r="B49" s="411" t="s">
        <v>872</v>
      </c>
      <c r="C49" s="269">
        <v>1550</v>
      </c>
      <c r="D49" s="269">
        <v>1550</v>
      </c>
      <c r="E49" s="269">
        <v>0</v>
      </c>
      <c r="F49" s="277">
        <f>+D49-E49</f>
        <v>1550</v>
      </c>
    </row>
    <row r="50" spans="1:6" ht="20.100000000000001" customHeight="1">
      <c r="A50" s="696">
        <v>900</v>
      </c>
      <c r="B50" s="411" t="s">
        <v>176</v>
      </c>
      <c r="C50" s="269"/>
      <c r="D50" s="269"/>
      <c r="E50" s="269"/>
      <c r="F50" s="277">
        <f>+D50-E50</f>
        <v>0</v>
      </c>
    </row>
    <row r="51" spans="1:6" ht="20.100000000000001" customHeight="1">
      <c r="A51" s="429">
        <v>410200</v>
      </c>
      <c r="B51" s="431" t="s">
        <v>325</v>
      </c>
      <c r="C51" s="277"/>
      <c r="D51" s="277"/>
      <c r="E51" s="277"/>
      <c r="F51" s="277"/>
    </row>
    <row r="52" spans="1:6" ht="20.100000000000001" customHeight="1">
      <c r="A52" s="696">
        <v>100</v>
      </c>
      <c r="B52" s="411" t="s">
        <v>871</v>
      </c>
      <c r="C52" s="269">
        <v>700</v>
      </c>
      <c r="D52" s="269">
        <v>700</v>
      </c>
      <c r="E52" s="269">
        <v>0</v>
      </c>
      <c r="F52" s="277">
        <f>+D52-E52</f>
        <v>700</v>
      </c>
    </row>
    <row r="53" spans="1:6" ht="20.100000000000001" customHeight="1">
      <c r="A53" s="696" t="s">
        <v>191</v>
      </c>
      <c r="B53" s="411" t="s">
        <v>872</v>
      </c>
      <c r="C53" s="269">
        <v>800</v>
      </c>
      <c r="D53" s="269">
        <v>800</v>
      </c>
      <c r="E53" s="269">
        <v>600</v>
      </c>
      <c r="F53" s="277">
        <f>+D53-E53</f>
        <v>200</v>
      </c>
    </row>
    <row r="54" spans="1:6" ht="20.100000000000001" customHeight="1">
      <c r="A54" s="696">
        <v>900</v>
      </c>
      <c r="B54" s="411" t="s">
        <v>176</v>
      </c>
      <c r="C54" s="269"/>
      <c r="D54" s="269"/>
      <c r="E54" s="269"/>
      <c r="F54" s="277">
        <f>+D54-E54</f>
        <v>0</v>
      </c>
    </row>
    <row r="55" spans="1:6" ht="20.100000000000001" customHeight="1">
      <c r="A55" s="429">
        <v>410300</v>
      </c>
      <c r="B55" s="431" t="s">
        <v>326</v>
      </c>
      <c r="C55" s="277"/>
      <c r="D55" s="277"/>
      <c r="E55" s="277"/>
      <c r="F55" s="277"/>
    </row>
    <row r="56" spans="1:6" ht="20.100000000000001" customHeight="1">
      <c r="A56" s="696">
        <v>100</v>
      </c>
      <c r="B56" s="411" t="s">
        <v>871</v>
      </c>
      <c r="C56" s="269">
        <v>3112</v>
      </c>
      <c r="D56" s="269">
        <v>3112</v>
      </c>
      <c r="E56" s="269">
        <v>2881.06</v>
      </c>
      <c r="F56" s="277">
        <f>+D56-E56</f>
        <v>230.94000000000005</v>
      </c>
    </row>
    <row r="57" spans="1:6" ht="20.100000000000001" customHeight="1">
      <c r="A57" s="696" t="s">
        <v>191</v>
      </c>
      <c r="B57" s="411" t="s">
        <v>872</v>
      </c>
      <c r="C57" s="269">
        <v>2300</v>
      </c>
      <c r="D57" s="269">
        <v>2300</v>
      </c>
      <c r="E57" s="269">
        <v>31.97</v>
      </c>
      <c r="F57" s="277">
        <f>+D57-E57</f>
        <v>2268.0300000000002</v>
      </c>
    </row>
    <row r="58" spans="1:6" ht="20.100000000000001" customHeight="1">
      <c r="A58" s="696">
        <v>900</v>
      </c>
      <c r="B58" s="411" t="s">
        <v>176</v>
      </c>
      <c r="C58" s="269"/>
      <c r="D58" s="269"/>
      <c r="E58" s="269"/>
      <c r="F58" s="277">
        <f>+D58-E58</f>
        <v>0</v>
      </c>
    </row>
    <row r="59" spans="1:6" ht="20.100000000000001" customHeight="1">
      <c r="A59" s="696"/>
      <c r="B59" s="411"/>
      <c r="C59" s="411"/>
      <c r="D59" s="411"/>
      <c r="E59" s="411"/>
      <c r="F59" s="411"/>
    </row>
    <row r="60" spans="1:6" ht="20.100000000000001" customHeight="1">
      <c r="A60" s="719" t="s">
        <v>1323</v>
      </c>
      <c r="B60" s="412"/>
      <c r="C60" s="412"/>
      <c r="D60" s="412"/>
      <c r="E60" s="412"/>
      <c r="F60" s="412"/>
    </row>
    <row r="61" spans="1:6" ht="20.100000000000001" customHeight="1">
      <c r="A61" s="429">
        <v>410400</v>
      </c>
      <c r="B61" s="431" t="s">
        <v>327</v>
      </c>
      <c r="C61" s="326"/>
      <c r="D61" s="326"/>
      <c r="E61" s="326"/>
      <c r="F61" s="326"/>
    </row>
    <row r="62" spans="1:6" ht="20.100000000000001" customHeight="1">
      <c r="A62" s="696">
        <v>100</v>
      </c>
      <c r="B62" s="411" t="s">
        <v>871</v>
      </c>
      <c r="C62" s="269"/>
      <c r="D62" s="269"/>
      <c r="E62" s="269"/>
      <c r="F62" s="277">
        <f>+D62-E62</f>
        <v>0</v>
      </c>
    </row>
    <row r="63" spans="1:6" ht="20.100000000000001" customHeight="1">
      <c r="A63" s="696" t="s">
        <v>191</v>
      </c>
      <c r="B63" s="411" t="s">
        <v>872</v>
      </c>
      <c r="C63" s="269"/>
      <c r="D63" s="269"/>
      <c r="E63" s="269"/>
      <c r="F63" s="277">
        <f>+D63-E63</f>
        <v>0</v>
      </c>
    </row>
    <row r="64" spans="1:6" ht="20.100000000000001" customHeight="1">
      <c r="A64" s="696">
        <v>900</v>
      </c>
      <c r="B64" s="411" t="s">
        <v>176</v>
      </c>
      <c r="C64" s="269"/>
      <c r="D64" s="269"/>
      <c r="E64" s="269"/>
      <c r="F64" s="277">
        <f>+D64-E64</f>
        <v>0</v>
      </c>
    </row>
    <row r="65" spans="1:6" ht="20.100000000000001" customHeight="1">
      <c r="A65" s="429">
        <v>410500</v>
      </c>
      <c r="B65" s="431" t="s">
        <v>328</v>
      </c>
      <c r="C65" s="277"/>
      <c r="D65" s="277"/>
      <c r="E65" s="277"/>
      <c r="F65" s="277"/>
    </row>
    <row r="66" spans="1:6" ht="20.100000000000001" customHeight="1">
      <c r="A66" s="696">
        <v>100</v>
      </c>
      <c r="B66" s="411" t="s">
        <v>871</v>
      </c>
      <c r="C66" s="269">
        <v>39803</v>
      </c>
      <c r="D66" s="269">
        <v>39803</v>
      </c>
      <c r="E66" s="269">
        <v>38689.81</v>
      </c>
      <c r="F66" s="277">
        <f>+D66-E66</f>
        <v>1113.1900000000023</v>
      </c>
    </row>
    <row r="67" spans="1:6" ht="20.100000000000001" customHeight="1">
      <c r="A67" s="696" t="s">
        <v>191</v>
      </c>
      <c r="B67" s="411" t="s">
        <v>872</v>
      </c>
      <c r="C67" s="269">
        <v>29500</v>
      </c>
      <c r="D67" s="269">
        <v>29500</v>
      </c>
      <c r="E67" s="269">
        <v>10029.780000000001</v>
      </c>
      <c r="F67" s="277">
        <f>+D67-E67</f>
        <v>19470.22</v>
      </c>
    </row>
    <row r="68" spans="1:6" ht="20.100000000000001" customHeight="1">
      <c r="A68" s="696">
        <v>900</v>
      </c>
      <c r="B68" s="411" t="s">
        <v>176</v>
      </c>
      <c r="C68" s="269"/>
      <c r="D68" s="269"/>
      <c r="E68" s="269"/>
      <c r="F68" s="277">
        <f>+D68-E68</f>
        <v>0</v>
      </c>
    </row>
    <row r="69" spans="1:6" ht="20.100000000000001" customHeight="1">
      <c r="A69" s="429">
        <v>410600</v>
      </c>
      <c r="B69" s="431" t="s">
        <v>329</v>
      </c>
      <c r="C69" s="277"/>
      <c r="D69" s="277"/>
      <c r="E69" s="277"/>
      <c r="F69" s="277"/>
    </row>
    <row r="70" spans="1:6" ht="20.100000000000001" customHeight="1">
      <c r="A70" s="696">
        <v>100</v>
      </c>
      <c r="B70" s="411" t="s">
        <v>871</v>
      </c>
      <c r="C70" s="269"/>
      <c r="D70" s="269"/>
      <c r="E70" s="269"/>
      <c r="F70" s="277">
        <f>+D70-E70</f>
        <v>0</v>
      </c>
    </row>
    <row r="71" spans="1:6" ht="20.100000000000001" customHeight="1">
      <c r="A71" s="696" t="s">
        <v>191</v>
      </c>
      <c r="B71" s="411" t="s">
        <v>872</v>
      </c>
      <c r="C71" s="269">
        <v>1500</v>
      </c>
      <c r="D71" s="269">
        <v>1500</v>
      </c>
      <c r="E71" s="269">
        <v>0</v>
      </c>
      <c r="F71" s="277">
        <f>+D71-E71</f>
        <v>1500</v>
      </c>
    </row>
    <row r="72" spans="1:6" ht="20.100000000000001" customHeight="1">
      <c r="A72" s="696">
        <v>900</v>
      </c>
      <c r="B72" s="411" t="s">
        <v>176</v>
      </c>
      <c r="C72" s="269"/>
      <c r="D72" s="269"/>
      <c r="E72" s="269"/>
      <c r="F72" s="277">
        <f>+D72-E72</f>
        <v>0</v>
      </c>
    </row>
    <row r="73" spans="1:6" ht="20.100000000000001" customHeight="1">
      <c r="A73" s="429">
        <v>410900</v>
      </c>
      <c r="B73" s="431" t="s">
        <v>555</v>
      </c>
      <c r="C73" s="277"/>
      <c r="D73" s="277"/>
      <c r="E73" s="277"/>
      <c r="F73" s="277"/>
    </row>
    <row r="74" spans="1:6" ht="20.100000000000001" customHeight="1">
      <c r="A74" s="696">
        <v>100</v>
      </c>
      <c r="B74" s="411" t="s">
        <v>871</v>
      </c>
      <c r="C74" s="269"/>
      <c r="D74" s="269"/>
      <c r="E74" s="269"/>
      <c r="F74" s="277">
        <f>+D74-E74</f>
        <v>0</v>
      </c>
    </row>
    <row r="75" spans="1:6" ht="20.100000000000001" customHeight="1">
      <c r="A75" s="696" t="s">
        <v>191</v>
      </c>
      <c r="B75" s="411" t="s">
        <v>872</v>
      </c>
      <c r="C75" s="269"/>
      <c r="D75" s="269"/>
      <c r="E75" s="269"/>
      <c r="F75" s="277">
        <f>+D75-E75</f>
        <v>0</v>
      </c>
    </row>
    <row r="76" spans="1:6" ht="20.100000000000001" customHeight="1">
      <c r="A76" s="696">
        <v>900</v>
      </c>
      <c r="B76" s="411" t="s">
        <v>176</v>
      </c>
      <c r="C76" s="269"/>
      <c r="D76" s="269"/>
      <c r="E76" s="269"/>
      <c r="F76" s="277">
        <f>+D76-E76</f>
        <v>0</v>
      </c>
    </row>
    <row r="77" spans="1:6" ht="20.100000000000001" customHeight="1">
      <c r="A77" s="1007">
        <v>411000</v>
      </c>
      <c r="B77" s="431" t="s">
        <v>2737</v>
      </c>
      <c r="C77" s="277"/>
      <c r="D77" s="277"/>
      <c r="E77" s="277"/>
      <c r="F77" s="277"/>
    </row>
    <row r="78" spans="1:6" ht="20.100000000000001" customHeight="1">
      <c r="A78" s="1006">
        <v>100</v>
      </c>
      <c r="B78" s="411" t="s">
        <v>871</v>
      </c>
      <c r="C78" s="269"/>
      <c r="D78" s="269"/>
      <c r="E78" s="269"/>
      <c r="F78" s="277">
        <f t="shared" ref="F78:F80" si="2">+D78-E78</f>
        <v>0</v>
      </c>
    </row>
    <row r="79" spans="1:6" ht="20.100000000000001" customHeight="1">
      <c r="A79" s="1006" t="s">
        <v>191</v>
      </c>
      <c r="B79" s="411" t="s">
        <v>872</v>
      </c>
      <c r="C79" s="269">
        <v>350</v>
      </c>
      <c r="D79" s="269">
        <v>350</v>
      </c>
      <c r="E79" s="269">
        <v>0</v>
      </c>
      <c r="F79" s="277">
        <f t="shared" si="2"/>
        <v>350</v>
      </c>
    </row>
    <row r="80" spans="1:6" ht="20.100000000000001" customHeight="1">
      <c r="A80" s="1006">
        <v>900</v>
      </c>
      <c r="B80" s="411" t="s">
        <v>176</v>
      </c>
      <c r="C80" s="269"/>
      <c r="D80" s="269"/>
      <c r="E80" s="269"/>
      <c r="F80" s="277">
        <f t="shared" si="2"/>
        <v>0</v>
      </c>
    </row>
    <row r="81" spans="1:6" ht="20.100000000000001" customHeight="1">
      <c r="A81" s="429">
        <v>411100</v>
      </c>
      <c r="B81" s="431" t="s">
        <v>330</v>
      </c>
      <c r="C81" s="277"/>
      <c r="D81" s="277"/>
      <c r="E81" s="277"/>
      <c r="F81" s="277"/>
    </row>
    <row r="82" spans="1:6" ht="20.100000000000001" customHeight="1">
      <c r="A82" s="696">
        <v>100</v>
      </c>
      <c r="B82" s="411" t="s">
        <v>871</v>
      </c>
      <c r="C82" s="269"/>
      <c r="D82" s="269"/>
      <c r="E82" s="269"/>
      <c r="F82" s="277">
        <f>+D82-E82</f>
        <v>0</v>
      </c>
    </row>
    <row r="83" spans="1:6" ht="20.100000000000001" customHeight="1">
      <c r="A83" s="696" t="s">
        <v>191</v>
      </c>
      <c r="B83" s="411" t="s">
        <v>872</v>
      </c>
      <c r="C83" s="269">
        <v>2000</v>
      </c>
      <c r="D83" s="269">
        <v>2000</v>
      </c>
      <c r="E83" s="269">
        <v>0</v>
      </c>
      <c r="F83" s="277">
        <f>+D83-E83</f>
        <v>2000</v>
      </c>
    </row>
    <row r="84" spans="1:6" ht="20.100000000000001" customHeight="1">
      <c r="A84" s="696">
        <v>900</v>
      </c>
      <c r="B84" s="411" t="s">
        <v>176</v>
      </c>
      <c r="C84" s="269"/>
      <c r="D84" s="269"/>
      <c r="E84" s="269"/>
      <c r="F84" s="277">
        <f>+D84-E84</f>
        <v>0</v>
      </c>
    </row>
    <row r="85" spans="1:6" ht="20.100000000000001" customHeight="1">
      <c r="A85" s="429">
        <v>411200</v>
      </c>
      <c r="B85" s="431" t="s">
        <v>331</v>
      </c>
      <c r="C85" s="277"/>
      <c r="D85" s="277"/>
      <c r="E85" s="277"/>
      <c r="F85" s="277"/>
    </row>
    <row r="86" spans="1:6" ht="20.100000000000001" customHeight="1">
      <c r="A86" s="696">
        <v>100</v>
      </c>
      <c r="B86" s="411" t="s">
        <v>871</v>
      </c>
      <c r="C86" s="269"/>
      <c r="D86" s="269"/>
      <c r="E86" s="269"/>
      <c r="F86" s="277">
        <f>+D86-E86</f>
        <v>0</v>
      </c>
    </row>
    <row r="87" spans="1:6" ht="20.100000000000001" customHeight="1">
      <c r="A87" s="696" t="s">
        <v>191</v>
      </c>
      <c r="B87" s="411" t="s">
        <v>872</v>
      </c>
      <c r="C87" s="269">
        <v>13000</v>
      </c>
      <c r="D87" s="269">
        <v>13000</v>
      </c>
      <c r="E87" s="269">
        <v>10281.6</v>
      </c>
      <c r="F87" s="277">
        <f>+D87-E87</f>
        <v>2718.3999999999996</v>
      </c>
    </row>
    <row r="88" spans="1:6" ht="20.100000000000001" customHeight="1">
      <c r="A88" s="696">
        <v>900</v>
      </c>
      <c r="B88" s="411" t="s">
        <v>176</v>
      </c>
      <c r="C88" s="269"/>
      <c r="D88" s="269"/>
      <c r="E88" s="269"/>
      <c r="F88" s="277">
        <f>+D88-E88</f>
        <v>0</v>
      </c>
    </row>
    <row r="89" spans="1:6" ht="20.100000000000001" customHeight="1">
      <c r="A89" s="429">
        <v>411600</v>
      </c>
      <c r="B89" s="431" t="s">
        <v>870</v>
      </c>
      <c r="C89" s="277"/>
      <c r="D89" s="277"/>
      <c r="E89" s="277"/>
      <c r="F89" s="277"/>
    </row>
    <row r="90" spans="1:6" ht="20.100000000000001" customHeight="1">
      <c r="A90" s="696">
        <v>100</v>
      </c>
      <c r="B90" s="411" t="s">
        <v>871</v>
      </c>
      <c r="C90" s="269"/>
      <c r="D90" s="269"/>
      <c r="E90" s="269"/>
      <c r="F90" s="277">
        <f>+D90-E90</f>
        <v>0</v>
      </c>
    </row>
    <row r="91" spans="1:6" ht="20.100000000000001" customHeight="1">
      <c r="A91" s="696" t="s">
        <v>191</v>
      </c>
      <c r="B91" s="411" t="s">
        <v>872</v>
      </c>
      <c r="C91" s="269"/>
      <c r="D91" s="269"/>
      <c r="E91" s="269"/>
      <c r="F91" s="277">
        <f>+D91-E91</f>
        <v>0</v>
      </c>
    </row>
    <row r="92" spans="1:6" ht="20.100000000000001" customHeight="1">
      <c r="A92" s="696">
        <v>900</v>
      </c>
      <c r="B92" s="411" t="s">
        <v>176</v>
      </c>
      <c r="C92" s="269"/>
      <c r="D92" s="269"/>
      <c r="E92" s="269"/>
      <c r="F92" s="277">
        <f>+D92-E92</f>
        <v>0</v>
      </c>
    </row>
    <row r="93" spans="1:6" ht="20.100000000000001" customHeight="1">
      <c r="A93" s="1007">
        <v>411800</v>
      </c>
      <c r="B93" s="431" t="s">
        <v>2738</v>
      </c>
      <c r="C93" s="277"/>
      <c r="D93" s="277"/>
      <c r="E93" s="277"/>
      <c r="F93" s="277"/>
    </row>
    <row r="94" spans="1:6" ht="20.100000000000001" customHeight="1">
      <c r="A94" s="1006">
        <v>100</v>
      </c>
      <c r="B94" s="411" t="s">
        <v>871</v>
      </c>
      <c r="C94" s="269"/>
      <c r="D94" s="269"/>
      <c r="E94" s="269"/>
      <c r="F94" s="277">
        <f t="shared" ref="F94:F96" si="3">+D94-E94</f>
        <v>0</v>
      </c>
    </row>
    <row r="95" spans="1:6" ht="20.100000000000001" customHeight="1">
      <c r="A95" s="1006" t="s">
        <v>191</v>
      </c>
      <c r="B95" s="411" t="s">
        <v>872</v>
      </c>
      <c r="C95" s="269">
        <v>1000</v>
      </c>
      <c r="D95" s="269">
        <v>1000</v>
      </c>
      <c r="E95" s="269">
        <v>830</v>
      </c>
      <c r="F95" s="277">
        <f t="shared" si="3"/>
        <v>170</v>
      </c>
    </row>
    <row r="96" spans="1:6" ht="20.100000000000001" customHeight="1">
      <c r="A96" s="1006">
        <v>900</v>
      </c>
      <c r="B96" s="411" t="s">
        <v>176</v>
      </c>
      <c r="C96" s="269"/>
      <c r="D96" s="269"/>
      <c r="E96" s="269"/>
      <c r="F96" s="277">
        <f t="shared" si="3"/>
        <v>0</v>
      </c>
    </row>
    <row r="97" spans="1:6" ht="20.100000000000001" customHeight="1">
      <c r="A97" s="429">
        <v>420000</v>
      </c>
      <c r="B97" s="431" t="s">
        <v>874</v>
      </c>
      <c r="C97" s="277"/>
      <c r="D97" s="277"/>
      <c r="E97" s="277"/>
      <c r="F97" s="277"/>
    </row>
    <row r="98" spans="1:6" ht="20.100000000000001" customHeight="1">
      <c r="A98" s="429">
        <v>420100</v>
      </c>
      <c r="B98" s="431" t="s">
        <v>875</v>
      </c>
      <c r="C98" s="277"/>
      <c r="D98" s="277"/>
      <c r="E98" s="277"/>
      <c r="F98" s="277"/>
    </row>
    <row r="99" spans="1:6" ht="20.100000000000001" customHeight="1">
      <c r="A99" s="696">
        <v>100</v>
      </c>
      <c r="B99" s="411" t="s">
        <v>871</v>
      </c>
      <c r="C99" s="269"/>
      <c r="D99" s="269"/>
      <c r="E99" s="269"/>
      <c r="F99" s="277">
        <f>+D99-E99</f>
        <v>0</v>
      </c>
    </row>
    <row r="100" spans="1:6" ht="20.100000000000001" customHeight="1">
      <c r="A100" s="696" t="s">
        <v>191</v>
      </c>
      <c r="B100" s="411" t="s">
        <v>872</v>
      </c>
      <c r="C100" s="269">
        <v>19500</v>
      </c>
      <c r="D100" s="269">
        <v>19500</v>
      </c>
      <c r="E100" s="269">
        <v>19500</v>
      </c>
      <c r="F100" s="277">
        <f>+D100-E100</f>
        <v>0</v>
      </c>
    </row>
    <row r="101" spans="1:6" ht="20.100000000000001" customHeight="1">
      <c r="A101" s="696">
        <v>900</v>
      </c>
      <c r="B101" s="411" t="s">
        <v>176</v>
      </c>
      <c r="C101" s="269"/>
      <c r="D101" s="269"/>
      <c r="E101" s="269"/>
      <c r="F101" s="277">
        <f>+D101-E101</f>
        <v>0</v>
      </c>
    </row>
    <row r="102" spans="1:6" ht="20.100000000000001" customHeight="1">
      <c r="A102" s="429">
        <v>420200</v>
      </c>
      <c r="B102" s="431" t="s">
        <v>876</v>
      </c>
      <c r="C102" s="277"/>
      <c r="D102" s="277"/>
      <c r="E102" s="277"/>
      <c r="F102" s="277"/>
    </row>
    <row r="103" spans="1:6" ht="20.100000000000001" customHeight="1">
      <c r="A103" s="696">
        <v>100</v>
      </c>
      <c r="B103" s="411" t="s">
        <v>871</v>
      </c>
      <c r="C103" s="269"/>
      <c r="D103" s="269"/>
      <c r="E103" s="269"/>
      <c r="F103" s="277">
        <f>+D103-E103</f>
        <v>0</v>
      </c>
    </row>
    <row r="104" spans="1:6" ht="20.100000000000001" customHeight="1">
      <c r="A104" s="696" t="s">
        <v>191</v>
      </c>
      <c r="B104" s="411" t="s">
        <v>872</v>
      </c>
      <c r="C104" s="269"/>
      <c r="D104" s="269"/>
      <c r="E104" s="269"/>
      <c r="F104" s="277">
        <f>+D104-E104</f>
        <v>0</v>
      </c>
    </row>
    <row r="105" spans="1:6" ht="20.100000000000001" customHeight="1">
      <c r="A105" s="696">
        <v>900</v>
      </c>
      <c r="B105" s="411" t="s">
        <v>176</v>
      </c>
      <c r="C105" s="269"/>
      <c r="D105" s="269"/>
      <c r="E105" s="269"/>
      <c r="F105" s="277">
        <f>+D105-E105</f>
        <v>0</v>
      </c>
    </row>
    <row r="106" spans="1:6" ht="20.100000000000001" customHeight="1">
      <c r="A106" s="429">
        <v>420300</v>
      </c>
      <c r="B106" s="431" t="s">
        <v>877</v>
      </c>
      <c r="C106" s="277"/>
      <c r="D106" s="277"/>
      <c r="E106" s="277"/>
      <c r="F106" s="277"/>
    </row>
    <row r="107" spans="1:6" ht="20.100000000000001" customHeight="1">
      <c r="A107" s="696">
        <v>100</v>
      </c>
      <c r="B107" s="411" t="s">
        <v>871</v>
      </c>
      <c r="C107" s="269"/>
      <c r="D107" s="269"/>
      <c r="E107" s="269"/>
      <c r="F107" s="277">
        <f>+D107-E107</f>
        <v>0</v>
      </c>
    </row>
    <row r="108" spans="1:6" ht="20.100000000000001" customHeight="1">
      <c r="A108" s="696" t="s">
        <v>191</v>
      </c>
      <c r="B108" s="411" t="s">
        <v>872</v>
      </c>
      <c r="C108" s="269"/>
      <c r="D108" s="269"/>
      <c r="E108" s="269"/>
      <c r="F108" s="277">
        <f>+D108-E108</f>
        <v>0</v>
      </c>
    </row>
    <row r="109" spans="1:6" ht="20.100000000000001" customHeight="1">
      <c r="A109" s="696">
        <v>900</v>
      </c>
      <c r="B109" s="411" t="s">
        <v>176</v>
      </c>
      <c r="C109" s="269"/>
      <c r="D109" s="269"/>
      <c r="E109" s="269"/>
      <c r="F109" s="277">
        <f>+D109-E109</f>
        <v>0</v>
      </c>
    </row>
    <row r="110" spans="1:6" ht="20.100000000000001" customHeight="1">
      <c r="A110" s="696"/>
      <c r="B110" s="411"/>
      <c r="C110" s="277"/>
      <c r="D110" s="277"/>
      <c r="E110" s="277"/>
      <c r="F110" s="277"/>
    </row>
    <row r="111" spans="1:6" ht="20.100000000000001" customHeight="1">
      <c r="A111" s="1667" t="s">
        <v>1324</v>
      </c>
      <c r="B111" s="1667"/>
      <c r="C111" s="1667"/>
      <c r="D111" s="1667"/>
      <c r="E111" s="1667"/>
      <c r="F111" s="1667"/>
    </row>
    <row r="112" spans="1:6" ht="20.100000000000001" customHeight="1">
      <c r="A112" s="429">
        <v>420400</v>
      </c>
      <c r="B112" s="431" t="s">
        <v>878</v>
      </c>
      <c r="C112" s="277"/>
      <c r="D112" s="277"/>
      <c r="E112" s="277"/>
      <c r="F112" s="277"/>
    </row>
    <row r="113" spans="1:6" ht="20.100000000000001" customHeight="1">
      <c r="A113" s="696">
        <v>100</v>
      </c>
      <c r="B113" s="411" t="s">
        <v>871</v>
      </c>
      <c r="C113" s="269">
        <v>1000</v>
      </c>
      <c r="D113" s="269">
        <v>1000</v>
      </c>
      <c r="E113" s="269">
        <v>440.79</v>
      </c>
      <c r="F113" s="277">
        <f>+D113-E113</f>
        <v>559.21</v>
      </c>
    </row>
    <row r="114" spans="1:6" ht="20.100000000000001" customHeight="1">
      <c r="A114" s="696" t="s">
        <v>191</v>
      </c>
      <c r="B114" s="411" t="s">
        <v>872</v>
      </c>
      <c r="C114" s="269">
        <v>5700</v>
      </c>
      <c r="D114" s="269">
        <v>5700</v>
      </c>
      <c r="E114" s="269">
        <v>4567.1400000000003</v>
      </c>
      <c r="F114" s="277">
        <f>+D114-E114</f>
        <v>1132.8599999999997</v>
      </c>
    </row>
    <row r="115" spans="1:6" ht="20.100000000000001" customHeight="1">
      <c r="A115" s="696">
        <v>900</v>
      </c>
      <c r="B115" s="411" t="s">
        <v>176</v>
      </c>
      <c r="C115" s="269"/>
      <c r="D115" s="269"/>
      <c r="E115" s="269"/>
      <c r="F115" s="277">
        <f>+D115-E115</f>
        <v>0</v>
      </c>
    </row>
    <row r="116" spans="1:6" ht="20.100000000000001" customHeight="1">
      <c r="A116" s="429">
        <v>420500</v>
      </c>
      <c r="B116" s="431" t="s">
        <v>879</v>
      </c>
      <c r="C116" s="277"/>
      <c r="D116" s="277"/>
      <c r="E116" s="277"/>
      <c r="F116" s="277"/>
    </row>
    <row r="117" spans="1:6" ht="20.100000000000001" customHeight="1">
      <c r="A117" s="696">
        <v>100</v>
      </c>
      <c r="B117" s="411" t="s">
        <v>871</v>
      </c>
      <c r="C117" s="269"/>
      <c r="D117" s="269"/>
      <c r="E117" s="269"/>
      <c r="F117" s="277">
        <f>+D117-E117</f>
        <v>0</v>
      </c>
    </row>
    <row r="118" spans="1:6" ht="20.100000000000001" customHeight="1">
      <c r="A118" s="696" t="s">
        <v>191</v>
      </c>
      <c r="B118" s="411" t="s">
        <v>872</v>
      </c>
      <c r="C118" s="269">
        <v>100</v>
      </c>
      <c r="D118" s="269">
        <v>100</v>
      </c>
      <c r="E118" s="269">
        <v>0</v>
      </c>
      <c r="F118" s="277">
        <f>+D118-E118</f>
        <v>100</v>
      </c>
    </row>
    <row r="119" spans="1:6" ht="20.100000000000001" customHeight="1">
      <c r="A119" s="696">
        <v>900</v>
      </c>
      <c r="B119" s="411" t="s">
        <v>176</v>
      </c>
      <c r="C119" s="269"/>
      <c r="D119" s="269"/>
      <c r="E119" s="269"/>
      <c r="F119" s="277">
        <f>+D119-E119</f>
        <v>0</v>
      </c>
    </row>
    <row r="120" spans="1:6" ht="20.100000000000001" customHeight="1">
      <c r="A120" s="429">
        <v>420600</v>
      </c>
      <c r="B120" s="431" t="s">
        <v>332</v>
      </c>
      <c r="C120" s="326"/>
      <c r="D120" s="326"/>
      <c r="E120" s="326"/>
      <c r="F120" s="326"/>
    </row>
    <row r="121" spans="1:6" ht="20.100000000000001" customHeight="1">
      <c r="A121" s="696">
        <v>100</v>
      </c>
      <c r="B121" s="411" t="s">
        <v>871</v>
      </c>
      <c r="C121" s="269"/>
      <c r="D121" s="269"/>
      <c r="E121" s="269"/>
      <c r="F121" s="277">
        <f>+D121-E121</f>
        <v>0</v>
      </c>
    </row>
    <row r="122" spans="1:6" ht="20.100000000000001" customHeight="1">
      <c r="A122" s="696" t="s">
        <v>191</v>
      </c>
      <c r="B122" s="411" t="s">
        <v>872</v>
      </c>
      <c r="C122" s="269"/>
      <c r="D122" s="269"/>
      <c r="E122" s="269"/>
      <c r="F122" s="277">
        <f>+D122-E122</f>
        <v>0</v>
      </c>
    </row>
    <row r="123" spans="1:6" ht="20.100000000000001" customHeight="1">
      <c r="A123" s="696">
        <v>900</v>
      </c>
      <c r="B123" s="411" t="s">
        <v>176</v>
      </c>
      <c r="C123" s="269"/>
      <c r="D123" s="269"/>
      <c r="E123" s="269"/>
      <c r="F123" s="277">
        <f>+D123-E123</f>
        <v>0</v>
      </c>
    </row>
    <row r="124" spans="1:6" ht="20.100000000000001" customHeight="1">
      <c r="A124" s="429">
        <v>420700</v>
      </c>
      <c r="B124" s="431" t="s">
        <v>333</v>
      </c>
      <c r="C124" s="277"/>
      <c r="D124" s="277"/>
      <c r="E124" s="277"/>
      <c r="F124" s="277"/>
    </row>
    <row r="125" spans="1:6" ht="20.100000000000001" customHeight="1">
      <c r="A125" s="696">
        <v>100</v>
      </c>
      <c r="B125" s="411" t="s">
        <v>871</v>
      </c>
      <c r="C125" s="269"/>
      <c r="D125" s="269"/>
      <c r="E125" s="269"/>
      <c r="F125" s="277">
        <f>+D125-E125</f>
        <v>0</v>
      </c>
    </row>
    <row r="126" spans="1:6" ht="20.100000000000001" customHeight="1">
      <c r="A126" s="696" t="s">
        <v>191</v>
      </c>
      <c r="B126" s="411" t="s">
        <v>872</v>
      </c>
      <c r="C126" s="269"/>
      <c r="D126" s="269"/>
      <c r="E126" s="269"/>
      <c r="F126" s="277">
        <f>+D126-E126</f>
        <v>0</v>
      </c>
    </row>
    <row r="127" spans="1:6" ht="20.100000000000001" customHeight="1">
      <c r="A127" s="696">
        <v>900</v>
      </c>
      <c r="B127" s="411" t="s">
        <v>176</v>
      </c>
      <c r="C127" s="269"/>
      <c r="D127" s="269"/>
      <c r="E127" s="269"/>
      <c r="F127" s="277">
        <f>+D127-E127</f>
        <v>0</v>
      </c>
    </row>
    <row r="128" spans="1:6" ht="20.100000000000001" customHeight="1">
      <c r="A128" s="429">
        <v>430000</v>
      </c>
      <c r="B128" s="431" t="s">
        <v>334</v>
      </c>
      <c r="C128" s="277"/>
      <c r="D128" s="277"/>
      <c r="E128" s="277"/>
      <c r="F128" s="277"/>
    </row>
    <row r="129" spans="1:6" ht="20.100000000000001" customHeight="1">
      <c r="A129" s="429">
        <v>430100</v>
      </c>
      <c r="B129" s="431" t="s">
        <v>335</v>
      </c>
      <c r="C129" s="277"/>
      <c r="D129" s="277"/>
      <c r="E129" s="277"/>
      <c r="F129" s="277"/>
    </row>
    <row r="130" spans="1:6" ht="20.100000000000001" customHeight="1">
      <c r="A130" s="696">
        <v>100</v>
      </c>
      <c r="B130" s="411" t="s">
        <v>871</v>
      </c>
      <c r="C130" s="269"/>
      <c r="D130" s="269"/>
      <c r="E130" s="269"/>
      <c r="F130" s="277">
        <f>+D130-E130</f>
        <v>0</v>
      </c>
    </row>
    <row r="131" spans="1:6" ht="20.100000000000001" customHeight="1">
      <c r="A131" s="696" t="s">
        <v>191</v>
      </c>
      <c r="B131" s="411" t="s">
        <v>872</v>
      </c>
      <c r="C131" s="269"/>
      <c r="D131" s="269"/>
      <c r="E131" s="269"/>
      <c r="F131" s="277">
        <f>+D131-E131</f>
        <v>0</v>
      </c>
    </row>
    <row r="132" spans="1:6" ht="20.100000000000001" customHeight="1">
      <c r="A132" s="696">
        <v>900</v>
      </c>
      <c r="B132" s="411" t="s">
        <v>176</v>
      </c>
      <c r="C132" s="269"/>
      <c r="D132" s="269"/>
      <c r="E132" s="269"/>
      <c r="F132" s="277">
        <f>+D132-E132</f>
        <v>0</v>
      </c>
    </row>
    <row r="133" spans="1:6" ht="20.100000000000001" customHeight="1">
      <c r="A133" s="429">
        <v>430200</v>
      </c>
      <c r="B133" s="431" t="s">
        <v>336</v>
      </c>
      <c r="C133" s="277"/>
      <c r="D133" s="277"/>
      <c r="E133" s="277"/>
      <c r="F133" s="277"/>
    </row>
    <row r="134" spans="1:6" ht="20.100000000000001" customHeight="1">
      <c r="A134" s="696">
        <v>100</v>
      </c>
      <c r="B134" s="411" t="s">
        <v>871</v>
      </c>
      <c r="C134" s="269"/>
      <c r="D134" s="269"/>
      <c r="E134" s="269"/>
      <c r="F134" s="277">
        <f>+D134-E134</f>
        <v>0</v>
      </c>
    </row>
    <row r="135" spans="1:6" ht="20.100000000000001" customHeight="1">
      <c r="A135" s="696" t="s">
        <v>191</v>
      </c>
      <c r="B135" s="411" t="s">
        <v>872</v>
      </c>
      <c r="C135" s="269">
        <v>5000</v>
      </c>
      <c r="D135" s="269">
        <v>5000</v>
      </c>
      <c r="E135" s="269">
        <v>3031.36</v>
      </c>
      <c r="F135" s="277">
        <f>+D135-E135</f>
        <v>1968.6399999999999</v>
      </c>
    </row>
    <row r="136" spans="1:6" ht="20.100000000000001" customHeight="1">
      <c r="A136" s="696">
        <v>900</v>
      </c>
      <c r="B136" s="411" t="s">
        <v>176</v>
      </c>
      <c r="C136" s="269">
        <v>30500</v>
      </c>
      <c r="D136" s="269">
        <v>30500</v>
      </c>
      <c r="E136" s="269">
        <v>28634.59</v>
      </c>
      <c r="F136" s="277">
        <f>+D136-E136</f>
        <v>1865.4099999999999</v>
      </c>
    </row>
    <row r="137" spans="1:6" ht="20.100000000000001" customHeight="1">
      <c r="A137" s="429">
        <v>430300</v>
      </c>
      <c r="B137" s="431" t="s">
        <v>337</v>
      </c>
      <c r="C137" s="277"/>
      <c r="D137" s="277"/>
      <c r="E137" s="277"/>
      <c r="F137" s="277"/>
    </row>
    <row r="138" spans="1:6" ht="20.100000000000001" customHeight="1">
      <c r="A138" s="696">
        <v>100</v>
      </c>
      <c r="B138" s="411" t="s">
        <v>871</v>
      </c>
      <c r="C138" s="269"/>
      <c r="D138" s="269"/>
      <c r="E138" s="269"/>
      <c r="F138" s="277">
        <f>+D138-E138</f>
        <v>0</v>
      </c>
    </row>
    <row r="139" spans="1:6" ht="20.100000000000001" customHeight="1">
      <c r="A139" s="696" t="s">
        <v>191</v>
      </c>
      <c r="B139" s="411" t="s">
        <v>872</v>
      </c>
      <c r="C139" s="269"/>
      <c r="D139" s="269"/>
      <c r="E139" s="269"/>
      <c r="F139" s="277">
        <f>+D139-E139</f>
        <v>0</v>
      </c>
    </row>
    <row r="140" spans="1:6" ht="20.100000000000001" customHeight="1">
      <c r="A140" s="696">
        <v>900</v>
      </c>
      <c r="B140" s="411" t="s">
        <v>176</v>
      </c>
      <c r="C140" s="269"/>
      <c r="D140" s="269"/>
      <c r="E140" s="269"/>
      <c r="F140" s="277">
        <f>+D140-E140</f>
        <v>0</v>
      </c>
    </row>
    <row r="141" spans="1:6" ht="20.100000000000001" customHeight="1">
      <c r="A141" s="429">
        <v>430400</v>
      </c>
      <c r="B141" s="431" t="s">
        <v>338</v>
      </c>
      <c r="C141" s="277"/>
      <c r="D141" s="277"/>
      <c r="E141" s="277"/>
      <c r="F141" s="277"/>
    </row>
    <row r="142" spans="1:6" ht="20.100000000000001" customHeight="1">
      <c r="A142" s="696">
        <v>100</v>
      </c>
      <c r="B142" s="411" t="s">
        <v>871</v>
      </c>
      <c r="C142" s="269"/>
      <c r="D142" s="269"/>
      <c r="E142" s="269"/>
      <c r="F142" s="277">
        <f>+D142-E142</f>
        <v>0</v>
      </c>
    </row>
    <row r="143" spans="1:6" ht="20.100000000000001" customHeight="1">
      <c r="A143" s="696" t="s">
        <v>191</v>
      </c>
      <c r="B143" s="411" t="s">
        <v>872</v>
      </c>
      <c r="C143" s="269"/>
      <c r="D143" s="269"/>
      <c r="E143" s="269"/>
      <c r="F143" s="277">
        <f>+D143-E143</f>
        <v>0</v>
      </c>
    </row>
    <row r="144" spans="1:6" ht="20.100000000000001" customHeight="1">
      <c r="A144" s="696">
        <v>900</v>
      </c>
      <c r="B144" s="411" t="s">
        <v>176</v>
      </c>
      <c r="C144" s="269"/>
      <c r="D144" s="269"/>
      <c r="E144" s="269"/>
      <c r="F144" s="277">
        <f>+D144-E144</f>
        <v>0</v>
      </c>
    </row>
    <row r="145" spans="1:6" ht="20.100000000000001" customHeight="1">
      <c r="A145" s="429">
        <v>430500</v>
      </c>
      <c r="B145" s="431" t="s">
        <v>339</v>
      </c>
      <c r="C145" s="277"/>
      <c r="D145" s="277"/>
      <c r="E145" s="277"/>
      <c r="F145" s="277"/>
    </row>
    <row r="146" spans="1:6" ht="20.100000000000001" customHeight="1">
      <c r="A146" s="696">
        <v>100</v>
      </c>
      <c r="B146" s="411" t="s">
        <v>871</v>
      </c>
      <c r="C146" s="269"/>
      <c r="D146" s="269"/>
      <c r="E146" s="269"/>
      <c r="F146" s="277">
        <f>+D146-E146</f>
        <v>0</v>
      </c>
    </row>
    <row r="147" spans="1:6" ht="20.100000000000001" customHeight="1">
      <c r="A147" s="696" t="s">
        <v>191</v>
      </c>
      <c r="B147" s="411" t="s">
        <v>872</v>
      </c>
      <c r="C147" s="269"/>
      <c r="D147" s="269"/>
      <c r="E147" s="269"/>
      <c r="F147" s="277">
        <f>+D147-E147</f>
        <v>0</v>
      </c>
    </row>
    <row r="148" spans="1:6" ht="20.100000000000001" customHeight="1">
      <c r="A148" s="696">
        <v>900</v>
      </c>
      <c r="B148" s="411" t="s">
        <v>176</v>
      </c>
      <c r="C148" s="269"/>
      <c r="D148" s="269"/>
      <c r="E148" s="269"/>
      <c r="F148" s="277">
        <f>+D148-E148</f>
        <v>0</v>
      </c>
    </row>
    <row r="149" spans="1:6" ht="20.100000000000001" customHeight="1">
      <c r="A149" s="429">
        <v>430600</v>
      </c>
      <c r="B149" s="431" t="s">
        <v>340</v>
      </c>
      <c r="C149" s="277"/>
      <c r="D149" s="277"/>
      <c r="E149" s="277"/>
      <c r="F149" s="277"/>
    </row>
    <row r="150" spans="1:6" ht="20.100000000000001" customHeight="1">
      <c r="A150" s="696">
        <v>100</v>
      </c>
      <c r="B150" s="411" t="s">
        <v>871</v>
      </c>
      <c r="C150" s="269"/>
      <c r="D150" s="269"/>
      <c r="E150" s="269"/>
      <c r="F150" s="277">
        <f>+D150-E150</f>
        <v>0</v>
      </c>
    </row>
    <row r="151" spans="1:6" ht="20.100000000000001" customHeight="1">
      <c r="A151" s="696" t="s">
        <v>191</v>
      </c>
      <c r="B151" s="411" t="s">
        <v>872</v>
      </c>
      <c r="C151" s="269"/>
      <c r="D151" s="269"/>
      <c r="E151" s="269"/>
      <c r="F151" s="277">
        <f>+D151-E151</f>
        <v>0</v>
      </c>
    </row>
    <row r="152" spans="1:6" ht="20.100000000000001" customHeight="1">
      <c r="A152" s="696">
        <v>900</v>
      </c>
      <c r="B152" s="411" t="s">
        <v>176</v>
      </c>
      <c r="C152" s="269"/>
      <c r="D152" s="269"/>
      <c r="E152" s="269"/>
      <c r="F152" s="277">
        <f>+D152-E152</f>
        <v>0</v>
      </c>
    </row>
    <row r="153" spans="1:6" ht="20.100000000000001" customHeight="1">
      <c r="A153" s="429">
        <v>430800</v>
      </c>
      <c r="B153" s="431" t="s">
        <v>341</v>
      </c>
      <c r="C153" s="277"/>
      <c r="D153" s="277"/>
      <c r="E153" s="277"/>
      <c r="F153" s="277"/>
    </row>
    <row r="154" spans="1:6" ht="20.100000000000001" customHeight="1">
      <c r="A154" s="696">
        <v>100</v>
      </c>
      <c r="B154" s="411" t="s">
        <v>871</v>
      </c>
      <c r="C154" s="269"/>
      <c r="D154" s="269"/>
      <c r="E154" s="269"/>
      <c r="F154" s="277">
        <f>+D154-E154</f>
        <v>0</v>
      </c>
    </row>
    <row r="155" spans="1:6" ht="20.100000000000001" customHeight="1">
      <c r="A155" s="696" t="s">
        <v>191</v>
      </c>
      <c r="B155" s="411" t="s">
        <v>872</v>
      </c>
      <c r="C155" s="269"/>
      <c r="D155" s="269"/>
      <c r="E155" s="269"/>
      <c r="F155" s="277">
        <f>+D155-E155</f>
        <v>0</v>
      </c>
    </row>
    <row r="156" spans="1:6" ht="20.100000000000001" customHeight="1">
      <c r="A156" s="696">
        <v>900</v>
      </c>
      <c r="B156" s="411" t="s">
        <v>176</v>
      </c>
      <c r="C156" s="269"/>
      <c r="D156" s="269"/>
      <c r="E156" s="269"/>
      <c r="F156" s="277">
        <f>+D156-E156</f>
        <v>0</v>
      </c>
    </row>
    <row r="157" spans="1:6" ht="20.100000000000001" customHeight="1">
      <c r="A157" s="429">
        <v>430900</v>
      </c>
      <c r="B157" s="431" t="s">
        <v>628</v>
      </c>
      <c r="C157" s="277"/>
      <c r="D157" s="277"/>
      <c r="E157" s="277"/>
      <c r="F157" s="277"/>
    </row>
    <row r="158" spans="1:6" ht="20.100000000000001" customHeight="1">
      <c r="A158" s="696">
        <v>100</v>
      </c>
      <c r="B158" s="411" t="s">
        <v>871</v>
      </c>
      <c r="C158" s="269"/>
      <c r="D158" s="269"/>
      <c r="E158" s="269"/>
      <c r="F158" s="277">
        <f>+D158-E158</f>
        <v>0</v>
      </c>
    </row>
    <row r="159" spans="1:6" ht="20.100000000000001" customHeight="1">
      <c r="A159" s="696" t="s">
        <v>191</v>
      </c>
      <c r="B159" s="411" t="s">
        <v>872</v>
      </c>
      <c r="C159" s="269"/>
      <c r="D159" s="269"/>
      <c r="E159" s="269"/>
      <c r="F159" s="277">
        <f>+D159-E159</f>
        <v>0</v>
      </c>
    </row>
    <row r="160" spans="1:6" ht="20.100000000000001" customHeight="1">
      <c r="A160" s="696">
        <v>900</v>
      </c>
      <c r="B160" s="411" t="s">
        <v>176</v>
      </c>
      <c r="C160" s="269"/>
      <c r="D160" s="269"/>
      <c r="E160" s="269"/>
      <c r="F160" s="277">
        <f>+D160-E160</f>
        <v>0</v>
      </c>
    </row>
    <row r="161" spans="1:6" ht="20.100000000000001" customHeight="1">
      <c r="A161" s="429">
        <v>431100</v>
      </c>
      <c r="B161" s="431" t="s">
        <v>342</v>
      </c>
      <c r="C161" s="277"/>
      <c r="D161" s="277"/>
      <c r="E161" s="277"/>
      <c r="F161" s="277"/>
    </row>
    <row r="162" spans="1:6" ht="20.100000000000001" customHeight="1">
      <c r="A162" s="696">
        <v>100</v>
      </c>
      <c r="B162" s="411" t="s">
        <v>871</v>
      </c>
      <c r="C162" s="269"/>
      <c r="D162" s="269"/>
      <c r="E162" s="269"/>
      <c r="F162" s="277">
        <f>+D162-E162</f>
        <v>0</v>
      </c>
    </row>
    <row r="163" spans="1:6" ht="20.100000000000001" customHeight="1">
      <c r="A163" s="696" t="s">
        <v>191</v>
      </c>
      <c r="B163" s="411" t="s">
        <v>872</v>
      </c>
      <c r="C163" s="269"/>
      <c r="D163" s="269"/>
      <c r="E163" s="269"/>
      <c r="F163" s="277">
        <f>+D163-E163</f>
        <v>0</v>
      </c>
    </row>
    <row r="164" spans="1:6" ht="20.100000000000001" customHeight="1">
      <c r="A164" s="696">
        <v>900</v>
      </c>
      <c r="B164" s="411" t="s">
        <v>176</v>
      </c>
      <c r="C164" s="269"/>
      <c r="D164" s="269"/>
      <c r="E164" s="269"/>
      <c r="F164" s="277">
        <f>+D164-E164</f>
        <v>0</v>
      </c>
    </row>
    <row r="165" spans="1:6" ht="20.100000000000001" customHeight="1">
      <c r="A165" s="696"/>
      <c r="B165" s="411"/>
      <c r="C165" s="277"/>
      <c r="D165" s="277"/>
      <c r="E165" s="277"/>
      <c r="F165" s="277"/>
    </row>
    <row r="166" spans="1:6" ht="20.100000000000001" customHeight="1">
      <c r="A166" s="1667" t="s">
        <v>1325</v>
      </c>
      <c r="B166" s="1667"/>
      <c r="C166" s="1667"/>
      <c r="D166" s="1667"/>
      <c r="E166" s="1667"/>
      <c r="F166" s="1667"/>
    </row>
    <row r="167" spans="1:6" ht="20.100000000000001" customHeight="1">
      <c r="A167" s="429">
        <v>431300</v>
      </c>
      <c r="B167" s="431" t="s">
        <v>343</v>
      </c>
      <c r="C167" s="277"/>
      <c r="D167" s="277"/>
      <c r="E167" s="277"/>
      <c r="F167" s="277"/>
    </row>
    <row r="168" spans="1:6" ht="20.100000000000001" customHeight="1">
      <c r="A168" s="696">
        <v>100</v>
      </c>
      <c r="B168" s="411" t="s">
        <v>871</v>
      </c>
      <c r="C168" s="269">
        <v>27492</v>
      </c>
      <c r="D168" s="269">
        <v>27492</v>
      </c>
      <c r="E168" s="269">
        <v>27270.11</v>
      </c>
      <c r="F168" s="277">
        <f>+D168-E168</f>
        <v>221.88999999999942</v>
      </c>
    </row>
    <row r="169" spans="1:6" ht="20.100000000000001" customHeight="1">
      <c r="A169" s="696" t="s">
        <v>191</v>
      </c>
      <c r="B169" s="411" t="s">
        <v>872</v>
      </c>
      <c r="C169" s="269">
        <v>16200</v>
      </c>
      <c r="D169" s="269">
        <v>16200</v>
      </c>
      <c r="E169" s="269">
        <v>12860.1</v>
      </c>
      <c r="F169" s="277">
        <f>+D169-E169</f>
        <v>3339.8999999999996</v>
      </c>
    </row>
    <row r="170" spans="1:6" ht="20.100000000000001" customHeight="1">
      <c r="A170" s="696">
        <v>900</v>
      </c>
      <c r="B170" s="411" t="s">
        <v>176</v>
      </c>
      <c r="C170" s="269">
        <v>19500</v>
      </c>
      <c r="D170" s="269">
        <v>19500</v>
      </c>
      <c r="E170" s="269">
        <v>11777</v>
      </c>
      <c r="F170" s="277">
        <f>+D170-E170</f>
        <v>7723</v>
      </c>
    </row>
    <row r="171" spans="1:6" ht="20.100000000000001" customHeight="1">
      <c r="A171" s="429">
        <v>440000</v>
      </c>
      <c r="B171" s="431" t="s">
        <v>344</v>
      </c>
      <c r="C171" s="326"/>
      <c r="D171" s="326"/>
      <c r="E171" s="326"/>
      <c r="F171" s="326"/>
    </row>
    <row r="172" spans="1:6" ht="20.100000000000001" customHeight="1">
      <c r="A172" s="429">
        <v>440100</v>
      </c>
      <c r="B172" s="431" t="s">
        <v>192</v>
      </c>
      <c r="C172" s="326"/>
      <c r="D172" s="326"/>
      <c r="E172" s="326"/>
      <c r="F172" s="326"/>
    </row>
    <row r="173" spans="1:6" ht="20.100000000000001" customHeight="1">
      <c r="A173" s="696">
        <v>100</v>
      </c>
      <c r="B173" s="411" t="s">
        <v>871</v>
      </c>
      <c r="C173" s="269"/>
      <c r="D173" s="269"/>
      <c r="E173" s="269"/>
      <c r="F173" s="277">
        <f>+D173-E173</f>
        <v>0</v>
      </c>
    </row>
    <row r="174" spans="1:6" ht="20.100000000000001" customHeight="1">
      <c r="A174" s="696" t="s">
        <v>191</v>
      </c>
      <c r="B174" s="411" t="s">
        <v>872</v>
      </c>
      <c r="C174" s="269"/>
      <c r="D174" s="269"/>
      <c r="E174" s="269"/>
      <c r="F174" s="277">
        <f>+D174-E174</f>
        <v>0</v>
      </c>
    </row>
    <row r="175" spans="1:6" ht="20.100000000000001" customHeight="1">
      <c r="A175" s="696">
        <v>900</v>
      </c>
      <c r="B175" s="411" t="s">
        <v>176</v>
      </c>
      <c r="C175" s="269"/>
      <c r="D175" s="269"/>
      <c r="E175" s="269"/>
      <c r="F175" s="277">
        <f>+D175-E175</f>
        <v>0</v>
      </c>
    </row>
    <row r="176" spans="1:6" ht="20.100000000000001" customHeight="1">
      <c r="A176" s="429">
        <v>440200</v>
      </c>
      <c r="B176" s="431" t="s">
        <v>882</v>
      </c>
      <c r="C176" s="277"/>
      <c r="D176" s="277"/>
      <c r="E176" s="277"/>
      <c r="F176" s="277"/>
    </row>
    <row r="177" spans="1:6" ht="20.100000000000001" customHeight="1">
      <c r="A177" s="696">
        <v>100</v>
      </c>
      <c r="B177" s="411" t="s">
        <v>871</v>
      </c>
      <c r="C177" s="269"/>
      <c r="D177" s="269"/>
      <c r="E177" s="269"/>
      <c r="F177" s="277">
        <f>+D177-E177</f>
        <v>0</v>
      </c>
    </row>
    <row r="178" spans="1:6" ht="20.100000000000001" customHeight="1">
      <c r="A178" s="696" t="s">
        <v>191</v>
      </c>
      <c r="B178" s="411" t="s">
        <v>872</v>
      </c>
      <c r="C178" s="269"/>
      <c r="D178" s="269"/>
      <c r="E178" s="269"/>
      <c r="F178" s="277">
        <f>+D178-E178</f>
        <v>0</v>
      </c>
    </row>
    <row r="179" spans="1:6" ht="20.100000000000001" customHeight="1">
      <c r="A179" s="696">
        <v>900</v>
      </c>
      <c r="B179" s="411" t="s">
        <v>176</v>
      </c>
      <c r="C179" s="269"/>
      <c r="D179" s="269"/>
      <c r="E179" s="269"/>
      <c r="F179" s="277">
        <f>+D179-E179</f>
        <v>0</v>
      </c>
    </row>
    <row r="180" spans="1:6" ht="20.100000000000001" customHeight="1">
      <c r="A180" s="429">
        <v>440300</v>
      </c>
      <c r="B180" s="431" t="s">
        <v>883</v>
      </c>
      <c r="C180" s="277"/>
      <c r="D180" s="277"/>
      <c r="E180" s="277"/>
      <c r="F180" s="277"/>
    </row>
    <row r="181" spans="1:6" ht="20.100000000000001" customHeight="1">
      <c r="A181" s="696">
        <v>100</v>
      </c>
      <c r="B181" s="411" t="s">
        <v>871</v>
      </c>
      <c r="C181" s="269"/>
      <c r="D181" s="269"/>
      <c r="E181" s="269"/>
      <c r="F181" s="277">
        <f>+D181-E181</f>
        <v>0</v>
      </c>
    </row>
    <row r="182" spans="1:6" ht="20.100000000000001" customHeight="1">
      <c r="A182" s="696" t="s">
        <v>191</v>
      </c>
      <c r="B182" s="411" t="s">
        <v>872</v>
      </c>
      <c r="C182" s="269"/>
      <c r="D182" s="269"/>
      <c r="E182" s="269"/>
      <c r="F182" s="277">
        <f>+D182-E182</f>
        <v>0</v>
      </c>
    </row>
    <row r="183" spans="1:6" ht="20.100000000000001" customHeight="1">
      <c r="A183" s="696">
        <v>900</v>
      </c>
      <c r="B183" s="411" t="s">
        <v>176</v>
      </c>
      <c r="C183" s="269"/>
      <c r="D183" s="269"/>
      <c r="E183" s="269"/>
      <c r="F183" s="277">
        <f>+D183-E183</f>
        <v>0</v>
      </c>
    </row>
    <row r="184" spans="1:6" ht="20.100000000000001" customHeight="1">
      <c r="A184" s="429">
        <v>440400</v>
      </c>
      <c r="B184" s="431" t="s">
        <v>884</v>
      </c>
      <c r="C184" s="277"/>
      <c r="D184" s="277"/>
      <c r="E184" s="277"/>
      <c r="F184" s="277"/>
    </row>
    <row r="185" spans="1:6" ht="20.100000000000001" customHeight="1">
      <c r="A185" s="696">
        <v>100</v>
      </c>
      <c r="B185" s="411" t="s">
        <v>871</v>
      </c>
      <c r="C185" s="269"/>
      <c r="D185" s="269"/>
      <c r="E185" s="269"/>
      <c r="F185" s="277">
        <f>+D185-E185</f>
        <v>0</v>
      </c>
    </row>
    <row r="186" spans="1:6" ht="20.100000000000001" customHeight="1">
      <c r="A186" s="696" t="s">
        <v>191</v>
      </c>
      <c r="B186" s="411" t="s">
        <v>872</v>
      </c>
      <c r="C186" s="269"/>
      <c r="D186" s="269"/>
      <c r="E186" s="269"/>
      <c r="F186" s="277">
        <f>+D186-E186</f>
        <v>0</v>
      </c>
    </row>
    <row r="187" spans="1:6" ht="20.100000000000001" customHeight="1">
      <c r="A187" s="696">
        <v>900</v>
      </c>
      <c r="B187" s="411" t="s">
        <v>176</v>
      </c>
      <c r="C187" s="269"/>
      <c r="D187" s="269"/>
      <c r="E187" s="269"/>
      <c r="F187" s="277">
        <f>+D187-E187</f>
        <v>0</v>
      </c>
    </row>
    <row r="188" spans="1:6" ht="20.100000000000001" customHeight="1">
      <c r="A188" s="429">
        <v>440600</v>
      </c>
      <c r="B188" s="431" t="s">
        <v>648</v>
      </c>
      <c r="C188" s="277"/>
      <c r="D188" s="277"/>
      <c r="E188" s="277"/>
      <c r="F188" s="277"/>
    </row>
    <row r="189" spans="1:6" ht="20.100000000000001" customHeight="1">
      <c r="A189" s="696">
        <v>100</v>
      </c>
      <c r="B189" s="411" t="s">
        <v>871</v>
      </c>
      <c r="C189" s="269"/>
      <c r="D189" s="269"/>
      <c r="E189" s="269"/>
      <c r="F189" s="277">
        <f>+D189-E189</f>
        <v>0</v>
      </c>
    </row>
    <row r="190" spans="1:6" ht="20.100000000000001" customHeight="1">
      <c r="A190" s="696" t="s">
        <v>191</v>
      </c>
      <c r="B190" s="411" t="s">
        <v>872</v>
      </c>
      <c r="C190" s="269">
        <v>125</v>
      </c>
      <c r="D190" s="269">
        <v>125</v>
      </c>
      <c r="E190" s="269">
        <v>44.29</v>
      </c>
      <c r="F190" s="277">
        <f>+D190-E190</f>
        <v>80.710000000000008</v>
      </c>
    </row>
    <row r="191" spans="1:6" ht="20.100000000000001" customHeight="1">
      <c r="A191" s="696">
        <v>900</v>
      </c>
      <c r="B191" s="411" t="s">
        <v>176</v>
      </c>
      <c r="C191" s="269"/>
      <c r="D191" s="269"/>
      <c r="E191" s="269"/>
      <c r="F191" s="277">
        <f>+D191-E191</f>
        <v>0</v>
      </c>
    </row>
    <row r="192" spans="1:6" ht="20.100000000000001" customHeight="1">
      <c r="A192" s="429">
        <v>440700</v>
      </c>
      <c r="B192" s="431" t="s">
        <v>885</v>
      </c>
      <c r="C192" s="277"/>
      <c r="D192" s="277"/>
      <c r="E192" s="277"/>
      <c r="F192" s="277"/>
    </row>
    <row r="193" spans="1:6" ht="20.100000000000001" customHeight="1">
      <c r="A193" s="696">
        <v>100</v>
      </c>
      <c r="B193" s="411" t="s">
        <v>871</v>
      </c>
      <c r="C193" s="269"/>
      <c r="D193" s="269"/>
      <c r="E193" s="269"/>
      <c r="F193" s="277">
        <f>+D193-E193</f>
        <v>0</v>
      </c>
    </row>
    <row r="194" spans="1:6" ht="20.100000000000001" customHeight="1">
      <c r="A194" s="696" t="s">
        <v>191</v>
      </c>
      <c r="B194" s="411" t="s">
        <v>872</v>
      </c>
      <c r="C194" s="269"/>
      <c r="D194" s="269"/>
      <c r="E194" s="269"/>
      <c r="F194" s="277">
        <f>+D194-E194</f>
        <v>0</v>
      </c>
    </row>
    <row r="195" spans="1:6" ht="20.100000000000001" customHeight="1">
      <c r="A195" s="696">
        <v>900</v>
      </c>
      <c r="B195" s="411" t="s">
        <v>176</v>
      </c>
      <c r="C195" s="269"/>
      <c r="D195" s="269"/>
      <c r="E195" s="269"/>
      <c r="F195" s="277">
        <f>+D195-E195</f>
        <v>0</v>
      </c>
    </row>
    <row r="196" spans="1:6" ht="20.100000000000001" customHeight="1">
      <c r="A196" s="429">
        <v>450000</v>
      </c>
      <c r="B196" s="431" t="s">
        <v>886</v>
      </c>
      <c r="C196" s="277"/>
      <c r="D196" s="277"/>
      <c r="E196" s="277"/>
      <c r="F196" s="277"/>
    </row>
    <row r="197" spans="1:6" ht="20.100000000000001" customHeight="1">
      <c r="A197" s="429">
        <v>450100</v>
      </c>
      <c r="B197" s="431" t="s">
        <v>887</v>
      </c>
      <c r="C197" s="277"/>
      <c r="D197" s="277"/>
      <c r="E197" s="277"/>
      <c r="F197" s="277"/>
    </row>
    <row r="198" spans="1:6" ht="20.100000000000001" customHeight="1">
      <c r="A198" s="696">
        <v>100</v>
      </c>
      <c r="B198" s="411" t="s">
        <v>871</v>
      </c>
      <c r="C198" s="269"/>
      <c r="D198" s="269"/>
      <c r="E198" s="269"/>
      <c r="F198" s="277">
        <f>+D198-E198</f>
        <v>0</v>
      </c>
    </row>
    <row r="199" spans="1:6" ht="20.100000000000001" customHeight="1">
      <c r="A199" s="696" t="s">
        <v>191</v>
      </c>
      <c r="B199" s="411" t="s">
        <v>872</v>
      </c>
      <c r="C199" s="269"/>
      <c r="D199" s="269"/>
      <c r="E199" s="269"/>
      <c r="F199" s="277">
        <f>+D199-E199</f>
        <v>0</v>
      </c>
    </row>
    <row r="200" spans="1:6" ht="20.100000000000001" customHeight="1">
      <c r="A200" s="696">
        <v>900</v>
      </c>
      <c r="B200" s="411" t="s">
        <v>176</v>
      </c>
      <c r="C200" s="269"/>
      <c r="D200" s="269"/>
      <c r="E200" s="269"/>
      <c r="F200" s="277">
        <f>+D200-E200</f>
        <v>0</v>
      </c>
    </row>
    <row r="201" spans="1:6" ht="20.100000000000001" customHeight="1">
      <c r="A201" s="429">
        <v>450200</v>
      </c>
      <c r="B201" s="431" t="s">
        <v>888</v>
      </c>
      <c r="C201" s="277"/>
      <c r="D201" s="277"/>
      <c r="E201" s="277"/>
      <c r="F201" s="277"/>
    </row>
    <row r="202" spans="1:6" ht="20.100000000000001" customHeight="1">
      <c r="A202" s="696">
        <v>100</v>
      </c>
      <c r="B202" s="411" t="s">
        <v>871</v>
      </c>
      <c r="C202" s="269"/>
      <c r="D202" s="269"/>
      <c r="E202" s="269"/>
      <c r="F202" s="277">
        <f>+D202-E202</f>
        <v>0</v>
      </c>
    </row>
    <row r="203" spans="1:6" ht="20.100000000000001" customHeight="1">
      <c r="A203" s="696" t="s">
        <v>191</v>
      </c>
      <c r="B203" s="411" t="s">
        <v>872</v>
      </c>
      <c r="C203" s="269"/>
      <c r="D203" s="269"/>
      <c r="E203" s="269"/>
      <c r="F203" s="277">
        <f>+D203-E203</f>
        <v>0</v>
      </c>
    </row>
    <row r="204" spans="1:6" ht="20.100000000000001" customHeight="1">
      <c r="A204" s="696">
        <v>900</v>
      </c>
      <c r="B204" s="411" t="s">
        <v>176</v>
      </c>
      <c r="C204" s="269"/>
      <c r="D204" s="269"/>
      <c r="E204" s="269"/>
      <c r="F204" s="277">
        <f>+D204-E204</f>
        <v>0</v>
      </c>
    </row>
    <row r="205" spans="1:6" ht="20.100000000000001" customHeight="1">
      <c r="A205" s="429">
        <v>450300</v>
      </c>
      <c r="B205" s="431" t="s">
        <v>889</v>
      </c>
      <c r="C205" s="277"/>
      <c r="D205" s="277"/>
      <c r="E205" s="277"/>
      <c r="F205" s="277"/>
    </row>
    <row r="206" spans="1:6" ht="20.100000000000001" customHeight="1">
      <c r="A206" s="696">
        <v>100</v>
      </c>
      <c r="B206" s="411" t="s">
        <v>871</v>
      </c>
      <c r="C206" s="269"/>
      <c r="D206" s="269"/>
      <c r="E206" s="269"/>
      <c r="F206" s="277">
        <f>+D206-E206</f>
        <v>0</v>
      </c>
    </row>
    <row r="207" spans="1:6" ht="20.100000000000001" customHeight="1">
      <c r="A207" s="696" t="s">
        <v>191</v>
      </c>
      <c r="B207" s="411" t="s">
        <v>872</v>
      </c>
      <c r="C207" s="269"/>
      <c r="D207" s="269"/>
      <c r="E207" s="269"/>
      <c r="F207" s="277">
        <f>+D207-E207</f>
        <v>0</v>
      </c>
    </row>
    <row r="208" spans="1:6" ht="20.100000000000001" customHeight="1">
      <c r="A208" s="696">
        <v>900</v>
      </c>
      <c r="B208" s="411" t="s">
        <v>176</v>
      </c>
      <c r="C208" s="269"/>
      <c r="D208" s="269"/>
      <c r="E208" s="269"/>
      <c r="F208" s="277">
        <f>+D208-E208</f>
        <v>0</v>
      </c>
    </row>
    <row r="209" spans="1:6" ht="20.100000000000001" customHeight="1">
      <c r="A209" s="696"/>
      <c r="B209" s="411"/>
      <c r="C209" s="277"/>
      <c r="D209" s="277"/>
      <c r="E209" s="277"/>
      <c r="F209" s="277"/>
    </row>
    <row r="210" spans="1:6" ht="20.100000000000001" customHeight="1">
      <c r="A210" s="429">
        <v>450400</v>
      </c>
      <c r="B210" s="431" t="s">
        <v>890</v>
      </c>
      <c r="C210" s="277"/>
      <c r="D210" s="277"/>
      <c r="E210" s="277"/>
      <c r="F210" s="277"/>
    </row>
    <row r="211" spans="1:6" ht="20.100000000000001" customHeight="1">
      <c r="A211" s="696">
        <v>100</v>
      </c>
      <c r="B211" s="411" t="s">
        <v>871</v>
      </c>
      <c r="C211" s="269"/>
      <c r="D211" s="269"/>
      <c r="E211" s="269"/>
      <c r="F211" s="277">
        <f>+D211-E211</f>
        <v>0</v>
      </c>
    </row>
    <row r="212" spans="1:6" ht="20.100000000000001" customHeight="1">
      <c r="A212" s="696" t="s">
        <v>191</v>
      </c>
      <c r="B212" s="411" t="s">
        <v>872</v>
      </c>
      <c r="C212" s="269"/>
      <c r="D212" s="269"/>
      <c r="E212" s="269"/>
      <c r="F212" s="277">
        <f>+D212-E212</f>
        <v>0</v>
      </c>
    </row>
    <row r="213" spans="1:6" ht="20.100000000000001" customHeight="1">
      <c r="A213" s="696">
        <v>900</v>
      </c>
      <c r="B213" s="411" t="s">
        <v>176</v>
      </c>
      <c r="C213" s="269"/>
      <c r="D213" s="269"/>
      <c r="E213" s="269"/>
      <c r="F213" s="277">
        <f>+D213-E213</f>
        <v>0</v>
      </c>
    </row>
    <row r="214" spans="1:6" ht="20.100000000000001" customHeight="1">
      <c r="A214" s="696"/>
      <c r="B214" s="411"/>
      <c r="C214" s="326"/>
      <c r="D214" s="326"/>
      <c r="E214" s="326"/>
      <c r="F214" s="326"/>
    </row>
    <row r="215" spans="1:6" ht="20.100000000000001" customHeight="1">
      <c r="A215" s="719" t="s">
        <v>1326</v>
      </c>
      <c r="B215" s="412"/>
      <c r="C215" s="412"/>
      <c r="D215" s="412"/>
      <c r="E215" s="412"/>
      <c r="F215" s="412"/>
    </row>
    <row r="216" spans="1:6" ht="20.100000000000001" customHeight="1">
      <c r="A216" s="696"/>
      <c r="B216" s="411"/>
      <c r="C216" s="411"/>
      <c r="D216" s="411"/>
      <c r="E216" s="411"/>
      <c r="F216" s="411"/>
    </row>
    <row r="217" spans="1:6" ht="20.100000000000001" customHeight="1">
      <c r="A217" s="429">
        <v>460000</v>
      </c>
      <c r="B217" s="431" t="s">
        <v>873</v>
      </c>
      <c r="C217" s="326"/>
      <c r="D217" s="326"/>
      <c r="E217" s="326"/>
      <c r="F217" s="326"/>
    </row>
    <row r="218" spans="1:6" ht="20.100000000000001" customHeight="1">
      <c r="A218" s="429">
        <v>460100</v>
      </c>
      <c r="B218" s="431" t="s">
        <v>891</v>
      </c>
      <c r="C218" s="326"/>
      <c r="D218" s="326"/>
      <c r="E218" s="326"/>
      <c r="F218" s="326"/>
    </row>
    <row r="219" spans="1:6" ht="20.100000000000001" customHeight="1">
      <c r="A219" s="696">
        <v>100</v>
      </c>
      <c r="B219" s="411" t="s">
        <v>871</v>
      </c>
      <c r="C219" s="269"/>
      <c r="D219" s="269"/>
      <c r="E219" s="269"/>
      <c r="F219" s="277">
        <f>+D219-E219</f>
        <v>0</v>
      </c>
    </row>
    <row r="220" spans="1:6" ht="20.100000000000001" customHeight="1">
      <c r="A220" s="696" t="s">
        <v>191</v>
      </c>
      <c r="B220" s="411" t="s">
        <v>872</v>
      </c>
      <c r="C220" s="269"/>
      <c r="D220" s="269"/>
      <c r="E220" s="269"/>
      <c r="F220" s="277">
        <f>+D220-E220</f>
        <v>0</v>
      </c>
    </row>
    <row r="221" spans="1:6" ht="20.100000000000001" customHeight="1">
      <c r="A221" s="696">
        <v>900</v>
      </c>
      <c r="B221" s="411" t="s">
        <v>176</v>
      </c>
      <c r="C221" s="269"/>
      <c r="D221" s="269"/>
      <c r="E221" s="269"/>
      <c r="F221" s="277">
        <f>+D221-E221</f>
        <v>0</v>
      </c>
    </row>
    <row r="222" spans="1:6" ht="20.100000000000001" customHeight="1">
      <c r="A222" s="429">
        <v>460200</v>
      </c>
      <c r="B222" s="431" t="s">
        <v>892</v>
      </c>
      <c r="C222" s="277"/>
      <c r="D222" s="277"/>
      <c r="E222" s="277"/>
      <c r="F222" s="277"/>
    </row>
    <row r="223" spans="1:6" ht="20.100000000000001" customHeight="1">
      <c r="A223" s="696">
        <v>100</v>
      </c>
      <c r="B223" s="411" t="s">
        <v>871</v>
      </c>
      <c r="C223" s="269"/>
      <c r="D223" s="269"/>
      <c r="E223" s="269"/>
      <c r="F223" s="277">
        <f>+D223-E223</f>
        <v>0</v>
      </c>
    </row>
    <row r="224" spans="1:6" ht="20.100000000000001" customHeight="1">
      <c r="A224" s="696" t="s">
        <v>191</v>
      </c>
      <c r="B224" s="411" t="s">
        <v>872</v>
      </c>
      <c r="C224" s="269"/>
      <c r="D224" s="269"/>
      <c r="E224" s="269"/>
      <c r="F224" s="277">
        <f>+D224-E224</f>
        <v>0</v>
      </c>
    </row>
    <row r="225" spans="1:6" ht="20.100000000000001" customHeight="1">
      <c r="A225" s="696">
        <v>900</v>
      </c>
      <c r="B225" s="411" t="s">
        <v>176</v>
      </c>
      <c r="C225" s="269"/>
      <c r="D225" s="269"/>
      <c r="E225" s="269"/>
      <c r="F225" s="277">
        <f>+D225-E225</f>
        <v>0</v>
      </c>
    </row>
    <row r="226" spans="1:6" ht="20.100000000000001" customHeight="1">
      <c r="A226" s="429">
        <v>460300</v>
      </c>
      <c r="B226" s="431" t="s">
        <v>893</v>
      </c>
      <c r="C226" s="277"/>
      <c r="D226" s="277"/>
      <c r="E226" s="277"/>
      <c r="F226" s="277"/>
    </row>
    <row r="227" spans="1:6" ht="20.100000000000001" customHeight="1">
      <c r="A227" s="696">
        <v>100</v>
      </c>
      <c r="B227" s="411" t="s">
        <v>871</v>
      </c>
      <c r="C227" s="269"/>
      <c r="D227" s="269"/>
      <c r="E227" s="269"/>
      <c r="F227" s="277">
        <f>+D227-E227</f>
        <v>0</v>
      </c>
    </row>
    <row r="228" spans="1:6" ht="20.100000000000001" customHeight="1">
      <c r="A228" s="696" t="s">
        <v>191</v>
      </c>
      <c r="B228" s="411" t="s">
        <v>872</v>
      </c>
      <c r="C228" s="269"/>
      <c r="D228" s="269"/>
      <c r="E228" s="269"/>
      <c r="F228" s="277">
        <f>+D228-E228</f>
        <v>0</v>
      </c>
    </row>
    <row r="229" spans="1:6" ht="20.100000000000001" customHeight="1">
      <c r="A229" s="696">
        <v>900</v>
      </c>
      <c r="B229" s="411" t="s">
        <v>176</v>
      </c>
      <c r="C229" s="269"/>
      <c r="D229" s="269"/>
      <c r="E229" s="269"/>
      <c r="F229" s="277">
        <f>+D229-E229</f>
        <v>0</v>
      </c>
    </row>
    <row r="230" spans="1:6" ht="20.100000000000001" customHeight="1">
      <c r="A230" s="429">
        <v>460400</v>
      </c>
      <c r="B230" s="431" t="s">
        <v>894</v>
      </c>
      <c r="C230" s="277"/>
      <c r="D230" s="277"/>
      <c r="E230" s="277"/>
      <c r="F230" s="277"/>
    </row>
    <row r="231" spans="1:6" ht="20.100000000000001" customHeight="1">
      <c r="A231" s="696">
        <v>100</v>
      </c>
      <c r="B231" s="411" t="s">
        <v>871</v>
      </c>
      <c r="C231" s="269">
        <v>10773</v>
      </c>
      <c r="D231" s="269">
        <v>10773</v>
      </c>
      <c r="E231" s="269">
        <v>10349.39</v>
      </c>
      <c r="F231" s="277">
        <f>+D231-E231</f>
        <v>423.61000000000058</v>
      </c>
    </row>
    <row r="232" spans="1:6" ht="20.100000000000001" customHeight="1">
      <c r="A232" s="696" t="s">
        <v>191</v>
      </c>
      <c r="B232" s="411" t="s">
        <v>872</v>
      </c>
      <c r="C232" s="269">
        <v>16600</v>
      </c>
      <c r="D232" s="269">
        <v>16600</v>
      </c>
      <c r="E232" s="269">
        <v>13842.34</v>
      </c>
      <c r="F232" s="277">
        <f>+D232-E232</f>
        <v>2757.66</v>
      </c>
    </row>
    <row r="233" spans="1:6" ht="20.100000000000001" customHeight="1">
      <c r="A233" s="696">
        <v>900</v>
      </c>
      <c r="B233" s="411" t="s">
        <v>176</v>
      </c>
      <c r="C233" s="269">
        <v>0</v>
      </c>
      <c r="D233" s="269">
        <v>0</v>
      </c>
      <c r="E233" s="269">
        <v>29850</v>
      </c>
      <c r="F233" s="277">
        <f>+D233-E233</f>
        <v>-29850</v>
      </c>
    </row>
    <row r="234" spans="1:6" ht="20.100000000000001" customHeight="1">
      <c r="A234" s="429">
        <v>460440</v>
      </c>
      <c r="B234" s="431" t="s">
        <v>895</v>
      </c>
      <c r="C234" s="277"/>
      <c r="D234" s="277"/>
      <c r="E234" s="277"/>
      <c r="F234" s="277"/>
    </row>
    <row r="235" spans="1:6" ht="20.100000000000001" customHeight="1">
      <c r="A235" s="696">
        <v>100</v>
      </c>
      <c r="B235" s="411" t="s">
        <v>871</v>
      </c>
      <c r="C235" s="269"/>
      <c r="D235" s="269"/>
      <c r="E235" s="269"/>
      <c r="F235" s="277">
        <f>+D235-E235</f>
        <v>0</v>
      </c>
    </row>
    <row r="236" spans="1:6" ht="20.100000000000001" customHeight="1">
      <c r="A236" s="696" t="s">
        <v>191</v>
      </c>
      <c r="B236" s="411" t="s">
        <v>872</v>
      </c>
      <c r="C236" s="269"/>
      <c r="D236" s="269"/>
      <c r="E236" s="269"/>
      <c r="F236" s="277">
        <f>+D236-E236</f>
        <v>0</v>
      </c>
    </row>
    <row r="237" spans="1:6" ht="20.100000000000001" customHeight="1">
      <c r="A237" s="696">
        <v>900</v>
      </c>
      <c r="B237" s="411" t="s">
        <v>176</v>
      </c>
      <c r="C237" s="269"/>
      <c r="D237" s="269"/>
      <c r="E237" s="269"/>
      <c r="F237" s="277">
        <f>+D237-E237</f>
        <v>0</v>
      </c>
    </row>
    <row r="238" spans="1:6" ht="20.100000000000001" customHeight="1">
      <c r="A238" s="429">
        <v>460450</v>
      </c>
      <c r="B238" s="431" t="s">
        <v>67</v>
      </c>
      <c r="C238" s="277"/>
      <c r="D238" s="277"/>
      <c r="E238" s="277"/>
      <c r="F238" s="277"/>
    </row>
    <row r="239" spans="1:6" ht="20.100000000000001" customHeight="1">
      <c r="A239" s="696">
        <v>100</v>
      </c>
      <c r="B239" s="411" t="s">
        <v>871</v>
      </c>
      <c r="C239" s="269"/>
      <c r="D239" s="269"/>
      <c r="E239" s="269"/>
      <c r="F239" s="277">
        <f>+D239-E239</f>
        <v>0</v>
      </c>
    </row>
    <row r="240" spans="1:6" ht="20.100000000000001" customHeight="1">
      <c r="A240" s="696" t="s">
        <v>191</v>
      </c>
      <c r="B240" s="411" t="s">
        <v>872</v>
      </c>
      <c r="C240" s="269">
        <v>750</v>
      </c>
      <c r="D240" s="269">
        <v>750</v>
      </c>
      <c r="E240" s="269">
        <v>561.37</v>
      </c>
      <c r="F240" s="277">
        <f>+D240-E240</f>
        <v>188.63</v>
      </c>
    </row>
    <row r="241" spans="1:6" ht="20.100000000000001" customHeight="1">
      <c r="A241" s="696">
        <v>900</v>
      </c>
      <c r="B241" s="411" t="s">
        <v>176</v>
      </c>
      <c r="C241" s="269"/>
      <c r="D241" s="269"/>
      <c r="E241" s="269"/>
      <c r="F241" s="277">
        <f>+D241-E241</f>
        <v>0</v>
      </c>
    </row>
    <row r="242" spans="1:6" ht="20.100000000000001" customHeight="1">
      <c r="A242" s="429">
        <v>470000</v>
      </c>
      <c r="B242" s="431" t="s">
        <v>68</v>
      </c>
      <c r="C242" s="277"/>
      <c r="D242" s="277"/>
      <c r="E242" s="277"/>
      <c r="F242" s="277"/>
    </row>
    <row r="243" spans="1:6" ht="20.100000000000001" customHeight="1">
      <c r="A243" s="429">
        <v>470100</v>
      </c>
      <c r="B243" s="431" t="s">
        <v>69</v>
      </c>
      <c r="C243" s="277"/>
      <c r="D243" s="277"/>
      <c r="E243" s="277"/>
      <c r="F243" s="277"/>
    </row>
    <row r="244" spans="1:6" ht="20.100000000000001" customHeight="1">
      <c r="A244" s="696">
        <v>100</v>
      </c>
      <c r="B244" s="411" t="s">
        <v>871</v>
      </c>
      <c r="C244" s="269"/>
      <c r="D244" s="269"/>
      <c r="E244" s="269"/>
      <c r="F244" s="277">
        <f>+D244-E244</f>
        <v>0</v>
      </c>
    </row>
    <row r="245" spans="1:6" ht="20.100000000000001" customHeight="1">
      <c r="A245" s="696" t="s">
        <v>191</v>
      </c>
      <c r="B245" s="411" t="s">
        <v>872</v>
      </c>
      <c r="C245" s="269"/>
      <c r="D245" s="269"/>
      <c r="E245" s="269"/>
      <c r="F245" s="277">
        <f>+D245-E245</f>
        <v>0</v>
      </c>
    </row>
    <row r="246" spans="1:6" ht="20.100000000000001" customHeight="1">
      <c r="A246" s="696">
        <v>900</v>
      </c>
      <c r="B246" s="411" t="s">
        <v>176</v>
      </c>
      <c r="C246" s="269"/>
      <c r="D246" s="269"/>
      <c r="E246" s="269"/>
      <c r="F246" s="277">
        <f>+D246-E246</f>
        <v>0</v>
      </c>
    </row>
    <row r="247" spans="1:6" ht="20.100000000000001" customHeight="1">
      <c r="A247" s="429">
        <v>470200</v>
      </c>
      <c r="B247" s="431" t="s">
        <v>70</v>
      </c>
      <c r="C247" s="277"/>
      <c r="D247" s="277"/>
      <c r="E247" s="277"/>
      <c r="F247" s="277"/>
    </row>
    <row r="248" spans="1:6" ht="20.100000000000001" customHeight="1">
      <c r="A248" s="696">
        <v>100</v>
      </c>
      <c r="B248" s="411" t="s">
        <v>871</v>
      </c>
      <c r="C248" s="269"/>
      <c r="D248" s="269"/>
      <c r="E248" s="269"/>
      <c r="F248" s="277">
        <f>+D248-E248</f>
        <v>0</v>
      </c>
    </row>
    <row r="249" spans="1:6" ht="20.100000000000001" customHeight="1">
      <c r="A249" s="696" t="s">
        <v>191</v>
      </c>
      <c r="B249" s="411" t="s">
        <v>872</v>
      </c>
      <c r="C249" s="269"/>
      <c r="D249" s="269"/>
      <c r="E249" s="269"/>
      <c r="F249" s="277">
        <f>+D249-E249</f>
        <v>0</v>
      </c>
    </row>
    <row r="250" spans="1:6" ht="20.100000000000001" customHeight="1">
      <c r="A250" s="696">
        <v>900</v>
      </c>
      <c r="B250" s="411" t="s">
        <v>176</v>
      </c>
      <c r="C250" s="269"/>
      <c r="D250" s="269"/>
      <c r="E250" s="269"/>
      <c r="F250" s="277">
        <f>+D250-E250</f>
        <v>0</v>
      </c>
    </row>
    <row r="251" spans="1:6" ht="20.100000000000001" customHeight="1">
      <c r="A251" s="429">
        <v>470300</v>
      </c>
      <c r="B251" s="431" t="s">
        <v>71</v>
      </c>
      <c r="C251" s="277"/>
      <c r="D251" s="277"/>
      <c r="E251" s="277"/>
      <c r="F251" s="277"/>
    </row>
    <row r="252" spans="1:6" ht="20.100000000000001" customHeight="1">
      <c r="A252" s="696">
        <v>100</v>
      </c>
      <c r="B252" s="411" t="s">
        <v>871</v>
      </c>
      <c r="C252" s="269"/>
      <c r="D252" s="269"/>
      <c r="E252" s="269"/>
      <c r="F252" s="277">
        <f>+D252-E252</f>
        <v>0</v>
      </c>
    </row>
    <row r="253" spans="1:6" ht="20.100000000000001" customHeight="1">
      <c r="A253" s="696" t="s">
        <v>191</v>
      </c>
      <c r="B253" s="411" t="s">
        <v>872</v>
      </c>
      <c r="C253" s="269"/>
      <c r="D253" s="269"/>
      <c r="E253" s="269"/>
      <c r="F253" s="277">
        <f>+D253-E253</f>
        <v>0</v>
      </c>
    </row>
    <row r="254" spans="1:6" ht="20.100000000000001" customHeight="1">
      <c r="A254" s="696">
        <v>900</v>
      </c>
      <c r="B254" s="411" t="s">
        <v>176</v>
      </c>
      <c r="C254" s="269"/>
      <c r="D254" s="269"/>
      <c r="E254" s="269"/>
      <c r="F254" s="277">
        <f>+D254-E254</f>
        <v>0</v>
      </c>
    </row>
    <row r="255" spans="1:6" ht="20.100000000000001" customHeight="1">
      <c r="A255" s="429">
        <v>470400</v>
      </c>
      <c r="B255" s="431" t="s">
        <v>72</v>
      </c>
      <c r="C255" s="277"/>
      <c r="D255" s="277"/>
      <c r="E255" s="277"/>
      <c r="F255" s="277"/>
    </row>
    <row r="256" spans="1:6" ht="20.100000000000001" customHeight="1">
      <c r="A256" s="696">
        <v>100</v>
      </c>
      <c r="B256" s="411" t="s">
        <v>871</v>
      </c>
      <c r="C256" s="269"/>
      <c r="D256" s="269"/>
      <c r="E256" s="269"/>
      <c r="F256" s="277">
        <f>+D256-E256</f>
        <v>0</v>
      </c>
    </row>
    <row r="257" spans="1:6" ht="20.100000000000001" customHeight="1">
      <c r="A257" s="696" t="s">
        <v>191</v>
      </c>
      <c r="B257" s="411" t="s">
        <v>872</v>
      </c>
      <c r="C257" s="269"/>
      <c r="D257" s="269"/>
      <c r="E257" s="269"/>
      <c r="F257" s="277">
        <f>+D257-E257</f>
        <v>0</v>
      </c>
    </row>
    <row r="258" spans="1:6" ht="20.100000000000001" customHeight="1">
      <c r="A258" s="696">
        <v>900</v>
      </c>
      <c r="B258" s="411" t="s">
        <v>176</v>
      </c>
      <c r="C258" s="269"/>
      <c r="D258" s="269"/>
      <c r="E258" s="269"/>
      <c r="F258" s="277">
        <f>+D258-E258</f>
        <v>0</v>
      </c>
    </row>
    <row r="259" spans="1:6" ht="20.100000000000001" customHeight="1">
      <c r="A259" s="696"/>
      <c r="B259" s="411"/>
      <c r="C259" s="326"/>
      <c r="D259" s="326"/>
      <c r="E259" s="326"/>
      <c r="F259" s="326"/>
    </row>
    <row r="260" spans="1:6" ht="20.100000000000001" customHeight="1">
      <c r="A260" s="719" t="s">
        <v>1327</v>
      </c>
      <c r="B260" s="412"/>
      <c r="C260" s="412"/>
      <c r="D260" s="412"/>
      <c r="E260" s="412"/>
      <c r="F260" s="412"/>
    </row>
    <row r="261" spans="1:6" ht="20.100000000000001" customHeight="1">
      <c r="A261" s="696"/>
      <c r="B261" s="411"/>
      <c r="C261" s="411"/>
      <c r="D261" s="411"/>
      <c r="E261" s="411"/>
      <c r="F261" s="411"/>
    </row>
    <row r="262" spans="1:6" ht="20.100000000000001" customHeight="1">
      <c r="A262" s="429">
        <v>480000</v>
      </c>
      <c r="B262" s="431" t="s">
        <v>73</v>
      </c>
      <c r="C262" s="326"/>
      <c r="D262" s="326"/>
      <c r="E262" s="326"/>
      <c r="F262" s="326"/>
    </row>
    <row r="263" spans="1:6" ht="20.100000000000001" customHeight="1">
      <c r="A263" s="429">
        <v>480100</v>
      </c>
      <c r="B263" s="431" t="s">
        <v>74</v>
      </c>
      <c r="C263" s="326"/>
      <c r="D263" s="326"/>
      <c r="E263" s="326"/>
      <c r="F263" s="326"/>
    </row>
    <row r="264" spans="1:6" ht="20.100000000000001" customHeight="1">
      <c r="A264" s="696">
        <v>100</v>
      </c>
      <c r="B264" s="411" t="s">
        <v>871</v>
      </c>
      <c r="C264" s="269"/>
      <c r="D264" s="269"/>
      <c r="E264" s="269"/>
      <c r="F264" s="277">
        <f>+D264-E264</f>
        <v>0</v>
      </c>
    </row>
    <row r="265" spans="1:6" ht="20.100000000000001" customHeight="1">
      <c r="A265" s="696" t="s">
        <v>191</v>
      </c>
      <c r="B265" s="411" t="s">
        <v>872</v>
      </c>
      <c r="C265" s="269"/>
      <c r="D265" s="269"/>
      <c r="E265" s="269"/>
      <c r="F265" s="277">
        <f>+D265-E265</f>
        <v>0</v>
      </c>
    </row>
    <row r="266" spans="1:6" ht="20.100000000000001" customHeight="1">
      <c r="A266" s="696">
        <v>900</v>
      </c>
      <c r="B266" s="411" t="s">
        <v>176</v>
      </c>
      <c r="C266" s="269"/>
      <c r="D266" s="269"/>
      <c r="E266" s="269"/>
      <c r="F266" s="277">
        <f>+D266-E266</f>
        <v>0</v>
      </c>
    </row>
    <row r="267" spans="1:6" ht="20.100000000000001" customHeight="1">
      <c r="A267" s="429">
        <v>480200</v>
      </c>
      <c r="B267" s="431" t="s">
        <v>75</v>
      </c>
      <c r="C267" s="277"/>
      <c r="D267" s="277"/>
      <c r="E267" s="277"/>
      <c r="F267" s="277"/>
    </row>
    <row r="268" spans="1:6" ht="20.100000000000001" customHeight="1">
      <c r="A268" s="696">
        <v>100</v>
      </c>
      <c r="B268" s="411" t="s">
        <v>871</v>
      </c>
      <c r="C268" s="269"/>
      <c r="D268" s="269"/>
      <c r="E268" s="269"/>
      <c r="F268" s="277">
        <f>+D268-E268</f>
        <v>0</v>
      </c>
    </row>
    <row r="269" spans="1:6" ht="20.100000000000001" customHeight="1">
      <c r="A269" s="696" t="s">
        <v>191</v>
      </c>
      <c r="B269" s="411" t="s">
        <v>872</v>
      </c>
      <c r="C269" s="269"/>
      <c r="D269" s="269"/>
      <c r="E269" s="269"/>
      <c r="F269" s="277">
        <f>+D269-E269</f>
        <v>0</v>
      </c>
    </row>
    <row r="270" spans="1:6" ht="20.100000000000001" customHeight="1">
      <c r="A270" s="696">
        <v>900</v>
      </c>
      <c r="B270" s="411" t="s">
        <v>176</v>
      </c>
      <c r="C270" s="269"/>
      <c r="D270" s="269"/>
      <c r="E270" s="269"/>
      <c r="F270" s="277">
        <f>+D270-E270</f>
        <v>0</v>
      </c>
    </row>
    <row r="271" spans="1:6" ht="20.100000000000001" customHeight="1">
      <c r="A271" s="429">
        <v>480300</v>
      </c>
      <c r="B271" s="431" t="s">
        <v>1155</v>
      </c>
      <c r="C271" s="277"/>
      <c r="D271" s="277"/>
      <c r="E271" s="277"/>
      <c r="F271" s="277"/>
    </row>
    <row r="272" spans="1:6" ht="20.100000000000001" customHeight="1">
      <c r="A272" s="696">
        <v>100</v>
      </c>
      <c r="B272" s="411" t="s">
        <v>871</v>
      </c>
      <c r="C272" s="269"/>
      <c r="D272" s="269"/>
      <c r="E272" s="269"/>
      <c r="F272" s="277">
        <f>+D272-E272</f>
        <v>0</v>
      </c>
    </row>
    <row r="273" spans="1:6" ht="20.100000000000001" customHeight="1">
      <c r="A273" s="696" t="s">
        <v>191</v>
      </c>
      <c r="B273" s="411" t="s">
        <v>872</v>
      </c>
      <c r="C273" s="269"/>
      <c r="D273" s="269"/>
      <c r="E273" s="269"/>
      <c r="F273" s="277">
        <f>+D273-E273</f>
        <v>0</v>
      </c>
    </row>
    <row r="274" spans="1:6" ht="20.100000000000001" customHeight="1">
      <c r="A274" s="696">
        <v>900</v>
      </c>
      <c r="B274" s="411" t="s">
        <v>176</v>
      </c>
      <c r="C274" s="269"/>
      <c r="D274" s="269"/>
      <c r="E274" s="269"/>
      <c r="F274" s="277">
        <f>+D274-E274</f>
        <v>0</v>
      </c>
    </row>
    <row r="275" spans="1:6" ht="20.100000000000001" customHeight="1">
      <c r="A275" s="429">
        <v>490000</v>
      </c>
      <c r="B275" s="431" t="s">
        <v>226</v>
      </c>
      <c r="C275" s="277"/>
      <c r="D275" s="277"/>
      <c r="E275" s="277"/>
      <c r="F275" s="277"/>
    </row>
    <row r="276" spans="1:6" ht="20.100000000000001" customHeight="1">
      <c r="A276" s="696">
        <v>610</v>
      </c>
      <c r="B276" s="411" t="s">
        <v>227</v>
      </c>
      <c r="C276" s="269"/>
      <c r="D276" s="269"/>
      <c r="E276" s="269">
        <v>6927.17</v>
      </c>
      <c r="F276" s="277">
        <f>+D276-E276</f>
        <v>-6927.17</v>
      </c>
    </row>
    <row r="277" spans="1:6" ht="20.100000000000001" customHeight="1">
      <c r="A277" s="696">
        <v>620</v>
      </c>
      <c r="B277" s="411" t="s">
        <v>228</v>
      </c>
      <c r="C277" s="269"/>
      <c r="D277" s="269"/>
      <c r="E277" s="269"/>
      <c r="F277" s="277">
        <f>+D277-E277</f>
        <v>0</v>
      </c>
    </row>
    <row r="278" spans="1:6" ht="20.100000000000001" customHeight="1" thickBot="1">
      <c r="A278" s="429">
        <v>510000</v>
      </c>
      <c r="B278" s="431" t="s">
        <v>214</v>
      </c>
      <c r="C278" s="271">
        <v>4100</v>
      </c>
      <c r="D278" s="271">
        <v>4100</v>
      </c>
      <c r="E278" s="271">
        <v>4144.6099999999997</v>
      </c>
      <c r="F278" s="278">
        <f>+D278-E278</f>
        <v>-44.609999999999673</v>
      </c>
    </row>
    <row r="279" spans="1:6" ht="20.100000000000001" customHeight="1" thickBot="1">
      <c r="A279" s="429"/>
      <c r="B279" s="430" t="s">
        <v>1156</v>
      </c>
      <c r="C279" s="278">
        <f>SUM(C45:C278)</f>
        <v>254955</v>
      </c>
      <c r="D279" s="278">
        <f>SUM(D45:D278)</f>
        <v>254955</v>
      </c>
      <c r="E279" s="278">
        <f>SUM(E45:E278)</f>
        <v>238944.47999999998</v>
      </c>
      <c r="F279" s="278">
        <f>SUM(F45:F278)</f>
        <v>16010.520000000015</v>
      </c>
    </row>
    <row r="280" spans="1:6" ht="20.100000000000001" customHeight="1" thickBot="1">
      <c r="A280" s="429"/>
      <c r="B280" s="431" t="s">
        <v>842</v>
      </c>
      <c r="C280" s="278">
        <f>+C42-C279</f>
        <v>-115480</v>
      </c>
      <c r="D280" s="278">
        <f>+D42-D279</f>
        <v>-115480</v>
      </c>
      <c r="E280" s="278">
        <f>+E42-E279</f>
        <v>-62570.26999999996</v>
      </c>
      <c r="F280" s="278">
        <f>+F42+F279</f>
        <v>52909.730000000025</v>
      </c>
    </row>
    <row r="281" spans="1:6" ht="20.100000000000001" customHeight="1">
      <c r="A281" s="429"/>
      <c r="B281" s="431" t="s">
        <v>1158</v>
      </c>
      <c r="C281" s="277"/>
      <c r="D281" s="277"/>
      <c r="E281" s="277"/>
      <c r="F281" s="277"/>
    </row>
    <row r="282" spans="1:6" ht="20.100000000000001" customHeight="1">
      <c r="A282" s="429" t="s">
        <v>186</v>
      </c>
      <c r="B282" s="411" t="s">
        <v>190</v>
      </c>
      <c r="C282" s="269"/>
      <c r="D282" s="269"/>
      <c r="E282" s="269"/>
      <c r="F282" s="277">
        <f t="shared" ref="F282:F292" si="4">-D282+E282</f>
        <v>0</v>
      </c>
    </row>
    <row r="283" spans="1:6" ht="20.100000000000001" customHeight="1">
      <c r="A283" s="429" t="s">
        <v>186</v>
      </c>
      <c r="B283" s="411" t="s">
        <v>478</v>
      </c>
      <c r="C283" s="269"/>
      <c r="D283" s="269"/>
      <c r="E283" s="269"/>
      <c r="F283" s="277">
        <f t="shared" si="4"/>
        <v>0</v>
      </c>
    </row>
    <row r="284" spans="1:6" ht="20.100000000000001" customHeight="1">
      <c r="A284" s="429">
        <v>381050</v>
      </c>
      <c r="B284" s="411" t="s">
        <v>1160</v>
      </c>
      <c r="C284" s="269"/>
      <c r="D284" s="269"/>
      <c r="E284" s="269"/>
      <c r="F284" s="277">
        <f t="shared" si="4"/>
        <v>0</v>
      </c>
    </row>
    <row r="285" spans="1:6" ht="20.100000000000001" customHeight="1">
      <c r="A285" s="429">
        <v>381070</v>
      </c>
      <c r="B285" s="411" t="s">
        <v>549</v>
      </c>
      <c r="C285" s="269"/>
      <c r="D285" s="269"/>
      <c r="E285" s="269"/>
      <c r="F285" s="277">
        <f t="shared" si="4"/>
        <v>0</v>
      </c>
    </row>
    <row r="286" spans="1:6" ht="20.100000000000001" customHeight="1">
      <c r="A286" s="429">
        <v>382010</v>
      </c>
      <c r="B286" s="411" t="s">
        <v>1159</v>
      </c>
      <c r="C286" s="269"/>
      <c r="D286" s="269"/>
      <c r="E286" s="269"/>
      <c r="F286" s="277">
        <f t="shared" si="4"/>
        <v>0</v>
      </c>
    </row>
    <row r="287" spans="1:6" ht="20.100000000000001" customHeight="1">
      <c r="A287" s="429">
        <v>383000</v>
      </c>
      <c r="B287" s="411" t="s">
        <v>1161</v>
      </c>
      <c r="C287" s="269"/>
      <c r="D287" s="269"/>
      <c r="E287" s="269"/>
      <c r="F287" s="277">
        <f t="shared" si="4"/>
        <v>0</v>
      </c>
    </row>
    <row r="288" spans="1:6" ht="20.100000000000001" customHeight="1">
      <c r="A288" s="429">
        <v>520000</v>
      </c>
      <c r="B288" s="411" t="s">
        <v>1789</v>
      </c>
      <c r="C288" s="269">
        <v>-3600</v>
      </c>
      <c r="D288" s="269">
        <v>-3600</v>
      </c>
      <c r="E288" s="269">
        <v>-2400</v>
      </c>
      <c r="F288" s="277">
        <f t="shared" si="4"/>
        <v>1200</v>
      </c>
    </row>
    <row r="289" spans="1:6" ht="20.100000000000001" customHeight="1">
      <c r="A289" s="429">
        <v>384000</v>
      </c>
      <c r="B289" s="411" t="s">
        <v>1755</v>
      </c>
      <c r="C289" s="269"/>
      <c r="D289" s="269"/>
      <c r="E289" s="269"/>
      <c r="F289" s="277">
        <f t="shared" si="4"/>
        <v>0</v>
      </c>
    </row>
    <row r="290" spans="1:6" ht="20.100000000000001" customHeight="1">
      <c r="A290" s="429">
        <v>385000</v>
      </c>
      <c r="B290" s="411" t="s">
        <v>1751</v>
      </c>
      <c r="C290" s="269"/>
      <c r="D290" s="269"/>
      <c r="E290" s="269"/>
      <c r="F290" s="277">
        <f t="shared" si="4"/>
        <v>0</v>
      </c>
    </row>
    <row r="291" spans="1:6" ht="20.100000000000001" customHeight="1">
      <c r="A291" s="429">
        <v>524000</v>
      </c>
      <c r="B291" s="411" t="s">
        <v>1756</v>
      </c>
      <c r="C291" s="269"/>
      <c r="D291" s="269"/>
      <c r="E291" s="269"/>
      <c r="F291" s="277">
        <f t="shared" si="4"/>
        <v>0</v>
      </c>
    </row>
    <row r="292" spans="1:6" ht="20.100000000000001" customHeight="1" thickBot="1">
      <c r="A292" s="429">
        <v>525000</v>
      </c>
      <c r="B292" s="411" t="s">
        <v>1757</v>
      </c>
      <c r="C292" s="271"/>
      <c r="D292" s="271"/>
      <c r="E292" s="271"/>
      <c r="F292" s="278">
        <f t="shared" si="4"/>
        <v>0</v>
      </c>
    </row>
    <row r="293" spans="1:6" ht="20.100000000000001" customHeight="1" thickBot="1">
      <c r="A293" s="429"/>
      <c r="B293" s="430" t="s">
        <v>237</v>
      </c>
      <c r="C293" s="278">
        <f>SUM(C282:C292)</f>
        <v>-3600</v>
      </c>
      <c r="D293" s="278">
        <f>SUM(D282:D292)</f>
        <v>-3600</v>
      </c>
      <c r="E293" s="278">
        <f>SUM(E282:E292)</f>
        <v>-2400</v>
      </c>
      <c r="F293" s="278">
        <f>SUM(F282:F292)</f>
        <v>1200</v>
      </c>
    </row>
    <row r="294" spans="1:6" ht="20.100000000000001" customHeight="1">
      <c r="A294" s="429"/>
      <c r="B294" s="430" t="s">
        <v>175</v>
      </c>
      <c r="C294" s="306">
        <f>+C280+C293</f>
        <v>-119080</v>
      </c>
      <c r="D294" s="306">
        <f>+D280+D293</f>
        <v>-119080</v>
      </c>
      <c r="E294" s="306">
        <f>+E280+E293</f>
        <v>-64970.26999999996</v>
      </c>
      <c r="F294" s="306">
        <f>+F280+F293</f>
        <v>54109.730000000025</v>
      </c>
    </row>
    <row r="295" spans="1:6" ht="32.1" customHeight="1">
      <c r="A295" s="301"/>
      <c r="B295" s="324" t="str">
        <f>+'GOVERMENTAL FUNDS-OPERATING(16)'!C54</f>
        <v>Fund balances - July 1, 2016 as previously reported</v>
      </c>
      <c r="C295" s="307"/>
      <c r="D295" s="307"/>
      <c r="E295" s="303">
        <v>200831.45</v>
      </c>
      <c r="F295" s="307"/>
    </row>
    <row r="296" spans="1:6" ht="20.100000000000001" customHeight="1" thickBot="1">
      <c r="A296" s="301"/>
      <c r="B296" s="431" t="s">
        <v>699</v>
      </c>
      <c r="C296" s="307"/>
      <c r="D296" s="307"/>
      <c r="E296" s="271"/>
      <c r="F296" s="307"/>
    </row>
    <row r="297" spans="1:6" ht="20.100000000000001" customHeight="1" thickBot="1">
      <c r="A297" s="301"/>
      <c r="B297" s="324" t="str">
        <f>+'GOVERMENTAL FUNDS-OPERATING(16)'!C56</f>
        <v>Fund balances - July 1, 2016 as restated</v>
      </c>
      <c r="C297" s="307"/>
      <c r="D297" s="307"/>
      <c r="E297" s="307">
        <f>+E295+E296</f>
        <v>200831.45</v>
      </c>
      <c r="F297" s="307"/>
    </row>
    <row r="298" spans="1:6" ht="20.100000000000001" customHeight="1" thickBot="1">
      <c r="A298" s="301"/>
      <c r="B298" s="268" t="str">
        <f>+'GOVERMENTAL FUNDS-OPERATING(16)'!C57</f>
        <v>Fund balances - June 30, 2017</v>
      </c>
      <c r="C298" s="307"/>
      <c r="D298" s="307"/>
      <c r="E298" s="280">
        <f>+E294+E297</f>
        <v>135861.18000000005</v>
      </c>
      <c r="F298" s="307"/>
    </row>
    <row r="299" spans="1:6" ht="20.100000000000001" customHeight="1" thickTop="1">
      <c r="B299" s="263"/>
    </row>
    <row r="300" spans="1:6" ht="20.100000000000001" customHeight="1">
      <c r="B300" s="263"/>
      <c r="C300" s="263"/>
      <c r="D300" s="263"/>
      <c r="E300" s="269"/>
      <c r="F300" s="263"/>
    </row>
    <row r="301" spans="1:6" ht="20.100000000000001" customHeight="1">
      <c r="B301" s="263"/>
      <c r="C301" s="263"/>
      <c r="D301" s="263"/>
      <c r="E301" s="263"/>
      <c r="F301" s="263"/>
    </row>
    <row r="302" spans="1:6" ht="20.100000000000001" customHeight="1">
      <c r="B302" s="263"/>
      <c r="C302" s="263"/>
      <c r="D302" s="263"/>
      <c r="E302" s="263"/>
      <c r="F302" s="263"/>
    </row>
    <row r="303" spans="1:6" ht="20.100000000000001" customHeight="1">
      <c r="B303" s="263"/>
      <c r="C303" s="263"/>
      <c r="D303" s="263"/>
      <c r="E303" s="263"/>
      <c r="F303" s="263"/>
    </row>
    <row r="304" spans="1:6" ht="20.100000000000001" customHeight="1">
      <c r="B304" s="263"/>
      <c r="C304" s="263"/>
      <c r="D304" s="263"/>
      <c r="E304" s="263"/>
      <c r="F304" s="263"/>
    </row>
    <row r="305" spans="1:6" ht="20.100000000000001" customHeight="1">
      <c r="B305" s="263"/>
      <c r="C305" s="263"/>
      <c r="D305" s="263"/>
      <c r="E305" s="263"/>
      <c r="F305" s="263"/>
    </row>
    <row r="306" spans="1:6" ht="20.100000000000001" customHeight="1">
      <c r="B306" s="263"/>
      <c r="C306" s="263"/>
      <c r="D306" s="263"/>
      <c r="E306" s="263"/>
      <c r="F306" s="263"/>
    </row>
    <row r="307" spans="1:6" ht="20.100000000000001" customHeight="1">
      <c r="B307" s="263"/>
      <c r="C307" s="263"/>
      <c r="D307" s="263"/>
      <c r="E307" s="263"/>
      <c r="F307" s="263"/>
    </row>
    <row r="308" spans="1:6" ht="20.100000000000001" customHeight="1">
      <c r="B308" s="263"/>
      <c r="C308" s="263"/>
      <c r="D308" s="263"/>
      <c r="E308" s="263"/>
      <c r="F308" s="263"/>
    </row>
    <row r="309" spans="1:6" ht="20.100000000000001" customHeight="1">
      <c r="B309" s="263"/>
      <c r="C309" s="263"/>
      <c r="D309" s="263"/>
      <c r="E309" s="263"/>
      <c r="F309" s="263"/>
    </row>
    <row r="310" spans="1:6" ht="20.100000000000001" customHeight="1">
      <c r="B310" s="263"/>
      <c r="C310" s="263"/>
      <c r="D310" s="263"/>
      <c r="E310" s="263"/>
      <c r="F310" s="263"/>
    </row>
    <row r="311" spans="1:6" ht="20.100000000000001" customHeight="1">
      <c r="B311" s="263"/>
      <c r="C311" s="263"/>
      <c r="D311" s="263"/>
      <c r="E311" s="263"/>
      <c r="F311" s="263"/>
    </row>
    <row r="312" spans="1:6" ht="20.100000000000001" customHeight="1">
      <c r="B312" s="263"/>
      <c r="C312" s="263"/>
      <c r="D312" s="263"/>
      <c r="E312" s="263"/>
      <c r="F312" s="263"/>
    </row>
    <row r="313" spans="1:6" ht="20.100000000000001" customHeight="1">
      <c r="A313" s="274" t="s">
        <v>1328</v>
      </c>
      <c r="B313" s="282"/>
      <c r="C313" s="282"/>
      <c r="D313" s="282"/>
      <c r="E313" s="282"/>
      <c r="F313" s="282"/>
    </row>
    <row r="314" spans="1:6" ht="20.100000000000001" customHeight="1">
      <c r="B314" s="263"/>
      <c r="C314" s="263"/>
      <c r="D314" s="263"/>
      <c r="E314" s="263"/>
      <c r="F314" s="263"/>
    </row>
    <row r="315" spans="1:6" ht="20.100000000000001" customHeight="1">
      <c r="B315" s="263"/>
      <c r="C315" s="263"/>
      <c r="D315" s="263"/>
      <c r="E315" s="263"/>
      <c r="F315" s="263"/>
    </row>
    <row r="316" spans="1:6" ht="20.100000000000001" customHeight="1">
      <c r="B316" s="263"/>
      <c r="C316" s="263"/>
      <c r="D316" s="263"/>
      <c r="E316" s="263"/>
      <c r="F316" s="263"/>
    </row>
    <row r="317" spans="1:6" ht="20.100000000000001" customHeight="1">
      <c r="B317" s="263"/>
      <c r="C317" s="263"/>
      <c r="D317" s="263"/>
      <c r="E317" s="263"/>
      <c r="F317" s="263"/>
    </row>
    <row r="318" spans="1:6" ht="20.100000000000001" customHeight="1">
      <c r="B318" s="263"/>
      <c r="C318" s="263"/>
      <c r="D318" s="263"/>
      <c r="E318" s="263"/>
      <c r="F318" s="263"/>
    </row>
    <row r="319" spans="1:6" ht="20.100000000000001" customHeight="1">
      <c r="B319" s="263"/>
      <c r="C319" s="263"/>
      <c r="D319" s="263"/>
      <c r="E319" s="263"/>
      <c r="F319" s="263"/>
    </row>
    <row r="320" spans="1:6" ht="20.100000000000001" customHeight="1">
      <c r="B320" s="263"/>
      <c r="C320" s="263"/>
      <c r="D320" s="263"/>
      <c r="E320" s="263"/>
      <c r="F320" s="263"/>
    </row>
    <row r="321" spans="2:6" ht="20.100000000000001" customHeight="1">
      <c r="B321" s="263"/>
      <c r="C321" s="263"/>
      <c r="D321" s="263"/>
      <c r="E321" s="263"/>
      <c r="F321" s="263"/>
    </row>
    <row r="322" spans="2:6" ht="20.100000000000001" customHeight="1">
      <c r="B322" s="263"/>
      <c r="C322" s="263"/>
      <c r="D322" s="263"/>
      <c r="E322" s="263"/>
      <c r="F322" s="263"/>
    </row>
    <row r="323" spans="2:6" ht="20.100000000000001" customHeight="1">
      <c r="B323" s="263"/>
      <c r="C323" s="263"/>
      <c r="D323" s="263"/>
      <c r="E323" s="263"/>
      <c r="F323" s="263"/>
    </row>
    <row r="324" spans="2:6" ht="20.100000000000001" customHeight="1">
      <c r="B324" s="263"/>
      <c r="C324" s="263"/>
      <c r="D324" s="263"/>
      <c r="E324" s="263"/>
      <c r="F324" s="263"/>
    </row>
    <row r="325" spans="2:6" ht="20.100000000000001" customHeight="1">
      <c r="B325" s="263"/>
      <c r="C325" s="263"/>
      <c r="D325" s="263"/>
      <c r="E325" s="263"/>
      <c r="F325" s="263"/>
    </row>
    <row r="326" spans="2:6" ht="20.100000000000001" customHeight="1">
      <c r="B326" s="263"/>
      <c r="C326" s="263"/>
      <c r="D326" s="263"/>
      <c r="E326" s="263"/>
      <c r="F326" s="263"/>
    </row>
    <row r="327" spans="2:6" ht="15">
      <c r="B327" s="263"/>
      <c r="C327" s="263"/>
      <c r="D327" s="263"/>
      <c r="E327" s="263"/>
      <c r="F327" s="263"/>
    </row>
    <row r="328" spans="2:6" ht="15">
      <c r="B328" s="263"/>
      <c r="C328" s="263"/>
      <c r="D328" s="263"/>
      <c r="E328" s="263"/>
      <c r="F328" s="263"/>
    </row>
    <row r="329" spans="2:6" ht="15">
      <c r="B329" s="263"/>
      <c r="C329" s="263"/>
      <c r="D329" s="263"/>
      <c r="E329" s="263"/>
      <c r="F329" s="263"/>
    </row>
    <row r="330" spans="2:6" ht="15">
      <c r="B330" s="263"/>
      <c r="C330" s="263"/>
      <c r="D330" s="263"/>
      <c r="E330" s="263"/>
      <c r="F330" s="263"/>
    </row>
    <row r="331" spans="2:6" ht="15">
      <c r="B331" s="263"/>
      <c r="C331" s="263"/>
      <c r="D331" s="263"/>
      <c r="E331" s="263"/>
      <c r="F331" s="263"/>
    </row>
    <row r="332" spans="2:6" ht="15">
      <c r="B332" s="263"/>
      <c r="C332" s="263"/>
      <c r="D332" s="263"/>
      <c r="E332" s="263"/>
      <c r="F332" s="263"/>
    </row>
    <row r="333" spans="2:6" ht="15">
      <c r="B333" s="263"/>
      <c r="C333" s="263"/>
      <c r="D333" s="263"/>
      <c r="E333" s="263"/>
      <c r="F333" s="263"/>
    </row>
    <row r="334" spans="2:6" ht="15">
      <c r="B334" s="263"/>
      <c r="C334" s="263"/>
      <c r="D334" s="263"/>
      <c r="E334" s="263"/>
      <c r="F334" s="263"/>
    </row>
    <row r="335" spans="2:6" ht="15">
      <c r="B335" s="263"/>
      <c r="C335" s="263"/>
      <c r="D335" s="263"/>
      <c r="E335" s="263"/>
      <c r="F335" s="263"/>
    </row>
    <row r="336" spans="2:6" ht="15">
      <c r="B336" s="263"/>
      <c r="C336" s="263"/>
      <c r="D336" s="263"/>
      <c r="E336" s="263"/>
      <c r="F336" s="263"/>
    </row>
    <row r="337" spans="2:6" ht="15">
      <c r="B337" s="263"/>
      <c r="C337" s="263"/>
      <c r="D337" s="263"/>
      <c r="E337" s="263"/>
      <c r="F337" s="263"/>
    </row>
    <row r="338" spans="2:6" ht="15">
      <c r="B338" s="263"/>
      <c r="C338" s="263"/>
      <c r="D338" s="263"/>
      <c r="E338" s="263"/>
      <c r="F338" s="263"/>
    </row>
    <row r="339" spans="2:6" ht="15">
      <c r="B339" s="263"/>
      <c r="C339" s="263"/>
      <c r="D339" s="263"/>
      <c r="E339" s="263"/>
      <c r="F339" s="263"/>
    </row>
    <row r="340" spans="2:6" ht="15">
      <c r="B340" s="263"/>
      <c r="C340" s="263"/>
      <c r="D340" s="263"/>
      <c r="E340" s="263"/>
      <c r="F340" s="263"/>
    </row>
    <row r="341" spans="2:6" ht="15">
      <c r="B341" s="263"/>
      <c r="C341" s="263"/>
      <c r="D341" s="263"/>
      <c r="E341" s="263"/>
      <c r="F341" s="263"/>
    </row>
    <row r="342" spans="2:6" ht="15">
      <c r="B342" s="263"/>
      <c r="C342" s="263"/>
      <c r="D342" s="263"/>
      <c r="E342" s="263"/>
      <c r="F342" s="263"/>
    </row>
    <row r="343" spans="2:6" ht="15">
      <c r="B343" s="263"/>
      <c r="C343" s="263"/>
      <c r="D343" s="263"/>
      <c r="E343" s="263"/>
      <c r="F343" s="263"/>
    </row>
    <row r="344" spans="2:6" ht="15">
      <c r="B344" s="263"/>
      <c r="C344" s="263"/>
      <c r="D344" s="263"/>
      <c r="E344" s="263"/>
      <c r="F344" s="263"/>
    </row>
    <row r="345" spans="2:6" ht="15">
      <c r="B345" s="263"/>
      <c r="C345" s="263"/>
      <c r="D345" s="263"/>
      <c r="E345" s="263"/>
      <c r="F345" s="263"/>
    </row>
    <row r="346" spans="2:6" ht="15">
      <c r="B346" s="263"/>
      <c r="C346" s="263"/>
      <c r="D346" s="263"/>
      <c r="E346" s="263"/>
      <c r="F346" s="263"/>
    </row>
    <row r="347" spans="2:6" ht="15">
      <c r="B347" s="263"/>
      <c r="C347" s="263"/>
      <c r="D347" s="263"/>
      <c r="E347" s="263"/>
      <c r="F347" s="263"/>
    </row>
    <row r="348" spans="2:6" ht="15">
      <c r="B348" s="263"/>
      <c r="C348" s="263"/>
      <c r="D348" s="263"/>
      <c r="E348" s="263"/>
      <c r="F348" s="263"/>
    </row>
    <row r="349" spans="2:6" ht="15">
      <c r="B349" s="263"/>
      <c r="C349" s="263"/>
      <c r="D349" s="263"/>
      <c r="E349" s="263"/>
      <c r="F349" s="263"/>
    </row>
    <row r="350" spans="2:6" ht="15">
      <c r="B350" s="263"/>
      <c r="C350" s="263"/>
      <c r="D350" s="263"/>
      <c r="E350" s="263"/>
      <c r="F350" s="263"/>
    </row>
    <row r="351" spans="2:6" ht="15">
      <c r="B351" s="263"/>
      <c r="C351" s="263"/>
      <c r="D351" s="263"/>
      <c r="E351" s="263"/>
      <c r="F351" s="263"/>
    </row>
    <row r="352" spans="2:6" ht="15">
      <c r="B352" s="263"/>
      <c r="C352" s="263"/>
      <c r="D352" s="263"/>
      <c r="E352" s="263"/>
      <c r="F352" s="263"/>
    </row>
    <row r="353" spans="2:6" ht="15">
      <c r="B353" s="263"/>
      <c r="C353" s="263"/>
      <c r="D353" s="263"/>
      <c r="E353" s="263"/>
      <c r="F353" s="263"/>
    </row>
    <row r="354" spans="2:6" ht="15">
      <c r="B354" s="263"/>
      <c r="C354" s="263"/>
      <c r="D354" s="263"/>
      <c r="E354" s="263"/>
      <c r="F354" s="263"/>
    </row>
    <row r="355" spans="2:6" ht="15">
      <c r="B355" s="263"/>
      <c r="C355" s="263"/>
      <c r="D355" s="263"/>
      <c r="E355" s="263"/>
      <c r="F355" s="263"/>
    </row>
    <row r="356" spans="2:6" ht="15">
      <c r="B356" s="263"/>
      <c r="C356" s="263"/>
      <c r="D356" s="263"/>
      <c r="E356" s="263"/>
      <c r="F356" s="263"/>
    </row>
    <row r="357" spans="2:6" ht="15">
      <c r="B357" s="263"/>
      <c r="C357" s="263"/>
      <c r="D357" s="263"/>
      <c r="E357" s="263"/>
      <c r="F357" s="263"/>
    </row>
    <row r="358" spans="2:6" ht="15">
      <c r="B358" s="263"/>
      <c r="C358" s="263"/>
      <c r="D358" s="263"/>
      <c r="E358" s="263"/>
      <c r="F358" s="263"/>
    </row>
    <row r="359" spans="2:6" ht="15">
      <c r="B359" s="263"/>
      <c r="C359" s="263"/>
      <c r="D359" s="263"/>
      <c r="E359" s="263"/>
      <c r="F359" s="263"/>
    </row>
    <row r="360" spans="2:6" ht="15">
      <c r="B360" s="263"/>
      <c r="C360" s="263"/>
      <c r="D360" s="263"/>
      <c r="E360" s="263"/>
      <c r="F360" s="263"/>
    </row>
    <row r="361" spans="2:6" ht="15">
      <c r="B361" s="263"/>
      <c r="C361" s="263"/>
      <c r="D361" s="263"/>
      <c r="E361" s="263"/>
      <c r="F361" s="263"/>
    </row>
    <row r="362" spans="2:6" ht="15">
      <c r="B362" s="263"/>
      <c r="C362" s="263"/>
      <c r="D362" s="263"/>
      <c r="E362" s="263"/>
      <c r="F362" s="263"/>
    </row>
    <row r="363" spans="2:6" ht="15">
      <c r="B363" s="263"/>
      <c r="C363" s="263"/>
      <c r="D363" s="263"/>
      <c r="E363" s="263"/>
      <c r="F363" s="263"/>
    </row>
    <row r="364" spans="2:6" ht="15">
      <c r="B364" s="263"/>
      <c r="C364" s="263"/>
      <c r="D364" s="263"/>
      <c r="E364" s="263"/>
      <c r="F364" s="263"/>
    </row>
    <row r="365" spans="2:6" ht="15">
      <c r="B365" s="263"/>
      <c r="C365" s="263"/>
      <c r="D365" s="263"/>
      <c r="E365" s="263"/>
      <c r="F365" s="263"/>
    </row>
    <row r="366" spans="2:6" ht="15">
      <c r="B366" s="263"/>
      <c r="C366" s="263"/>
      <c r="D366" s="263"/>
      <c r="E366" s="263"/>
      <c r="F366" s="263"/>
    </row>
    <row r="367" spans="2:6" ht="15">
      <c r="B367" s="263"/>
      <c r="C367" s="263"/>
      <c r="D367" s="263"/>
      <c r="E367" s="263"/>
      <c r="F367" s="263"/>
    </row>
    <row r="368" spans="2:6" ht="15">
      <c r="B368" s="263"/>
      <c r="C368" s="263"/>
      <c r="D368" s="263"/>
      <c r="E368" s="263"/>
      <c r="F368" s="263"/>
    </row>
    <row r="369" spans="2:6" ht="15">
      <c r="B369" s="263"/>
      <c r="C369" s="263"/>
      <c r="D369" s="263"/>
      <c r="E369" s="263"/>
      <c r="F369" s="263"/>
    </row>
    <row r="370" spans="2:6" ht="15">
      <c r="B370" s="263"/>
      <c r="C370" s="263"/>
      <c r="D370" s="263"/>
      <c r="E370" s="263"/>
      <c r="F370" s="263"/>
    </row>
    <row r="371" spans="2:6" ht="15">
      <c r="B371" s="263"/>
      <c r="C371" s="263"/>
      <c r="D371" s="263"/>
      <c r="E371" s="263"/>
      <c r="F371" s="263"/>
    </row>
    <row r="372" spans="2:6" ht="15">
      <c r="B372" s="263"/>
      <c r="C372" s="263"/>
      <c r="D372" s="263"/>
      <c r="E372" s="263"/>
      <c r="F372" s="263"/>
    </row>
    <row r="373" spans="2:6" ht="15">
      <c r="B373" s="263"/>
      <c r="C373" s="263"/>
      <c r="D373" s="263"/>
      <c r="E373" s="263"/>
      <c r="F373" s="263"/>
    </row>
    <row r="374" spans="2:6" ht="15">
      <c r="B374" s="263"/>
      <c r="C374" s="263"/>
      <c r="D374" s="263"/>
      <c r="E374" s="263"/>
      <c r="F374" s="263"/>
    </row>
    <row r="375" spans="2:6" ht="15">
      <c r="B375" s="263"/>
      <c r="C375" s="263"/>
      <c r="D375" s="263"/>
      <c r="E375" s="263"/>
      <c r="F375" s="263"/>
    </row>
    <row r="376" spans="2:6" ht="15">
      <c r="B376" s="263"/>
      <c r="C376" s="263"/>
      <c r="D376" s="263"/>
      <c r="E376" s="263"/>
      <c r="F376" s="263"/>
    </row>
    <row r="377" spans="2:6" ht="15">
      <c r="B377" s="263"/>
      <c r="C377" s="263"/>
      <c r="D377" s="263"/>
      <c r="E377" s="263"/>
      <c r="F377" s="263"/>
    </row>
    <row r="378" spans="2:6" ht="15">
      <c r="B378" s="263"/>
      <c r="C378" s="263"/>
      <c r="D378" s="263"/>
      <c r="E378" s="263"/>
      <c r="F378" s="263"/>
    </row>
    <row r="379" spans="2:6" ht="15">
      <c r="B379" s="263"/>
      <c r="C379" s="263"/>
      <c r="D379" s="263"/>
      <c r="E379" s="263"/>
      <c r="F379" s="263"/>
    </row>
    <row r="380" spans="2:6" ht="15">
      <c r="B380" s="263"/>
      <c r="C380" s="263"/>
      <c r="D380" s="263"/>
      <c r="E380" s="263"/>
      <c r="F380" s="263"/>
    </row>
    <row r="381" spans="2:6" ht="15">
      <c r="B381" s="263"/>
      <c r="C381" s="263"/>
      <c r="D381" s="263"/>
      <c r="E381" s="263"/>
      <c r="F381" s="263"/>
    </row>
    <row r="382" spans="2:6" ht="15">
      <c r="B382" s="263"/>
      <c r="C382" s="263"/>
      <c r="D382" s="263"/>
      <c r="E382" s="263"/>
      <c r="F382" s="263"/>
    </row>
    <row r="383" spans="2:6" ht="15">
      <c r="B383" s="263"/>
      <c r="C383" s="263"/>
      <c r="D383" s="263"/>
      <c r="E383" s="263"/>
      <c r="F383" s="263"/>
    </row>
    <row r="384" spans="2:6" ht="15">
      <c r="B384" s="263"/>
      <c r="C384" s="263"/>
      <c r="D384" s="263"/>
      <c r="E384" s="263"/>
      <c r="F384" s="263"/>
    </row>
    <row r="385" spans="2:6" ht="15">
      <c r="B385" s="263"/>
      <c r="C385" s="263"/>
      <c r="D385" s="263"/>
      <c r="E385" s="263"/>
      <c r="F385" s="263"/>
    </row>
    <row r="386" spans="2:6" ht="15">
      <c r="B386" s="263"/>
      <c r="C386" s="263"/>
      <c r="D386" s="263"/>
      <c r="E386" s="263"/>
      <c r="F386" s="263"/>
    </row>
    <row r="387" spans="2:6" ht="15">
      <c r="B387" s="263"/>
      <c r="C387" s="263"/>
      <c r="D387" s="263"/>
      <c r="E387" s="263"/>
      <c r="F387" s="263"/>
    </row>
    <row r="388" spans="2:6" ht="15">
      <c r="B388" s="263"/>
      <c r="C388" s="263"/>
      <c r="D388" s="263"/>
      <c r="E388" s="263"/>
      <c r="F388" s="263"/>
    </row>
    <row r="389" spans="2:6" ht="15">
      <c r="B389" s="263"/>
      <c r="C389" s="263"/>
      <c r="D389" s="263"/>
      <c r="E389" s="263"/>
      <c r="F389" s="263"/>
    </row>
    <row r="390" spans="2:6" ht="15">
      <c r="B390" s="263"/>
      <c r="C390" s="263"/>
      <c r="D390" s="263"/>
      <c r="E390" s="263"/>
      <c r="F390" s="263"/>
    </row>
    <row r="391" spans="2:6" ht="15">
      <c r="B391" s="263"/>
      <c r="C391" s="263"/>
      <c r="D391" s="263"/>
      <c r="E391" s="263"/>
      <c r="F391" s="263"/>
    </row>
    <row r="392" spans="2:6" ht="15">
      <c r="B392" s="263"/>
      <c r="C392" s="263"/>
      <c r="D392" s="263"/>
      <c r="E392" s="263"/>
      <c r="F392" s="263"/>
    </row>
    <row r="393" spans="2:6" ht="15">
      <c r="B393" s="263"/>
      <c r="C393" s="263"/>
      <c r="D393" s="263"/>
      <c r="E393" s="263"/>
      <c r="F393" s="263"/>
    </row>
    <row r="394" spans="2:6" ht="15">
      <c r="B394" s="263"/>
      <c r="C394" s="263"/>
      <c r="D394" s="263"/>
      <c r="E394" s="263"/>
      <c r="F394" s="263"/>
    </row>
    <row r="395" spans="2:6" ht="15">
      <c r="B395" s="263"/>
      <c r="C395" s="263"/>
      <c r="D395" s="263"/>
      <c r="E395" s="263"/>
      <c r="F395" s="263"/>
    </row>
    <row r="396" spans="2:6" ht="15">
      <c r="B396" s="263"/>
      <c r="C396" s="263"/>
      <c r="D396" s="263"/>
      <c r="E396" s="263"/>
      <c r="F396" s="263"/>
    </row>
    <row r="397" spans="2:6" ht="15">
      <c r="B397" s="263"/>
      <c r="C397" s="263"/>
      <c r="D397" s="263"/>
      <c r="E397" s="263"/>
      <c r="F397" s="263"/>
    </row>
    <row r="398" spans="2:6" ht="15">
      <c r="B398" s="263"/>
      <c r="C398" s="263"/>
      <c r="D398" s="263"/>
      <c r="E398" s="263"/>
      <c r="F398" s="263"/>
    </row>
    <row r="399" spans="2:6" ht="15">
      <c r="B399" s="263"/>
      <c r="C399" s="263"/>
      <c r="D399" s="263"/>
      <c r="E399" s="263"/>
      <c r="F399" s="263"/>
    </row>
    <row r="400" spans="2:6" ht="15">
      <c r="C400" s="263"/>
      <c r="D400" s="263"/>
      <c r="E400" s="263"/>
      <c r="F400" s="263"/>
    </row>
  </sheetData>
  <sheetProtection password="D950" sheet="1" scenarios="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295:B298" unlockedFormula="1"/>
  </ignoredError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G34" activePane="bottomRight" state="frozen"/>
      <selection pane="topRight" activeCell="C1" sqref="C1"/>
      <selection pane="bottomLeft" activeCell="A10" sqref="A10"/>
      <selection pane="bottomRight" activeCell="N38" sqref="N38"/>
    </sheetView>
  </sheetViews>
  <sheetFormatPr defaultColWidth="8.85546875" defaultRowHeight="12.75"/>
  <cols>
    <col min="1" max="1" width="13.7109375" style="261" customWidth="1"/>
    <col min="2" max="2" width="45.7109375" style="261" customWidth="1"/>
    <col min="3" max="30" width="16.7109375" style="261" customWidth="1"/>
    <col min="31" max="16384" width="8.85546875" style="261"/>
  </cols>
  <sheetData>
    <row r="2" spans="1:30" ht="15.75">
      <c r="A2" s="699"/>
      <c r="B2" s="699"/>
      <c r="C2" s="690" t="str">
        <f>'GOVERNMENTAL FUNDS - BS(15)'!E7</f>
        <v>Fund #2190</v>
      </c>
      <c r="D2" s="691"/>
      <c r="E2" s="691"/>
      <c r="F2" s="680"/>
      <c r="G2" s="690" t="str">
        <f>'GOVERNMENTAL FUNDS - BS(15)'!F7</f>
        <v>Fund #2500</v>
      </c>
      <c r="H2" s="691"/>
      <c r="I2" s="691"/>
      <c r="J2" s="680"/>
      <c r="K2" s="690" t="str">
        <f>'GOVERNMENTAL FUNDS - BS(15)'!G7</f>
        <v>Fund #2820</v>
      </c>
      <c r="L2" s="691"/>
      <c r="M2" s="691"/>
      <c r="N2" s="680"/>
      <c r="O2" s="690" t="str">
        <f>'GOVERNMENTAL FUNDS - BS(15)'!H7</f>
        <v>Fund #4003</v>
      </c>
      <c r="P2" s="691"/>
      <c r="Q2" s="691"/>
      <c r="R2" s="680"/>
      <c r="S2" s="690" t="str">
        <f>'GOVERNMENTAL FUNDS - BS(15)'!I7</f>
        <v>Fund #</v>
      </c>
      <c r="T2" s="691"/>
      <c r="U2" s="691"/>
      <c r="V2" s="680"/>
      <c r="W2" s="690" t="str">
        <f>'GOVERNMENTAL FUNDS - BS(15)'!J7</f>
        <v>Fund #</v>
      </c>
      <c r="X2" s="691"/>
      <c r="Y2" s="691"/>
      <c r="Z2" s="680"/>
      <c r="AA2" s="690" t="str">
        <f>'GOVERNMENTAL FUNDS - BS(15)'!K7</f>
        <v>Fund #</v>
      </c>
      <c r="AB2" s="691"/>
      <c r="AC2" s="691"/>
      <c r="AD2" s="680"/>
    </row>
    <row r="3" spans="1:30" ht="15.75">
      <c r="A3" s="699"/>
      <c r="B3" s="699"/>
      <c r="C3" s="690" t="str">
        <f>'GOVERNMENTAL FUNDS - BS(15)'!E8</f>
        <v>COMP INS</v>
      </c>
      <c r="D3" s="691"/>
      <c r="E3" s="691"/>
      <c r="F3" s="680"/>
      <c r="G3" s="690" t="str">
        <f>'GOVERNMENTAL FUNDS - BS(15)'!F8</f>
        <v>OTHER MAINT</v>
      </c>
      <c r="H3" s="691"/>
      <c r="I3" s="691"/>
      <c r="J3" s="680"/>
      <c r="K3" s="690" t="str">
        <f>'GOVERNMENTAL FUNDS - BS(15)'!G8</f>
        <v>GAS APPORTION</v>
      </c>
      <c r="L3" s="691"/>
      <c r="M3" s="691"/>
      <c r="N3" s="680"/>
      <c r="O3" s="690" t="str">
        <f>'GOVERNMENTAL FUNDS - BS(15)'!H8</f>
        <v>CIP #3</v>
      </c>
      <c r="P3" s="691"/>
      <c r="Q3" s="691"/>
      <c r="R3" s="680"/>
      <c r="S3" s="690" t="str">
        <f>'GOVERNMENTAL FUNDS - BS(15)'!I8</f>
        <v>Fund Name</v>
      </c>
      <c r="T3" s="691"/>
      <c r="U3" s="691"/>
      <c r="V3" s="680"/>
      <c r="W3" s="690" t="str">
        <f>'GOVERNMENTAL FUNDS - BS(15)'!J8</f>
        <v>Fund Name</v>
      </c>
      <c r="X3" s="691"/>
      <c r="Y3" s="691"/>
      <c r="Z3" s="680"/>
      <c r="AA3" s="690" t="str">
        <f>'GOVERNMENTAL FUNDS - BS(15)'!K8</f>
        <v>Fund Name</v>
      </c>
      <c r="AB3" s="691"/>
      <c r="AC3" s="691"/>
      <c r="AD3" s="680"/>
    </row>
    <row r="4" spans="1:30" ht="15.75">
      <c r="A4" s="699"/>
      <c r="B4" s="699"/>
      <c r="C4" s="690"/>
      <c r="D4" s="691"/>
      <c r="E4" s="691"/>
      <c r="F4" s="430" t="s">
        <v>1001</v>
      </c>
      <c r="G4" s="690"/>
      <c r="H4" s="691"/>
      <c r="I4" s="691"/>
      <c r="J4" s="430" t="s">
        <v>1001</v>
      </c>
      <c r="K4" s="690"/>
      <c r="L4" s="691"/>
      <c r="M4" s="691"/>
      <c r="N4" s="430" t="s">
        <v>1001</v>
      </c>
      <c r="O4" s="690"/>
      <c r="P4" s="691"/>
      <c r="Q4" s="691"/>
      <c r="R4" s="430" t="s">
        <v>1001</v>
      </c>
      <c r="S4" s="690"/>
      <c r="T4" s="691"/>
      <c r="U4" s="691"/>
      <c r="V4" s="430" t="s">
        <v>1001</v>
      </c>
      <c r="W4" s="690"/>
      <c r="X4" s="691"/>
      <c r="Y4" s="691"/>
      <c r="Z4" s="430" t="s">
        <v>1001</v>
      </c>
      <c r="AA4" s="690"/>
      <c r="AB4" s="691"/>
      <c r="AC4" s="691"/>
      <c r="AD4" s="430" t="s">
        <v>1001</v>
      </c>
    </row>
    <row r="5" spans="1:30" ht="15.75">
      <c r="A5" s="412"/>
      <c r="B5" s="412"/>
      <c r="C5" s="430"/>
      <c r="D5" s="430"/>
      <c r="E5" s="430"/>
      <c r="F5" s="430" t="s">
        <v>1002</v>
      </c>
      <c r="G5" s="430"/>
      <c r="H5" s="430"/>
      <c r="I5" s="430"/>
      <c r="J5" s="430" t="s">
        <v>1002</v>
      </c>
      <c r="K5" s="430"/>
      <c r="L5" s="430"/>
      <c r="M5" s="430"/>
      <c r="N5" s="430" t="s">
        <v>1002</v>
      </c>
      <c r="O5" s="430"/>
      <c r="P5" s="430"/>
      <c r="Q5" s="430"/>
      <c r="R5" s="430" t="s">
        <v>1002</v>
      </c>
      <c r="S5" s="430"/>
      <c r="T5" s="430"/>
      <c r="U5" s="430"/>
      <c r="V5" s="430" t="s">
        <v>1002</v>
      </c>
      <c r="W5" s="430"/>
      <c r="X5" s="430"/>
      <c r="Y5" s="430"/>
      <c r="Z5" s="430" t="s">
        <v>1002</v>
      </c>
      <c r="AA5" s="430"/>
      <c r="AB5" s="430"/>
      <c r="AC5" s="430"/>
      <c r="AD5" s="430" t="s">
        <v>1002</v>
      </c>
    </row>
    <row r="6" spans="1:30" ht="16.5" thickBot="1">
      <c r="A6" s="411"/>
      <c r="B6" s="411"/>
      <c r="C6" s="682" t="s">
        <v>994</v>
      </c>
      <c r="D6" s="682"/>
      <c r="E6" s="430"/>
      <c r="F6" s="430" t="s">
        <v>1003</v>
      </c>
      <c r="G6" s="682" t="s">
        <v>994</v>
      </c>
      <c r="H6" s="682"/>
      <c r="I6" s="430"/>
      <c r="J6" s="430" t="s">
        <v>1003</v>
      </c>
      <c r="K6" s="682" t="s">
        <v>994</v>
      </c>
      <c r="L6" s="682"/>
      <c r="M6" s="430"/>
      <c r="N6" s="430" t="s">
        <v>1003</v>
      </c>
      <c r="O6" s="682" t="s">
        <v>994</v>
      </c>
      <c r="P6" s="682"/>
      <c r="Q6" s="430"/>
      <c r="R6" s="430" t="s">
        <v>1003</v>
      </c>
      <c r="S6" s="682" t="s">
        <v>994</v>
      </c>
      <c r="T6" s="682"/>
      <c r="U6" s="430"/>
      <c r="V6" s="430" t="s">
        <v>1003</v>
      </c>
      <c r="W6" s="682" t="s">
        <v>994</v>
      </c>
      <c r="X6" s="682"/>
      <c r="Y6" s="430"/>
      <c r="Z6" s="430" t="s">
        <v>1003</v>
      </c>
      <c r="AA6" s="682" t="s">
        <v>994</v>
      </c>
      <c r="AB6" s="682"/>
      <c r="AC6" s="430"/>
      <c r="AD6" s="430" t="s">
        <v>1003</v>
      </c>
    </row>
    <row r="7" spans="1:30" ht="15.75">
      <c r="A7" s="430" t="s">
        <v>1013</v>
      </c>
      <c r="B7" s="430"/>
      <c r="C7" s="430"/>
      <c r="D7" s="430"/>
      <c r="E7" s="430" t="s">
        <v>999</v>
      </c>
      <c r="F7" s="430" t="s">
        <v>1004</v>
      </c>
      <c r="G7" s="430"/>
      <c r="H7" s="430"/>
      <c r="I7" s="430" t="s">
        <v>999</v>
      </c>
      <c r="J7" s="430" t="s">
        <v>1004</v>
      </c>
      <c r="K7" s="430"/>
      <c r="L7" s="430"/>
      <c r="M7" s="430" t="s">
        <v>999</v>
      </c>
      <c r="N7" s="430" t="s">
        <v>1004</v>
      </c>
      <c r="O7" s="430"/>
      <c r="P7" s="430"/>
      <c r="Q7" s="430" t="s">
        <v>999</v>
      </c>
      <c r="R7" s="430" t="s">
        <v>1004</v>
      </c>
      <c r="S7" s="430"/>
      <c r="T7" s="430"/>
      <c r="U7" s="430" t="s">
        <v>999</v>
      </c>
      <c r="V7" s="430" t="s">
        <v>1004</v>
      </c>
      <c r="W7" s="430"/>
      <c r="X7" s="430"/>
      <c r="Y7" s="430" t="s">
        <v>999</v>
      </c>
      <c r="Z7" s="430" t="s">
        <v>1004</v>
      </c>
      <c r="AA7" s="430"/>
      <c r="AB7" s="430"/>
      <c r="AC7" s="430" t="s">
        <v>999</v>
      </c>
      <c r="AD7" s="430" t="s">
        <v>1004</v>
      </c>
    </row>
    <row r="8" spans="1:30" ht="16.5" thickBot="1">
      <c r="A8" s="676" t="s">
        <v>1014</v>
      </c>
      <c r="B8" s="676" t="s">
        <v>1015</v>
      </c>
      <c r="C8" s="676" t="s">
        <v>995</v>
      </c>
      <c r="D8" s="676" t="s">
        <v>996</v>
      </c>
      <c r="E8" s="676" t="s">
        <v>1000</v>
      </c>
      <c r="F8" s="676" t="s">
        <v>1005</v>
      </c>
      <c r="G8" s="676" t="s">
        <v>995</v>
      </c>
      <c r="H8" s="676" t="s">
        <v>996</v>
      </c>
      <c r="I8" s="676" t="s">
        <v>1000</v>
      </c>
      <c r="J8" s="676" t="s">
        <v>1005</v>
      </c>
      <c r="K8" s="676" t="s">
        <v>995</v>
      </c>
      <c r="L8" s="676" t="s">
        <v>996</v>
      </c>
      <c r="M8" s="676" t="s">
        <v>1000</v>
      </c>
      <c r="N8" s="676" t="s">
        <v>1005</v>
      </c>
      <c r="O8" s="676" t="s">
        <v>995</v>
      </c>
      <c r="P8" s="676" t="s">
        <v>996</v>
      </c>
      <c r="Q8" s="676" t="s">
        <v>1000</v>
      </c>
      <c r="R8" s="676" t="s">
        <v>1005</v>
      </c>
      <c r="S8" s="676" t="s">
        <v>995</v>
      </c>
      <c r="T8" s="676" t="s">
        <v>996</v>
      </c>
      <c r="U8" s="676" t="s">
        <v>1000</v>
      </c>
      <c r="V8" s="676" t="s">
        <v>1005</v>
      </c>
      <c r="W8" s="676" t="s">
        <v>995</v>
      </c>
      <c r="X8" s="676" t="s">
        <v>996</v>
      </c>
      <c r="Y8" s="676" t="s">
        <v>1000</v>
      </c>
      <c r="Z8" s="676" t="s">
        <v>1005</v>
      </c>
      <c r="AA8" s="676" t="s">
        <v>995</v>
      </c>
      <c r="AB8" s="676" t="s">
        <v>996</v>
      </c>
      <c r="AC8" s="676" t="s">
        <v>1000</v>
      </c>
      <c r="AD8" s="676" t="s">
        <v>1005</v>
      </c>
    </row>
    <row r="9" spans="1:30" ht="21.95" customHeight="1">
      <c r="A9" s="428"/>
      <c r="B9" s="431" t="s">
        <v>208</v>
      </c>
      <c r="C9" s="701"/>
      <c r="D9" s="701"/>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row>
    <row r="10" spans="1:30" ht="21.95" customHeight="1">
      <c r="A10" s="428"/>
      <c r="B10" s="431" t="s">
        <v>127</v>
      </c>
      <c r="C10" s="701"/>
      <c r="D10" s="701"/>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row>
    <row r="11" spans="1:30" ht="21.95" customHeight="1">
      <c r="A11" s="429" t="s">
        <v>187</v>
      </c>
      <c r="B11" s="411" t="s">
        <v>128</v>
      </c>
      <c r="C11" s="311">
        <v>75</v>
      </c>
      <c r="D11" s="311">
        <v>75</v>
      </c>
      <c r="E11" s="311">
        <v>6354.3</v>
      </c>
      <c r="F11" s="314">
        <f>-D11+E11</f>
        <v>6279.3</v>
      </c>
      <c r="G11" s="311"/>
      <c r="H11" s="311"/>
      <c r="I11" s="311"/>
      <c r="J11" s="314">
        <f>-H11+I11</f>
        <v>0</v>
      </c>
      <c r="K11" s="311"/>
      <c r="L11" s="311"/>
      <c r="M11" s="311"/>
      <c r="N11" s="314">
        <f>-L11+M11</f>
        <v>0</v>
      </c>
      <c r="O11" s="311"/>
      <c r="P11" s="311"/>
      <c r="Q11" s="311"/>
      <c r="R11" s="314">
        <f>-P11+Q11</f>
        <v>0</v>
      </c>
      <c r="S11" s="311"/>
      <c r="T11" s="311"/>
      <c r="U11" s="311"/>
      <c r="V11" s="314">
        <f>-T11+U11</f>
        <v>0</v>
      </c>
      <c r="W11" s="311"/>
      <c r="X11" s="311"/>
      <c r="Y11" s="311"/>
      <c r="Z11" s="314">
        <f>-X11+Y11</f>
        <v>0</v>
      </c>
      <c r="AA11" s="311"/>
      <c r="AB11" s="311"/>
      <c r="AC11" s="311"/>
      <c r="AD11" s="314">
        <f>-AB11+AC11</f>
        <v>0</v>
      </c>
    </row>
    <row r="12" spans="1:30" ht="21.95" customHeight="1">
      <c r="A12" s="429">
        <v>314140</v>
      </c>
      <c r="B12" s="411" t="s">
        <v>129</v>
      </c>
      <c r="C12" s="261">
        <v>1200</v>
      </c>
      <c r="D12" s="311">
        <v>1200</v>
      </c>
      <c r="E12" s="311">
        <v>2124.9899999999998</v>
      </c>
      <c r="F12" s="314">
        <f>-D12+E12</f>
        <v>924.98999999999978</v>
      </c>
      <c r="G12" s="311">
        <v>54200</v>
      </c>
      <c r="H12" s="311">
        <v>54200</v>
      </c>
      <c r="I12" s="311">
        <v>53592.27</v>
      </c>
      <c r="J12" s="314">
        <f>-H12+I12</f>
        <v>-607.7300000000032</v>
      </c>
      <c r="K12" s="311"/>
      <c r="L12" s="311"/>
      <c r="M12" s="311"/>
      <c r="N12" s="314">
        <f>-L12+M12</f>
        <v>0</v>
      </c>
      <c r="O12" s="311"/>
      <c r="P12" s="311"/>
      <c r="Q12" s="311"/>
      <c r="R12" s="314">
        <f>-P12+Q12</f>
        <v>0</v>
      </c>
      <c r="S12" s="311"/>
      <c r="T12" s="311"/>
      <c r="U12" s="311"/>
      <c r="V12" s="314">
        <f>-T12+U12</f>
        <v>0</v>
      </c>
      <c r="W12" s="311"/>
      <c r="X12" s="311"/>
      <c r="Y12" s="311"/>
      <c r="Z12" s="314">
        <f>-X12+Y12</f>
        <v>0</v>
      </c>
      <c r="AA12" s="311"/>
      <c r="AB12" s="311"/>
      <c r="AC12" s="311"/>
      <c r="AD12" s="314">
        <f>-AB12+AC12</f>
        <v>0</v>
      </c>
    </row>
    <row r="13" spans="1:30" ht="21.95" customHeight="1">
      <c r="A13" s="429"/>
      <c r="B13" s="431" t="s">
        <v>209</v>
      </c>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row>
    <row r="14" spans="1:30" ht="21.95" customHeight="1">
      <c r="A14" s="429">
        <v>322010</v>
      </c>
      <c r="B14" s="411" t="s">
        <v>485</v>
      </c>
      <c r="C14" s="311"/>
      <c r="D14" s="311"/>
      <c r="E14" s="311"/>
      <c r="F14" s="314">
        <f>-D14+E14</f>
        <v>0</v>
      </c>
      <c r="G14" s="311"/>
      <c r="H14" s="311"/>
      <c r="I14" s="311"/>
      <c r="J14" s="314">
        <f>-H14+I14</f>
        <v>0</v>
      </c>
      <c r="K14" s="311"/>
      <c r="L14" s="311"/>
      <c r="M14" s="311"/>
      <c r="N14" s="314">
        <f>-L14+M14</f>
        <v>0</v>
      </c>
      <c r="O14" s="311"/>
      <c r="P14" s="311"/>
      <c r="Q14" s="311"/>
      <c r="R14" s="314">
        <f>-P14+Q14</f>
        <v>0</v>
      </c>
      <c r="S14" s="311"/>
      <c r="T14" s="311"/>
      <c r="U14" s="311"/>
      <c r="V14" s="314">
        <f>-T14+U14</f>
        <v>0</v>
      </c>
      <c r="W14" s="311"/>
      <c r="X14" s="311"/>
      <c r="Y14" s="311"/>
      <c r="Z14" s="314">
        <f>-X14+Y14</f>
        <v>0</v>
      </c>
      <c r="AA14" s="311"/>
      <c r="AB14" s="311"/>
      <c r="AC14" s="311"/>
      <c r="AD14" s="314">
        <f>-AB14+AC14</f>
        <v>0</v>
      </c>
    </row>
    <row r="15" spans="1:30" ht="21.95" customHeight="1">
      <c r="A15" s="429">
        <v>322020</v>
      </c>
      <c r="B15" s="411" t="s">
        <v>131</v>
      </c>
      <c r="C15" s="311"/>
      <c r="D15" s="311"/>
      <c r="E15" s="311"/>
      <c r="F15" s="314">
        <f>-D15+E15</f>
        <v>0</v>
      </c>
      <c r="G15" s="311"/>
      <c r="H15" s="311"/>
      <c r="I15" s="311"/>
      <c r="J15" s="314">
        <f>-H15+I15</f>
        <v>0</v>
      </c>
      <c r="K15" s="311"/>
      <c r="L15" s="311"/>
      <c r="M15" s="311"/>
      <c r="N15" s="314">
        <f>-L15+M15</f>
        <v>0</v>
      </c>
      <c r="O15" s="311"/>
      <c r="P15" s="311"/>
      <c r="Q15" s="311"/>
      <c r="R15" s="314">
        <f>-P15+Q15</f>
        <v>0</v>
      </c>
      <c r="S15" s="311"/>
      <c r="T15" s="311"/>
      <c r="U15" s="311"/>
      <c r="V15" s="314">
        <f>-T15+U15</f>
        <v>0</v>
      </c>
      <c r="W15" s="311"/>
      <c r="X15" s="311"/>
      <c r="Y15" s="311"/>
      <c r="Z15" s="314">
        <f>-X15+Y15</f>
        <v>0</v>
      </c>
      <c r="AA15" s="311"/>
      <c r="AB15" s="311"/>
      <c r="AC15" s="311"/>
      <c r="AD15" s="314">
        <f>-AB15+AC15</f>
        <v>0</v>
      </c>
    </row>
    <row r="16" spans="1:30" ht="21.95" customHeight="1">
      <c r="A16" s="429">
        <v>323010</v>
      </c>
      <c r="B16" s="411" t="s">
        <v>487</v>
      </c>
      <c r="C16" s="311"/>
      <c r="D16" s="311"/>
      <c r="E16" s="311"/>
      <c r="F16" s="314">
        <f>-D16+E16</f>
        <v>0</v>
      </c>
      <c r="G16" s="311"/>
      <c r="H16" s="311"/>
      <c r="I16" s="311"/>
      <c r="J16" s="314">
        <f>-H16+I16</f>
        <v>0</v>
      </c>
      <c r="K16" s="311"/>
      <c r="L16" s="311"/>
      <c r="M16" s="311"/>
      <c r="N16" s="314">
        <f>-L16+M16</f>
        <v>0</v>
      </c>
      <c r="O16" s="311"/>
      <c r="P16" s="311"/>
      <c r="Q16" s="311"/>
      <c r="R16" s="314">
        <f>-P16+Q16</f>
        <v>0</v>
      </c>
      <c r="S16" s="311"/>
      <c r="T16" s="311"/>
      <c r="U16" s="311"/>
      <c r="V16" s="314">
        <f>-T16+U16</f>
        <v>0</v>
      </c>
      <c r="W16" s="311"/>
      <c r="X16" s="311"/>
      <c r="Y16" s="311"/>
      <c r="Z16" s="314">
        <f>-X16+Y16</f>
        <v>0</v>
      </c>
      <c r="AA16" s="311"/>
      <c r="AB16" s="311"/>
      <c r="AC16" s="311"/>
      <c r="AD16" s="314">
        <f>-AB16+AC16</f>
        <v>0</v>
      </c>
    </row>
    <row r="17" spans="1:30" ht="21.95" customHeight="1">
      <c r="A17" s="429">
        <v>323030</v>
      </c>
      <c r="B17" s="411" t="s">
        <v>486</v>
      </c>
      <c r="C17" s="311"/>
      <c r="D17" s="311"/>
      <c r="E17" s="311"/>
      <c r="F17" s="314">
        <f>-D17+E17</f>
        <v>0</v>
      </c>
      <c r="G17" s="311"/>
      <c r="H17" s="311"/>
      <c r="I17" s="311"/>
      <c r="J17" s="314">
        <f>-H17+I17</f>
        <v>0</v>
      </c>
      <c r="K17" s="311"/>
      <c r="L17" s="311"/>
      <c r="M17" s="311"/>
      <c r="N17" s="314">
        <f>-L17+M17</f>
        <v>0</v>
      </c>
      <c r="O17" s="311"/>
      <c r="P17" s="311"/>
      <c r="Q17" s="311"/>
      <c r="R17" s="314">
        <f>-P17+Q17</f>
        <v>0</v>
      </c>
      <c r="S17" s="311"/>
      <c r="T17" s="311"/>
      <c r="U17" s="311"/>
      <c r="V17" s="314">
        <f>-T17+U17</f>
        <v>0</v>
      </c>
      <c r="W17" s="311"/>
      <c r="X17" s="311"/>
      <c r="Y17" s="311"/>
      <c r="Z17" s="314">
        <f>-X17+Y17</f>
        <v>0</v>
      </c>
      <c r="AA17" s="311"/>
      <c r="AB17" s="311"/>
      <c r="AC17" s="311"/>
      <c r="AD17" s="314">
        <f>-AB17+AC17</f>
        <v>0</v>
      </c>
    </row>
    <row r="18" spans="1:30" ht="21.95" customHeight="1">
      <c r="A18" s="429">
        <v>323050</v>
      </c>
      <c r="B18" s="411" t="s">
        <v>488</v>
      </c>
      <c r="C18" s="311"/>
      <c r="D18" s="311"/>
      <c r="E18" s="311"/>
      <c r="F18" s="314">
        <f>-D18+E18</f>
        <v>0</v>
      </c>
      <c r="G18" s="311"/>
      <c r="H18" s="311"/>
      <c r="I18" s="311"/>
      <c r="J18" s="314">
        <f>-H18+I18</f>
        <v>0</v>
      </c>
      <c r="K18" s="311"/>
      <c r="L18" s="311"/>
      <c r="M18" s="311"/>
      <c r="N18" s="314">
        <f>-L18+M18</f>
        <v>0</v>
      </c>
      <c r="O18" s="311"/>
      <c r="P18" s="311"/>
      <c r="Q18" s="311"/>
      <c r="R18" s="314">
        <f>-P18+Q18</f>
        <v>0</v>
      </c>
      <c r="S18" s="311"/>
      <c r="T18" s="311"/>
      <c r="U18" s="311"/>
      <c r="V18" s="314">
        <f>-T18+U18</f>
        <v>0</v>
      </c>
      <c r="W18" s="311"/>
      <c r="X18" s="311"/>
      <c r="Y18" s="311"/>
      <c r="Z18" s="314">
        <f>-X18+Y18</f>
        <v>0</v>
      </c>
      <c r="AA18" s="311"/>
      <c r="AB18" s="311"/>
      <c r="AC18" s="311"/>
      <c r="AD18" s="314">
        <f>-AB18+AC18</f>
        <v>0</v>
      </c>
    </row>
    <row r="19" spans="1:30" s="308" customFormat="1" ht="30" customHeight="1">
      <c r="A19" s="429"/>
      <c r="B19" s="435" t="s">
        <v>493</v>
      </c>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row>
    <row r="20" spans="1:30" ht="21.95" customHeight="1">
      <c r="A20" s="429">
        <v>331000</v>
      </c>
      <c r="B20" s="411" t="s">
        <v>489</v>
      </c>
      <c r="C20" s="311"/>
      <c r="D20" s="311"/>
      <c r="E20" s="311"/>
      <c r="F20" s="314">
        <f t="shared" ref="F20:F25" si="0">-D20+E20</f>
        <v>0</v>
      </c>
      <c r="G20" s="311"/>
      <c r="H20" s="311"/>
      <c r="I20" s="311"/>
      <c r="J20" s="314">
        <f t="shared" ref="J20:J25" si="1">-H20+I20</f>
        <v>0</v>
      </c>
      <c r="K20" s="311"/>
      <c r="L20" s="311"/>
      <c r="M20" s="311"/>
      <c r="N20" s="314">
        <f t="shared" ref="N20:N25" si="2">-L20+M20</f>
        <v>0</v>
      </c>
      <c r="O20" s="311"/>
      <c r="P20" s="311"/>
      <c r="Q20" s="311"/>
      <c r="R20" s="314">
        <f t="shared" ref="R20:R25" si="3">-P20+Q20</f>
        <v>0</v>
      </c>
      <c r="S20" s="311"/>
      <c r="T20" s="311"/>
      <c r="U20" s="311"/>
      <c r="V20" s="314">
        <f t="shared" ref="V20:V25" si="4">-T20+U20</f>
        <v>0</v>
      </c>
      <c r="W20" s="311"/>
      <c r="X20" s="311"/>
      <c r="Y20" s="311"/>
      <c r="Z20" s="314">
        <f t="shared" ref="Z20:Z25" si="5">-X20+Y20</f>
        <v>0</v>
      </c>
      <c r="AA20" s="311"/>
      <c r="AB20" s="311"/>
      <c r="AC20" s="311"/>
      <c r="AD20" s="314">
        <f t="shared" ref="AD20:AD25" si="6">-AB20+AC20</f>
        <v>0</v>
      </c>
    </row>
    <row r="21" spans="1:30" ht="21.95" customHeight="1">
      <c r="A21" s="429" t="s">
        <v>2608</v>
      </c>
      <c r="B21" s="411" t="s">
        <v>490</v>
      </c>
      <c r="C21" s="311"/>
      <c r="D21" s="311"/>
      <c r="E21" s="311"/>
      <c r="F21" s="314">
        <f t="shared" si="0"/>
        <v>0</v>
      </c>
      <c r="G21" s="311"/>
      <c r="H21" s="311"/>
      <c r="I21" s="311"/>
      <c r="J21" s="314">
        <f t="shared" si="1"/>
        <v>0</v>
      </c>
      <c r="K21" s="311"/>
      <c r="L21" s="311"/>
      <c r="M21" s="311"/>
      <c r="N21" s="314">
        <f t="shared" si="2"/>
        <v>0</v>
      </c>
      <c r="O21" s="311"/>
      <c r="P21" s="311"/>
      <c r="Q21" s="311"/>
      <c r="R21" s="314">
        <f t="shared" si="3"/>
        <v>0</v>
      </c>
      <c r="S21" s="311"/>
      <c r="T21" s="311"/>
      <c r="U21" s="311"/>
      <c r="V21" s="314">
        <f t="shared" si="4"/>
        <v>0</v>
      </c>
      <c r="W21" s="311"/>
      <c r="X21" s="311"/>
      <c r="Y21" s="311"/>
      <c r="Z21" s="314">
        <f t="shared" si="5"/>
        <v>0</v>
      </c>
      <c r="AA21" s="311"/>
      <c r="AB21" s="311"/>
      <c r="AC21" s="311"/>
      <c r="AD21" s="314">
        <f t="shared" si="6"/>
        <v>0</v>
      </c>
    </row>
    <row r="22" spans="1:30" ht="21.95" customHeight="1">
      <c r="A22" s="429">
        <v>334000</v>
      </c>
      <c r="B22" s="411" t="s">
        <v>491</v>
      </c>
      <c r="C22" s="311"/>
      <c r="D22" s="311"/>
      <c r="E22" s="311"/>
      <c r="F22" s="314">
        <f t="shared" si="0"/>
        <v>0</v>
      </c>
      <c r="G22" s="311"/>
      <c r="H22" s="311"/>
      <c r="I22" s="311"/>
      <c r="J22" s="314">
        <f t="shared" si="1"/>
        <v>0</v>
      </c>
      <c r="K22" s="311"/>
      <c r="L22" s="311"/>
      <c r="M22" s="311"/>
      <c r="N22" s="314">
        <f t="shared" si="2"/>
        <v>0</v>
      </c>
      <c r="O22" s="311"/>
      <c r="P22" s="311"/>
      <c r="Q22" s="311"/>
      <c r="R22" s="314">
        <f t="shared" si="3"/>
        <v>0</v>
      </c>
      <c r="S22" s="311"/>
      <c r="T22" s="311"/>
      <c r="U22" s="311"/>
      <c r="V22" s="314">
        <f t="shared" si="4"/>
        <v>0</v>
      </c>
      <c r="W22" s="311"/>
      <c r="X22" s="311"/>
      <c r="Y22" s="311"/>
      <c r="Z22" s="314">
        <f t="shared" si="5"/>
        <v>0</v>
      </c>
      <c r="AA22" s="311"/>
      <c r="AB22" s="311"/>
      <c r="AC22" s="311"/>
      <c r="AD22" s="314">
        <f t="shared" si="6"/>
        <v>0</v>
      </c>
    </row>
    <row r="23" spans="1:30" ht="21.95" customHeight="1">
      <c r="A23" s="429" t="s">
        <v>2609</v>
      </c>
      <c r="B23" s="411" t="s">
        <v>492</v>
      </c>
      <c r="C23" s="311">
        <v>5800</v>
      </c>
      <c r="D23" s="311">
        <v>5800</v>
      </c>
      <c r="E23" s="311">
        <v>6556.86</v>
      </c>
      <c r="F23" s="314">
        <f t="shared" si="0"/>
        <v>756.85999999999967</v>
      </c>
      <c r="G23" s="311"/>
      <c r="H23" s="311"/>
      <c r="I23" s="311"/>
      <c r="J23" s="314">
        <f t="shared" si="1"/>
        <v>0</v>
      </c>
      <c r="K23" s="311">
        <v>15366</v>
      </c>
      <c r="L23" s="311">
        <v>15366</v>
      </c>
      <c r="M23" s="311">
        <v>15265.79</v>
      </c>
      <c r="N23" s="314">
        <f t="shared" si="2"/>
        <v>-100.20999999999913</v>
      </c>
      <c r="O23" s="311"/>
      <c r="P23" s="311"/>
      <c r="Q23" s="311"/>
      <c r="R23" s="314">
        <f t="shared" si="3"/>
        <v>0</v>
      </c>
      <c r="S23" s="311"/>
      <c r="T23" s="311"/>
      <c r="U23" s="311"/>
      <c r="V23" s="314">
        <f t="shared" si="4"/>
        <v>0</v>
      </c>
      <c r="W23" s="311"/>
      <c r="X23" s="311"/>
      <c r="Y23" s="311"/>
      <c r="Z23" s="314">
        <f t="shared" si="5"/>
        <v>0</v>
      </c>
      <c r="AA23" s="311"/>
      <c r="AB23" s="311"/>
      <c r="AC23" s="311"/>
      <c r="AD23" s="314">
        <f t="shared" si="6"/>
        <v>0</v>
      </c>
    </row>
    <row r="24" spans="1:30" ht="21.95" customHeight="1">
      <c r="A24" s="429">
        <v>337000</v>
      </c>
      <c r="B24" s="411" t="s">
        <v>1150</v>
      </c>
      <c r="C24" s="311"/>
      <c r="D24" s="311"/>
      <c r="E24" s="311"/>
      <c r="F24" s="314">
        <f t="shared" si="0"/>
        <v>0</v>
      </c>
      <c r="G24" s="311"/>
      <c r="H24" s="311"/>
      <c r="I24" s="311"/>
      <c r="J24" s="314">
        <f t="shared" si="1"/>
        <v>0</v>
      </c>
      <c r="K24" s="311"/>
      <c r="L24" s="311"/>
      <c r="M24" s="311"/>
      <c r="N24" s="314">
        <f t="shared" si="2"/>
        <v>0</v>
      </c>
      <c r="O24" s="311"/>
      <c r="P24" s="311"/>
      <c r="Q24" s="311"/>
      <c r="R24" s="314">
        <f t="shared" si="3"/>
        <v>0</v>
      </c>
      <c r="S24" s="311"/>
      <c r="T24" s="311"/>
      <c r="U24" s="311"/>
      <c r="V24" s="314">
        <f t="shared" si="4"/>
        <v>0</v>
      </c>
      <c r="W24" s="311"/>
      <c r="X24" s="311"/>
      <c r="Y24" s="311"/>
      <c r="Z24" s="314">
        <f t="shared" si="5"/>
        <v>0</v>
      </c>
      <c r="AA24" s="311"/>
      <c r="AB24" s="311"/>
      <c r="AC24" s="311"/>
      <c r="AD24" s="314">
        <f t="shared" si="6"/>
        <v>0</v>
      </c>
    </row>
    <row r="25" spans="1:30" ht="21.95" customHeight="1">
      <c r="A25" s="429">
        <v>338000</v>
      </c>
      <c r="B25" s="411" t="s">
        <v>1152</v>
      </c>
      <c r="C25" s="311"/>
      <c r="D25" s="311"/>
      <c r="E25" s="311"/>
      <c r="F25" s="314">
        <f t="shared" si="0"/>
        <v>0</v>
      </c>
      <c r="G25" s="311"/>
      <c r="H25" s="311"/>
      <c r="I25" s="311"/>
      <c r="J25" s="314">
        <f t="shared" si="1"/>
        <v>0</v>
      </c>
      <c r="K25" s="311"/>
      <c r="L25" s="311"/>
      <c r="M25" s="311"/>
      <c r="N25" s="314">
        <f t="shared" si="2"/>
        <v>0</v>
      </c>
      <c r="O25" s="311"/>
      <c r="P25" s="311"/>
      <c r="Q25" s="311"/>
      <c r="R25" s="314">
        <f t="shared" si="3"/>
        <v>0</v>
      </c>
      <c r="S25" s="311"/>
      <c r="T25" s="311"/>
      <c r="U25" s="311"/>
      <c r="V25" s="314">
        <f t="shared" si="4"/>
        <v>0</v>
      </c>
      <c r="W25" s="311"/>
      <c r="X25" s="311"/>
      <c r="Y25" s="311"/>
      <c r="Z25" s="314">
        <f t="shared" si="5"/>
        <v>0</v>
      </c>
      <c r="AA25" s="311"/>
      <c r="AB25" s="311"/>
      <c r="AC25" s="311"/>
      <c r="AD25" s="314">
        <f t="shared" si="6"/>
        <v>0</v>
      </c>
    </row>
    <row r="26" spans="1:30" s="308" customFormat="1" ht="21.95" customHeight="1">
      <c r="A26" s="429"/>
      <c r="B26" s="431" t="s">
        <v>212</v>
      </c>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row>
    <row r="27" spans="1:30" ht="21.95" customHeight="1">
      <c r="A27" s="429">
        <v>341000</v>
      </c>
      <c r="B27" s="411" t="s">
        <v>494</v>
      </c>
      <c r="C27" s="311"/>
      <c r="D27" s="311"/>
      <c r="E27" s="311"/>
      <c r="F27" s="314">
        <f t="shared" ref="F27:F32" si="7">-D27+E27</f>
        <v>0</v>
      </c>
      <c r="G27" s="311"/>
      <c r="H27" s="311"/>
      <c r="I27" s="311"/>
      <c r="J27" s="314">
        <f t="shared" ref="J27:J32" si="8">-H27+I27</f>
        <v>0</v>
      </c>
      <c r="K27" s="311"/>
      <c r="L27" s="311"/>
      <c r="M27" s="311"/>
      <c r="N27" s="314">
        <f t="shared" ref="N27:N32" si="9">-L27+M27</f>
        <v>0</v>
      </c>
      <c r="O27" s="311"/>
      <c r="P27" s="311"/>
      <c r="Q27" s="311"/>
      <c r="R27" s="314">
        <f t="shared" ref="R27:R32" si="10">-P27+Q27</f>
        <v>0</v>
      </c>
      <c r="S27" s="311"/>
      <c r="T27" s="311"/>
      <c r="U27" s="311"/>
      <c r="V27" s="314">
        <f t="shared" ref="V27:V32" si="11">-T27+U27</f>
        <v>0</v>
      </c>
      <c r="W27" s="311"/>
      <c r="X27" s="311"/>
      <c r="Y27" s="311"/>
      <c r="Z27" s="314">
        <f t="shared" ref="Z27:Z32" si="12">-X27+Y27</f>
        <v>0</v>
      </c>
      <c r="AA27" s="311"/>
      <c r="AB27" s="311"/>
      <c r="AC27" s="311"/>
      <c r="AD27" s="314">
        <f t="shared" ref="AD27:AD32" si="13">-AB27+AC27</f>
        <v>0</v>
      </c>
    </row>
    <row r="28" spans="1:30" ht="21.95" customHeight="1">
      <c r="A28" s="429">
        <v>342000</v>
      </c>
      <c r="B28" s="411" t="s">
        <v>219</v>
      </c>
      <c r="C28" s="311"/>
      <c r="D28" s="311"/>
      <c r="E28" s="311"/>
      <c r="F28" s="314">
        <f t="shared" si="7"/>
        <v>0</v>
      </c>
      <c r="G28" s="311"/>
      <c r="H28" s="311"/>
      <c r="I28" s="311"/>
      <c r="J28" s="314">
        <f t="shared" si="8"/>
        <v>0</v>
      </c>
      <c r="K28" s="311"/>
      <c r="L28" s="311"/>
      <c r="M28" s="311"/>
      <c r="N28" s="314">
        <f t="shared" si="9"/>
        <v>0</v>
      </c>
      <c r="O28" s="311"/>
      <c r="P28" s="311"/>
      <c r="Q28" s="311"/>
      <c r="R28" s="314">
        <f t="shared" si="10"/>
        <v>0</v>
      </c>
      <c r="S28" s="311"/>
      <c r="T28" s="311"/>
      <c r="U28" s="311"/>
      <c r="V28" s="314">
        <f t="shared" si="11"/>
        <v>0</v>
      </c>
      <c r="W28" s="311"/>
      <c r="X28" s="311"/>
      <c r="Y28" s="311"/>
      <c r="Z28" s="314">
        <f t="shared" si="12"/>
        <v>0</v>
      </c>
      <c r="AA28" s="311"/>
      <c r="AB28" s="311"/>
      <c r="AC28" s="311"/>
      <c r="AD28" s="314">
        <f t="shared" si="13"/>
        <v>0</v>
      </c>
    </row>
    <row r="29" spans="1:30" ht="21.95" customHeight="1">
      <c r="A29" s="429">
        <v>343000</v>
      </c>
      <c r="B29" s="411" t="s">
        <v>220</v>
      </c>
      <c r="C29" s="311"/>
      <c r="D29" s="311"/>
      <c r="E29" s="311"/>
      <c r="F29" s="314">
        <f t="shared" si="7"/>
        <v>0</v>
      </c>
      <c r="G29" s="311"/>
      <c r="H29" s="311"/>
      <c r="I29" s="311"/>
      <c r="J29" s="314">
        <f t="shared" si="8"/>
        <v>0</v>
      </c>
      <c r="K29" s="311"/>
      <c r="L29" s="311"/>
      <c r="M29" s="311"/>
      <c r="N29" s="314">
        <f t="shared" si="9"/>
        <v>0</v>
      </c>
      <c r="O29" s="311"/>
      <c r="P29" s="311"/>
      <c r="Q29" s="311"/>
      <c r="R29" s="314">
        <f t="shared" si="10"/>
        <v>0</v>
      </c>
      <c r="S29" s="311"/>
      <c r="T29" s="311"/>
      <c r="U29" s="311"/>
      <c r="V29" s="314">
        <f t="shared" si="11"/>
        <v>0</v>
      </c>
      <c r="W29" s="311"/>
      <c r="X29" s="311"/>
      <c r="Y29" s="311"/>
      <c r="Z29" s="314">
        <f t="shared" si="12"/>
        <v>0</v>
      </c>
      <c r="AA29" s="311"/>
      <c r="AB29" s="311"/>
      <c r="AC29" s="311"/>
      <c r="AD29" s="314">
        <f t="shared" si="13"/>
        <v>0</v>
      </c>
    </row>
    <row r="30" spans="1:30" ht="21.95" customHeight="1">
      <c r="A30" s="429">
        <v>344000</v>
      </c>
      <c r="B30" s="411" t="s">
        <v>188</v>
      </c>
      <c r="C30" s="414"/>
      <c r="D30" s="414"/>
      <c r="E30" s="414"/>
      <c r="F30" s="314">
        <f t="shared" si="7"/>
        <v>0</v>
      </c>
      <c r="G30" s="414"/>
      <c r="H30" s="414"/>
      <c r="I30" s="414"/>
      <c r="J30" s="314">
        <f t="shared" si="8"/>
        <v>0</v>
      </c>
      <c r="K30" s="414"/>
      <c r="L30" s="414"/>
      <c r="M30" s="414"/>
      <c r="N30" s="314">
        <f t="shared" si="9"/>
        <v>0</v>
      </c>
      <c r="O30" s="414"/>
      <c r="P30" s="414"/>
      <c r="Q30" s="414"/>
      <c r="R30" s="314">
        <f t="shared" si="10"/>
        <v>0</v>
      </c>
      <c r="S30" s="414"/>
      <c r="T30" s="414"/>
      <c r="U30" s="414"/>
      <c r="V30" s="314">
        <f t="shared" si="11"/>
        <v>0</v>
      </c>
      <c r="W30" s="414"/>
      <c r="X30" s="414"/>
      <c r="Y30" s="414"/>
      <c r="Z30" s="314">
        <f t="shared" si="12"/>
        <v>0</v>
      </c>
      <c r="AA30" s="414"/>
      <c r="AB30" s="414"/>
      <c r="AC30" s="414"/>
      <c r="AD30" s="314">
        <f t="shared" si="13"/>
        <v>0</v>
      </c>
    </row>
    <row r="31" spans="1:30" ht="21.95" customHeight="1">
      <c r="A31" s="429">
        <v>345000</v>
      </c>
      <c r="B31" s="411" t="s">
        <v>189</v>
      </c>
      <c r="C31" s="311"/>
      <c r="D31" s="311"/>
      <c r="E31" s="311"/>
      <c r="F31" s="314">
        <f t="shared" si="7"/>
        <v>0</v>
      </c>
      <c r="G31" s="311"/>
      <c r="H31" s="311"/>
      <c r="I31" s="311"/>
      <c r="J31" s="314">
        <f t="shared" si="8"/>
        <v>0</v>
      </c>
      <c r="K31" s="311"/>
      <c r="L31" s="311"/>
      <c r="M31" s="311"/>
      <c r="N31" s="314">
        <f t="shared" si="9"/>
        <v>0</v>
      </c>
      <c r="O31" s="311"/>
      <c r="P31" s="311"/>
      <c r="Q31" s="311"/>
      <c r="R31" s="314">
        <f t="shared" si="10"/>
        <v>0</v>
      </c>
      <c r="S31" s="311"/>
      <c r="T31" s="311"/>
      <c r="U31" s="311"/>
      <c r="V31" s="314">
        <f t="shared" si="11"/>
        <v>0</v>
      </c>
      <c r="W31" s="311"/>
      <c r="X31" s="311"/>
      <c r="Y31" s="311"/>
      <c r="Z31" s="314">
        <f t="shared" si="12"/>
        <v>0</v>
      </c>
      <c r="AA31" s="311"/>
      <c r="AB31" s="311"/>
      <c r="AC31" s="311"/>
      <c r="AD31" s="314">
        <f t="shared" si="13"/>
        <v>0</v>
      </c>
    </row>
    <row r="32" spans="1:30" ht="21.95" customHeight="1">
      <c r="A32" s="429">
        <v>346000</v>
      </c>
      <c r="B32" s="411" t="s">
        <v>223</v>
      </c>
      <c r="C32" s="311"/>
      <c r="D32" s="311"/>
      <c r="E32" s="311"/>
      <c r="F32" s="314">
        <f t="shared" si="7"/>
        <v>0</v>
      </c>
      <c r="G32" s="311"/>
      <c r="H32" s="311"/>
      <c r="I32" s="311"/>
      <c r="J32" s="314">
        <f t="shared" si="8"/>
        <v>0</v>
      </c>
      <c r="K32" s="311"/>
      <c r="L32" s="311"/>
      <c r="M32" s="311"/>
      <c r="N32" s="314">
        <f t="shared" si="9"/>
        <v>0</v>
      </c>
      <c r="O32" s="311"/>
      <c r="P32" s="311"/>
      <c r="Q32" s="311"/>
      <c r="R32" s="314">
        <f t="shared" si="10"/>
        <v>0</v>
      </c>
      <c r="S32" s="311"/>
      <c r="T32" s="311"/>
      <c r="U32" s="311"/>
      <c r="V32" s="314">
        <f t="shared" si="11"/>
        <v>0</v>
      </c>
      <c r="W32" s="311"/>
      <c r="X32" s="311"/>
      <c r="Y32" s="311"/>
      <c r="Z32" s="314">
        <f t="shared" si="12"/>
        <v>0</v>
      </c>
      <c r="AA32" s="311"/>
      <c r="AB32" s="311"/>
      <c r="AC32" s="311"/>
      <c r="AD32" s="314">
        <f t="shared" si="13"/>
        <v>0</v>
      </c>
    </row>
    <row r="33" spans="1:30" s="308" customFormat="1" ht="21.95" customHeight="1">
      <c r="A33" s="429"/>
      <c r="B33" s="431" t="s">
        <v>213</v>
      </c>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row>
    <row r="34" spans="1:30" ht="21.95" customHeight="1">
      <c r="A34" s="429">
        <v>351010</v>
      </c>
      <c r="B34" s="411" t="s">
        <v>320</v>
      </c>
      <c r="C34" s="311"/>
      <c r="D34" s="311"/>
      <c r="E34" s="311"/>
      <c r="F34" s="314">
        <f>-D34+E34</f>
        <v>0</v>
      </c>
      <c r="G34" s="311"/>
      <c r="H34" s="311"/>
      <c r="I34" s="311"/>
      <c r="J34" s="314">
        <f>-H34+I34</f>
        <v>0</v>
      </c>
      <c r="K34" s="311"/>
      <c r="L34" s="311"/>
      <c r="M34" s="311"/>
      <c r="N34" s="314">
        <f>-L34+M34</f>
        <v>0</v>
      </c>
      <c r="O34" s="311"/>
      <c r="P34" s="311"/>
      <c r="Q34" s="311"/>
      <c r="R34" s="314">
        <f>-P34+Q34</f>
        <v>0</v>
      </c>
      <c r="S34" s="311"/>
      <c r="T34" s="311"/>
      <c r="U34" s="311"/>
      <c r="V34" s="314">
        <f>-T34+U34</f>
        <v>0</v>
      </c>
      <c r="W34" s="311"/>
      <c r="X34" s="311"/>
      <c r="Y34" s="311"/>
      <c r="Z34" s="314">
        <f>-X34+Y34</f>
        <v>0</v>
      </c>
      <c r="AA34" s="311"/>
      <c r="AB34" s="311"/>
      <c r="AC34" s="311"/>
      <c r="AD34" s="314">
        <f>-AB34+AC34</f>
        <v>0</v>
      </c>
    </row>
    <row r="35" spans="1:30" ht="21.95" customHeight="1">
      <c r="A35" s="429">
        <v>351020</v>
      </c>
      <c r="B35" s="411" t="s">
        <v>322</v>
      </c>
      <c r="C35" s="311"/>
      <c r="D35" s="311"/>
      <c r="E35" s="311"/>
      <c r="F35" s="314">
        <f>-D35+E35</f>
        <v>0</v>
      </c>
      <c r="G35" s="311"/>
      <c r="H35" s="311"/>
      <c r="I35" s="311"/>
      <c r="J35" s="314">
        <f>-H35+I35</f>
        <v>0</v>
      </c>
      <c r="K35" s="311"/>
      <c r="L35" s="311"/>
      <c r="M35" s="311"/>
      <c r="N35" s="314">
        <f>-L35+M35</f>
        <v>0</v>
      </c>
      <c r="O35" s="311"/>
      <c r="P35" s="311"/>
      <c r="Q35" s="311"/>
      <c r="R35" s="314">
        <f>-P35+Q35</f>
        <v>0</v>
      </c>
      <c r="S35" s="311"/>
      <c r="T35" s="311"/>
      <c r="U35" s="311"/>
      <c r="V35" s="314">
        <f>-T35+U35</f>
        <v>0</v>
      </c>
      <c r="W35" s="311"/>
      <c r="X35" s="311"/>
      <c r="Y35" s="311"/>
      <c r="Z35" s="314">
        <f>-X35+Y35</f>
        <v>0</v>
      </c>
      <c r="AA35" s="311"/>
      <c r="AB35" s="311"/>
      <c r="AC35" s="311"/>
      <c r="AD35" s="314">
        <f>-AB35+AC35</f>
        <v>0</v>
      </c>
    </row>
    <row r="36" spans="1:30" ht="21.95" customHeight="1">
      <c r="A36" s="429">
        <v>351030</v>
      </c>
      <c r="B36" s="411" t="s">
        <v>321</v>
      </c>
      <c r="C36" s="311"/>
      <c r="D36" s="311"/>
      <c r="E36" s="311"/>
      <c r="F36" s="314">
        <f>-D36+E36</f>
        <v>0</v>
      </c>
      <c r="G36" s="311"/>
      <c r="H36" s="311"/>
      <c r="I36" s="311"/>
      <c r="J36" s="314">
        <f>-H36+I36</f>
        <v>0</v>
      </c>
      <c r="K36" s="311"/>
      <c r="L36" s="311"/>
      <c r="M36" s="311"/>
      <c r="N36" s="314">
        <f>-L36+M36</f>
        <v>0</v>
      </c>
      <c r="O36" s="311"/>
      <c r="P36" s="311"/>
      <c r="Q36" s="311"/>
      <c r="R36" s="314">
        <f>-P36+Q36</f>
        <v>0</v>
      </c>
      <c r="S36" s="311"/>
      <c r="T36" s="311"/>
      <c r="U36" s="311"/>
      <c r="V36" s="314">
        <f>-T36+U36</f>
        <v>0</v>
      </c>
      <c r="W36" s="311"/>
      <c r="X36" s="311"/>
      <c r="Y36" s="311"/>
      <c r="Z36" s="314">
        <f>-X36+Y36</f>
        <v>0</v>
      </c>
      <c r="AA36" s="311"/>
      <c r="AB36" s="311"/>
      <c r="AC36" s="311"/>
      <c r="AD36" s="314">
        <f>-AB36+AC36</f>
        <v>0</v>
      </c>
    </row>
    <row r="37" spans="1:30" ht="21.95" customHeight="1">
      <c r="A37" s="429">
        <v>360000</v>
      </c>
      <c r="B37" s="431" t="s">
        <v>214</v>
      </c>
      <c r="C37" s="311"/>
      <c r="D37" s="311"/>
      <c r="E37" s="311"/>
      <c r="F37" s="314">
        <f>-D37+E37</f>
        <v>0</v>
      </c>
      <c r="G37" s="311"/>
      <c r="H37" s="311"/>
      <c r="I37" s="311"/>
      <c r="J37" s="314">
        <f>-H37+I37</f>
        <v>0</v>
      </c>
      <c r="K37" s="311"/>
      <c r="L37" s="311"/>
      <c r="M37" s="311"/>
      <c r="N37" s="314">
        <f>-L37+M37</f>
        <v>0</v>
      </c>
      <c r="O37" s="311"/>
      <c r="P37" s="311"/>
      <c r="Q37" s="311"/>
      <c r="R37" s="314">
        <f>-P37+Q37</f>
        <v>0</v>
      </c>
      <c r="S37" s="311"/>
      <c r="T37" s="311"/>
      <c r="U37" s="311"/>
      <c r="V37" s="314">
        <f>-T37+U37</f>
        <v>0</v>
      </c>
      <c r="W37" s="311"/>
      <c r="X37" s="311"/>
      <c r="Y37" s="311"/>
      <c r="Z37" s="314">
        <f>-X37+Y37</f>
        <v>0</v>
      </c>
      <c r="AA37" s="311"/>
      <c r="AB37" s="311"/>
      <c r="AC37" s="311"/>
      <c r="AD37" s="314">
        <f>-AB37+AC37</f>
        <v>0</v>
      </c>
    </row>
    <row r="38" spans="1:30" ht="21.95" customHeight="1">
      <c r="A38" s="429">
        <v>370000</v>
      </c>
      <c r="B38" s="431" t="s">
        <v>215</v>
      </c>
      <c r="C38" s="311">
        <v>25</v>
      </c>
      <c r="D38" s="311">
        <v>25</v>
      </c>
      <c r="E38" s="311">
        <v>1.36</v>
      </c>
      <c r="F38" s="314">
        <f>-D38+E38</f>
        <v>-23.64</v>
      </c>
      <c r="G38" s="311">
        <v>100</v>
      </c>
      <c r="H38" s="311">
        <v>100</v>
      </c>
      <c r="I38" s="311">
        <v>74.430000000000007</v>
      </c>
      <c r="J38" s="314">
        <f>-H38+I38</f>
        <v>-25.569999999999993</v>
      </c>
      <c r="K38" s="311">
        <v>20</v>
      </c>
      <c r="L38" s="311">
        <v>20</v>
      </c>
      <c r="M38" s="311">
        <v>11.24</v>
      </c>
      <c r="N38" s="314">
        <f>-L38+M38</f>
        <v>-8.76</v>
      </c>
      <c r="O38" s="311">
        <v>0</v>
      </c>
      <c r="P38" s="311">
        <v>0</v>
      </c>
      <c r="Q38" s="311">
        <v>9.17</v>
      </c>
      <c r="R38" s="314">
        <f>-P38+Q38</f>
        <v>9.17</v>
      </c>
      <c r="S38" s="311"/>
      <c r="T38" s="311"/>
      <c r="U38" s="311"/>
      <c r="V38" s="314">
        <f>-T38+U38</f>
        <v>0</v>
      </c>
      <c r="W38" s="311"/>
      <c r="X38" s="311"/>
      <c r="Y38" s="311"/>
      <c r="Z38" s="314">
        <f>-X38+Y38</f>
        <v>0</v>
      </c>
      <c r="AA38" s="311"/>
      <c r="AB38" s="311"/>
      <c r="AC38" s="311"/>
      <c r="AD38" s="314">
        <f>-AB38+AC38</f>
        <v>0</v>
      </c>
    </row>
    <row r="39" spans="1:30" s="308" customFormat="1" ht="21.95" customHeight="1" thickBot="1">
      <c r="A39" s="429"/>
      <c r="B39" s="411"/>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row>
    <row r="40" spans="1:30" s="308" customFormat="1" ht="21.95" customHeight="1">
      <c r="A40" s="429"/>
      <c r="B40" s="430" t="s">
        <v>130</v>
      </c>
      <c r="C40" s="314">
        <f t="shared" ref="C40:N40" si="14">SUM(C9:C39)</f>
        <v>7100</v>
      </c>
      <c r="D40" s="314">
        <f t="shared" si="14"/>
        <v>7100</v>
      </c>
      <c r="E40" s="314">
        <f t="shared" si="14"/>
        <v>15037.510000000002</v>
      </c>
      <c r="F40" s="314">
        <f t="shared" si="14"/>
        <v>7937.5099999999993</v>
      </c>
      <c r="G40" s="314">
        <f t="shared" si="14"/>
        <v>54300</v>
      </c>
      <c r="H40" s="314">
        <f t="shared" si="14"/>
        <v>54300</v>
      </c>
      <c r="I40" s="314">
        <f t="shared" si="14"/>
        <v>53666.7</v>
      </c>
      <c r="J40" s="314">
        <f t="shared" si="14"/>
        <v>-633.30000000000314</v>
      </c>
      <c r="K40" s="314">
        <f t="shared" si="14"/>
        <v>15386</v>
      </c>
      <c r="L40" s="314">
        <f t="shared" si="14"/>
        <v>15386</v>
      </c>
      <c r="M40" s="314">
        <f t="shared" si="14"/>
        <v>15277.03</v>
      </c>
      <c r="N40" s="314">
        <f t="shared" si="14"/>
        <v>-108.96999999999913</v>
      </c>
      <c r="O40" s="314">
        <f t="shared" ref="O40:AD40" si="15">SUM(O9:O39)</f>
        <v>0</v>
      </c>
      <c r="P40" s="314">
        <f t="shared" si="15"/>
        <v>0</v>
      </c>
      <c r="Q40" s="314">
        <f t="shared" si="15"/>
        <v>9.17</v>
      </c>
      <c r="R40" s="314">
        <f t="shared" si="15"/>
        <v>9.17</v>
      </c>
      <c r="S40" s="314">
        <f t="shared" si="15"/>
        <v>0</v>
      </c>
      <c r="T40" s="314">
        <f t="shared" si="15"/>
        <v>0</v>
      </c>
      <c r="U40" s="314">
        <f t="shared" si="15"/>
        <v>0</v>
      </c>
      <c r="V40" s="314">
        <f t="shared" si="15"/>
        <v>0</v>
      </c>
      <c r="W40" s="314">
        <f t="shared" si="15"/>
        <v>0</v>
      </c>
      <c r="X40" s="314">
        <f t="shared" si="15"/>
        <v>0</v>
      </c>
      <c r="Y40" s="314">
        <f t="shared" si="15"/>
        <v>0</v>
      </c>
      <c r="Z40" s="314">
        <f t="shared" si="15"/>
        <v>0</v>
      </c>
      <c r="AA40" s="314">
        <f t="shared" si="15"/>
        <v>0</v>
      </c>
      <c r="AB40" s="314">
        <f t="shared" si="15"/>
        <v>0</v>
      </c>
      <c r="AC40" s="314">
        <f t="shared" si="15"/>
        <v>0</v>
      </c>
      <c r="AD40" s="314">
        <f t="shared" si="15"/>
        <v>0</v>
      </c>
    </row>
    <row r="41" spans="1:30" ht="20.100000000000001" customHeight="1">
      <c r="A41" s="300"/>
      <c r="B41" s="263"/>
      <c r="C41" s="415" t="s">
        <v>1329</v>
      </c>
      <c r="D41" s="416"/>
      <c r="E41" s="416"/>
      <c r="F41" s="416"/>
      <c r="G41" s="415" t="s">
        <v>1330</v>
      </c>
      <c r="H41" s="416"/>
      <c r="I41" s="416"/>
      <c r="J41" s="416"/>
      <c r="K41" s="415" t="s">
        <v>1331</v>
      </c>
      <c r="L41" s="416"/>
      <c r="M41" s="416"/>
      <c r="N41" s="416"/>
      <c r="O41" s="415" t="s">
        <v>1331</v>
      </c>
      <c r="P41" s="416"/>
      <c r="Q41" s="416"/>
      <c r="R41" s="416"/>
      <c r="S41" s="415" t="s">
        <v>1331</v>
      </c>
      <c r="T41" s="416"/>
      <c r="U41" s="416"/>
      <c r="V41" s="416"/>
      <c r="W41" s="415" t="s">
        <v>1331</v>
      </c>
      <c r="X41" s="416"/>
      <c r="Y41" s="416"/>
      <c r="Z41" s="416"/>
      <c r="AA41" s="415" t="s">
        <v>1331</v>
      </c>
      <c r="AB41" s="416"/>
      <c r="AC41" s="416"/>
      <c r="AD41" s="416"/>
    </row>
    <row r="42" spans="1:30" ht="15">
      <c r="A42" s="300"/>
      <c r="B42" s="263"/>
      <c r="C42" s="263"/>
      <c r="D42" s="263"/>
      <c r="E42" s="263"/>
      <c r="F42" s="263"/>
      <c r="G42" s="263"/>
      <c r="H42" s="263"/>
      <c r="I42" s="263"/>
      <c r="J42" s="263"/>
      <c r="K42" s="263"/>
      <c r="L42" s="263"/>
      <c r="M42" s="263"/>
      <c r="N42" s="263"/>
    </row>
    <row r="43" spans="1:30" ht="15">
      <c r="A43" s="300"/>
      <c r="B43" s="263"/>
      <c r="C43" s="263"/>
      <c r="D43" s="263"/>
      <c r="E43" s="263"/>
      <c r="F43" s="263"/>
      <c r="G43" s="263"/>
      <c r="H43" s="263"/>
      <c r="I43" s="263"/>
      <c r="J43" s="263"/>
      <c r="K43" s="263"/>
      <c r="L43" s="263"/>
      <c r="M43" s="263"/>
      <c r="N43" s="263"/>
    </row>
    <row r="44" spans="1:30" ht="15">
      <c r="A44" s="300"/>
      <c r="B44" s="263"/>
      <c r="C44" s="263"/>
      <c r="D44" s="263"/>
      <c r="E44" s="263"/>
      <c r="F44" s="263"/>
      <c r="G44" s="263"/>
      <c r="H44" s="263"/>
      <c r="I44" s="263"/>
      <c r="J44" s="263"/>
      <c r="K44" s="263"/>
      <c r="L44" s="263"/>
      <c r="M44" s="263"/>
      <c r="N44" s="263"/>
    </row>
    <row r="45" spans="1:30" ht="15">
      <c r="A45" s="300"/>
      <c r="B45" s="263"/>
      <c r="C45" s="263"/>
      <c r="D45" s="263"/>
      <c r="E45" s="263"/>
      <c r="F45" s="263"/>
      <c r="G45" s="263"/>
      <c r="H45" s="263"/>
      <c r="I45" s="263"/>
      <c r="J45" s="263"/>
      <c r="K45" s="263"/>
      <c r="L45" s="263"/>
      <c r="M45" s="263"/>
      <c r="N45" s="263"/>
    </row>
    <row r="46" spans="1:30" ht="15">
      <c r="A46" s="300"/>
      <c r="B46" s="263"/>
      <c r="C46" s="263"/>
      <c r="D46" s="263"/>
      <c r="E46" s="263"/>
      <c r="F46" s="263"/>
      <c r="G46" s="263"/>
      <c r="H46" s="263"/>
      <c r="I46" s="263"/>
      <c r="J46" s="263"/>
      <c r="K46" s="263"/>
      <c r="L46" s="263"/>
      <c r="M46" s="263"/>
      <c r="N46" s="263"/>
    </row>
    <row r="47" spans="1:30" ht="15">
      <c r="A47" s="300"/>
      <c r="B47" s="263"/>
      <c r="C47" s="263"/>
      <c r="D47" s="263"/>
      <c r="E47" s="263"/>
      <c r="F47" s="263"/>
      <c r="G47" s="263"/>
      <c r="H47" s="263"/>
      <c r="I47" s="263"/>
      <c r="J47" s="263"/>
      <c r="K47" s="263"/>
      <c r="L47" s="263"/>
      <c r="M47" s="263"/>
      <c r="N47" s="263"/>
    </row>
    <row r="48" spans="1:30" ht="15">
      <c r="A48" s="300"/>
      <c r="B48" s="263"/>
      <c r="C48" s="263"/>
      <c r="D48" s="263"/>
      <c r="E48" s="263"/>
      <c r="F48" s="263"/>
      <c r="G48" s="263"/>
      <c r="H48" s="263"/>
      <c r="I48" s="263"/>
      <c r="J48" s="263"/>
      <c r="K48" s="263"/>
      <c r="L48" s="263"/>
      <c r="M48" s="263"/>
      <c r="N48" s="263"/>
    </row>
    <row r="49" spans="1:14" ht="15">
      <c r="A49" s="300"/>
      <c r="B49" s="263"/>
      <c r="C49" s="263"/>
      <c r="D49" s="263"/>
      <c r="E49" s="263"/>
      <c r="F49" s="263"/>
      <c r="G49" s="263"/>
      <c r="H49" s="263"/>
      <c r="I49" s="263"/>
      <c r="J49" s="263"/>
      <c r="K49" s="263"/>
      <c r="L49" s="263"/>
      <c r="M49" s="263"/>
      <c r="N49" s="263"/>
    </row>
    <row r="50" spans="1:14" ht="15">
      <c r="A50" s="300"/>
      <c r="B50" s="263"/>
      <c r="C50" s="263"/>
      <c r="D50" s="263"/>
      <c r="E50" s="263"/>
      <c r="F50" s="263"/>
      <c r="G50" s="263"/>
      <c r="H50" s="263"/>
      <c r="I50" s="263"/>
      <c r="J50" s="263"/>
      <c r="K50" s="263"/>
      <c r="L50" s="263"/>
      <c r="M50" s="263"/>
      <c r="N50" s="263"/>
    </row>
    <row r="51" spans="1:14" ht="15">
      <c r="A51" s="300"/>
      <c r="B51" s="263"/>
      <c r="C51" s="263"/>
      <c r="D51" s="263"/>
      <c r="E51" s="263"/>
      <c r="F51" s="263"/>
      <c r="G51" s="263"/>
      <c r="H51" s="263"/>
      <c r="I51" s="263"/>
      <c r="J51" s="263"/>
      <c r="K51" s="263"/>
      <c r="L51" s="263"/>
      <c r="M51" s="263"/>
      <c r="N51" s="263"/>
    </row>
    <row r="52" spans="1:14" ht="15">
      <c r="A52" s="300"/>
      <c r="B52" s="263"/>
      <c r="C52" s="263"/>
      <c r="D52" s="263"/>
      <c r="E52" s="263"/>
      <c r="F52" s="263"/>
      <c r="G52" s="263"/>
      <c r="H52" s="263"/>
      <c r="I52" s="263"/>
      <c r="J52" s="263"/>
      <c r="K52" s="263"/>
      <c r="L52" s="263"/>
      <c r="M52" s="263"/>
      <c r="N52" s="263"/>
    </row>
    <row r="53" spans="1:14" ht="15">
      <c r="A53" s="300"/>
      <c r="B53" s="263"/>
      <c r="C53" s="263"/>
      <c r="D53" s="263"/>
      <c r="E53" s="263"/>
      <c r="F53" s="263"/>
      <c r="G53" s="263"/>
      <c r="H53" s="263"/>
      <c r="I53" s="263"/>
      <c r="J53" s="263"/>
      <c r="K53" s="263"/>
      <c r="L53" s="263"/>
      <c r="M53" s="263"/>
      <c r="N53" s="263"/>
    </row>
    <row r="54" spans="1:14" ht="15">
      <c r="A54" s="300"/>
      <c r="B54" s="263"/>
      <c r="C54" s="263"/>
      <c r="D54" s="263"/>
      <c r="E54" s="263"/>
      <c r="F54" s="263"/>
      <c r="G54" s="263"/>
      <c r="H54" s="263"/>
      <c r="I54" s="263"/>
      <c r="J54" s="263"/>
      <c r="K54" s="263"/>
      <c r="L54" s="263"/>
      <c r="M54" s="263"/>
      <c r="N54" s="263"/>
    </row>
    <row r="55" spans="1:14" ht="15">
      <c r="A55" s="300"/>
      <c r="B55" s="263"/>
      <c r="C55" s="263"/>
      <c r="D55" s="263"/>
      <c r="E55" s="263"/>
      <c r="F55" s="263"/>
      <c r="G55" s="263"/>
      <c r="H55" s="263"/>
      <c r="I55" s="263"/>
      <c r="J55" s="263"/>
      <c r="K55" s="263"/>
      <c r="L55" s="263"/>
      <c r="M55" s="263"/>
      <c r="N55" s="263"/>
    </row>
    <row r="56" spans="1:14" ht="15">
      <c r="A56" s="300"/>
      <c r="B56" s="263"/>
      <c r="C56" s="263"/>
      <c r="D56" s="263"/>
      <c r="E56" s="263"/>
      <c r="F56" s="263"/>
      <c r="G56" s="263"/>
      <c r="H56" s="263"/>
      <c r="I56" s="263"/>
      <c r="J56" s="263"/>
      <c r="K56" s="263"/>
      <c r="L56" s="263"/>
      <c r="M56" s="263"/>
      <c r="N56" s="263"/>
    </row>
    <row r="57" spans="1:14" ht="15">
      <c r="A57" s="300"/>
      <c r="B57" s="263"/>
      <c r="C57" s="263"/>
      <c r="D57" s="263"/>
      <c r="E57" s="263"/>
      <c r="F57" s="263"/>
      <c r="G57" s="263"/>
      <c r="H57" s="263"/>
      <c r="I57" s="263"/>
      <c r="J57" s="263"/>
      <c r="K57" s="263"/>
      <c r="L57" s="263"/>
      <c r="M57" s="263"/>
      <c r="N57" s="263"/>
    </row>
    <row r="58" spans="1:14" ht="15">
      <c r="A58" s="300"/>
      <c r="B58" s="263"/>
      <c r="C58" s="263"/>
      <c r="D58" s="263"/>
      <c r="E58" s="263"/>
      <c r="F58" s="263"/>
      <c r="G58" s="263"/>
      <c r="H58" s="263"/>
      <c r="I58" s="263"/>
      <c r="J58" s="263"/>
      <c r="K58" s="263"/>
      <c r="L58" s="263"/>
      <c r="M58" s="263"/>
      <c r="N58" s="263"/>
    </row>
    <row r="59" spans="1:14" ht="15">
      <c r="A59" s="263"/>
      <c r="B59" s="263"/>
      <c r="C59" s="263"/>
      <c r="D59" s="263"/>
      <c r="E59" s="263"/>
      <c r="F59" s="263"/>
      <c r="G59" s="263"/>
      <c r="H59" s="263"/>
      <c r="I59" s="263"/>
      <c r="J59" s="263"/>
      <c r="K59" s="263"/>
      <c r="L59" s="263"/>
      <c r="M59" s="263"/>
      <c r="N59" s="263"/>
    </row>
    <row r="60" spans="1:14" ht="15">
      <c r="A60" s="263"/>
      <c r="B60" s="263"/>
      <c r="C60" s="263"/>
      <c r="D60" s="263"/>
      <c r="E60" s="263"/>
      <c r="F60" s="263"/>
      <c r="G60" s="263"/>
      <c r="H60" s="263"/>
      <c r="I60" s="263"/>
      <c r="J60" s="263"/>
      <c r="K60" s="263"/>
      <c r="L60" s="263"/>
      <c r="M60" s="263"/>
      <c r="N60" s="263"/>
    </row>
    <row r="61" spans="1:14" ht="15">
      <c r="A61" s="263"/>
      <c r="B61" s="263"/>
      <c r="C61" s="263"/>
      <c r="D61" s="263"/>
      <c r="E61" s="263"/>
      <c r="F61" s="263"/>
      <c r="G61" s="263"/>
      <c r="H61" s="263"/>
      <c r="I61" s="263"/>
      <c r="J61" s="263"/>
      <c r="K61" s="263"/>
      <c r="L61" s="263"/>
      <c r="M61" s="263"/>
      <c r="N61" s="263"/>
    </row>
    <row r="62" spans="1:14" ht="15">
      <c r="A62" s="263"/>
      <c r="B62" s="263"/>
      <c r="C62" s="263"/>
      <c r="D62" s="263"/>
      <c r="E62" s="263"/>
      <c r="F62" s="263"/>
      <c r="G62" s="263"/>
      <c r="H62" s="263"/>
      <c r="I62" s="263"/>
      <c r="J62" s="263"/>
      <c r="K62" s="263"/>
      <c r="L62" s="263"/>
      <c r="M62" s="263"/>
      <c r="N62" s="263"/>
    </row>
    <row r="63" spans="1:14" ht="15">
      <c r="A63" s="263"/>
      <c r="B63" s="263"/>
      <c r="C63" s="263"/>
      <c r="D63" s="263"/>
      <c r="E63" s="263"/>
      <c r="F63" s="263"/>
      <c r="G63" s="263"/>
      <c r="H63" s="263"/>
      <c r="I63" s="263"/>
      <c r="J63" s="263"/>
      <c r="K63" s="263"/>
      <c r="L63" s="263"/>
      <c r="M63" s="263"/>
      <c r="N63" s="263"/>
    </row>
    <row r="64" spans="1:14" ht="15">
      <c r="A64" s="263"/>
      <c r="B64" s="263"/>
      <c r="C64" s="263"/>
      <c r="D64" s="263"/>
      <c r="E64" s="263"/>
      <c r="F64" s="263"/>
      <c r="G64" s="263"/>
      <c r="H64" s="263"/>
      <c r="I64" s="263"/>
      <c r="J64" s="263"/>
      <c r="K64" s="263"/>
      <c r="L64" s="263"/>
      <c r="M64" s="263"/>
      <c r="N64" s="263"/>
    </row>
    <row r="65" spans="1:14" ht="15">
      <c r="A65" s="263"/>
      <c r="B65" s="263"/>
      <c r="C65" s="263"/>
      <c r="D65" s="263"/>
      <c r="E65" s="263"/>
      <c r="F65" s="263"/>
      <c r="G65" s="263"/>
      <c r="H65" s="263"/>
      <c r="I65" s="263"/>
      <c r="J65" s="263"/>
      <c r="K65" s="263"/>
      <c r="L65" s="263"/>
      <c r="M65" s="263"/>
      <c r="N65" s="263"/>
    </row>
    <row r="66" spans="1:14" ht="15">
      <c r="A66" s="263"/>
      <c r="B66" s="263"/>
      <c r="C66" s="263"/>
      <c r="D66" s="263"/>
      <c r="E66" s="263"/>
      <c r="F66" s="263"/>
      <c r="G66" s="263"/>
      <c r="H66" s="263"/>
      <c r="I66" s="263"/>
      <c r="J66" s="263"/>
      <c r="K66" s="263"/>
      <c r="L66" s="263"/>
      <c r="M66" s="263"/>
      <c r="N66" s="263"/>
    </row>
    <row r="67" spans="1:14" ht="15">
      <c r="A67" s="263"/>
      <c r="B67" s="263"/>
      <c r="C67" s="263"/>
      <c r="D67" s="263"/>
      <c r="E67" s="263"/>
      <c r="F67" s="263"/>
      <c r="G67" s="263"/>
      <c r="H67" s="263"/>
      <c r="I67" s="263"/>
      <c r="J67" s="263"/>
      <c r="K67" s="263"/>
      <c r="L67" s="263"/>
      <c r="M67" s="263"/>
      <c r="N67" s="263"/>
    </row>
    <row r="68" spans="1:14" ht="15">
      <c r="A68" s="263"/>
      <c r="B68" s="263"/>
      <c r="C68" s="263"/>
      <c r="D68" s="263"/>
      <c r="E68" s="263"/>
      <c r="F68" s="263"/>
      <c r="G68" s="263"/>
      <c r="H68" s="263"/>
      <c r="I68" s="263"/>
      <c r="J68" s="263"/>
      <c r="K68" s="263"/>
      <c r="L68" s="263"/>
      <c r="M68" s="263"/>
      <c r="N68" s="263"/>
    </row>
    <row r="69" spans="1:14" ht="15">
      <c r="A69" s="263"/>
      <c r="B69" s="263"/>
      <c r="C69" s="263"/>
      <c r="D69" s="263"/>
      <c r="E69" s="263"/>
      <c r="F69" s="263"/>
      <c r="G69" s="263"/>
      <c r="H69" s="263"/>
      <c r="I69" s="263"/>
      <c r="J69" s="263"/>
      <c r="K69" s="263"/>
      <c r="L69" s="263"/>
      <c r="M69" s="263"/>
      <c r="N69" s="263"/>
    </row>
    <row r="70" spans="1:14" ht="15">
      <c r="A70" s="263"/>
      <c r="B70" s="263"/>
      <c r="C70" s="263"/>
      <c r="D70" s="263"/>
      <c r="E70" s="263"/>
      <c r="F70" s="263"/>
      <c r="G70" s="263"/>
      <c r="H70" s="263"/>
      <c r="I70" s="263"/>
      <c r="J70" s="263"/>
      <c r="K70" s="263"/>
      <c r="L70" s="263"/>
      <c r="M70" s="263"/>
      <c r="N70" s="263"/>
    </row>
    <row r="71" spans="1:14" ht="15">
      <c r="A71" s="263"/>
      <c r="B71" s="263"/>
      <c r="C71" s="263"/>
      <c r="D71" s="263"/>
      <c r="E71" s="263"/>
      <c r="F71" s="263"/>
      <c r="G71" s="263"/>
      <c r="H71" s="263"/>
      <c r="I71" s="263"/>
      <c r="J71" s="263"/>
      <c r="K71" s="263"/>
      <c r="L71" s="263"/>
      <c r="M71" s="263"/>
      <c r="N71" s="263"/>
    </row>
    <row r="72" spans="1:14" ht="15">
      <c r="A72" s="263"/>
      <c r="B72" s="263"/>
      <c r="C72" s="263"/>
      <c r="D72" s="263"/>
      <c r="E72" s="263"/>
      <c r="F72" s="263"/>
      <c r="G72" s="263"/>
      <c r="H72" s="263"/>
      <c r="I72" s="263"/>
      <c r="J72" s="263"/>
      <c r="K72" s="263"/>
      <c r="L72" s="263"/>
      <c r="M72" s="263"/>
      <c r="N72" s="263"/>
    </row>
    <row r="73" spans="1:14" ht="15">
      <c r="A73" s="263"/>
      <c r="B73" s="263"/>
      <c r="C73" s="263"/>
      <c r="D73" s="263"/>
      <c r="E73" s="263"/>
      <c r="F73" s="263"/>
      <c r="G73" s="263"/>
      <c r="H73" s="263"/>
      <c r="I73" s="263"/>
      <c r="J73" s="263"/>
      <c r="K73" s="263"/>
      <c r="L73" s="263"/>
      <c r="M73" s="263"/>
      <c r="N73" s="263"/>
    </row>
    <row r="74" spans="1:14" ht="15">
      <c r="A74" s="263"/>
      <c r="B74" s="263"/>
      <c r="C74" s="263"/>
      <c r="D74" s="263"/>
      <c r="E74" s="263"/>
      <c r="F74" s="263"/>
      <c r="G74" s="263"/>
      <c r="H74" s="263"/>
      <c r="I74" s="263"/>
      <c r="J74" s="263"/>
      <c r="K74" s="263"/>
      <c r="L74" s="263"/>
      <c r="M74" s="263"/>
      <c r="N74" s="263"/>
    </row>
    <row r="75" spans="1:14" ht="15">
      <c r="A75" s="263"/>
      <c r="B75" s="263"/>
      <c r="C75" s="263"/>
      <c r="D75" s="263"/>
      <c r="E75" s="263"/>
      <c r="F75" s="263"/>
      <c r="G75" s="263"/>
      <c r="H75" s="263"/>
      <c r="I75" s="263"/>
      <c r="J75" s="263"/>
      <c r="K75" s="263"/>
      <c r="L75" s="263"/>
      <c r="M75" s="263"/>
      <c r="N75" s="263"/>
    </row>
    <row r="76" spans="1:14" ht="15">
      <c r="A76" s="263"/>
      <c r="B76" s="263"/>
      <c r="C76" s="263"/>
      <c r="D76" s="263"/>
      <c r="E76" s="263"/>
      <c r="F76" s="263"/>
      <c r="G76" s="263"/>
      <c r="H76" s="263"/>
      <c r="I76" s="263"/>
      <c r="J76" s="263"/>
      <c r="K76" s="263"/>
      <c r="L76" s="263"/>
      <c r="M76" s="263"/>
      <c r="N76" s="263"/>
    </row>
    <row r="77" spans="1:14" ht="15">
      <c r="A77" s="263"/>
      <c r="B77" s="263"/>
      <c r="C77" s="263"/>
      <c r="D77" s="263"/>
      <c r="E77" s="263"/>
      <c r="F77" s="263"/>
      <c r="G77" s="263"/>
      <c r="H77" s="263"/>
      <c r="I77" s="263"/>
      <c r="J77" s="263"/>
      <c r="K77" s="263"/>
      <c r="L77" s="263"/>
      <c r="M77" s="263"/>
      <c r="N77" s="263"/>
    </row>
    <row r="78" spans="1:14" ht="15">
      <c r="A78" s="263"/>
      <c r="B78" s="263"/>
      <c r="C78" s="263"/>
      <c r="D78" s="263"/>
      <c r="E78" s="263"/>
      <c r="F78" s="263"/>
      <c r="G78" s="263"/>
      <c r="H78" s="263"/>
      <c r="I78" s="263"/>
      <c r="J78" s="263"/>
      <c r="K78" s="263"/>
      <c r="L78" s="263"/>
      <c r="M78" s="263"/>
      <c r="N78" s="263"/>
    </row>
    <row r="79" spans="1:14" ht="15">
      <c r="A79" s="263"/>
      <c r="B79" s="263"/>
      <c r="C79" s="263"/>
      <c r="D79" s="263"/>
      <c r="E79" s="263"/>
      <c r="F79" s="263"/>
      <c r="G79" s="263"/>
      <c r="H79" s="263"/>
      <c r="I79" s="263"/>
      <c r="J79" s="263"/>
      <c r="K79" s="263"/>
      <c r="L79" s="263"/>
      <c r="M79" s="263"/>
      <c r="N79" s="263"/>
    </row>
    <row r="80" spans="1:14" ht="15">
      <c r="A80" s="263"/>
      <c r="B80" s="263"/>
      <c r="C80" s="263"/>
      <c r="D80" s="263"/>
      <c r="E80" s="263"/>
      <c r="F80" s="263"/>
      <c r="G80" s="263"/>
      <c r="H80" s="263"/>
      <c r="I80" s="263"/>
      <c r="J80" s="263"/>
      <c r="K80" s="263"/>
      <c r="L80" s="263"/>
      <c r="M80" s="263"/>
      <c r="N80" s="263"/>
    </row>
    <row r="81" spans="1:14" ht="15">
      <c r="A81" s="263"/>
      <c r="B81" s="263"/>
      <c r="C81" s="263"/>
      <c r="D81" s="263"/>
      <c r="E81" s="263"/>
      <c r="F81" s="263"/>
      <c r="G81" s="263"/>
      <c r="H81" s="263"/>
      <c r="I81" s="263"/>
      <c r="J81" s="263"/>
      <c r="K81" s="263"/>
      <c r="L81" s="263"/>
      <c r="M81" s="263"/>
      <c r="N81" s="263"/>
    </row>
    <row r="82" spans="1:14" ht="15">
      <c r="A82" s="263"/>
      <c r="B82" s="263"/>
      <c r="C82" s="263"/>
      <c r="D82" s="263"/>
      <c r="E82" s="263"/>
      <c r="F82" s="263"/>
      <c r="G82" s="263"/>
      <c r="H82" s="263"/>
      <c r="I82" s="263"/>
      <c r="J82" s="263"/>
      <c r="K82" s="263"/>
      <c r="L82" s="263"/>
      <c r="M82" s="263"/>
      <c r="N82" s="263"/>
    </row>
    <row r="83" spans="1:14" ht="15">
      <c r="A83" s="263"/>
      <c r="B83" s="263"/>
      <c r="C83" s="263"/>
      <c r="D83" s="263"/>
      <c r="E83" s="263"/>
      <c r="F83" s="263"/>
      <c r="G83" s="263"/>
      <c r="H83" s="263"/>
      <c r="I83" s="263"/>
      <c r="J83" s="263"/>
      <c r="K83" s="263"/>
      <c r="L83" s="263"/>
      <c r="M83" s="263"/>
      <c r="N83" s="263"/>
    </row>
    <row r="84" spans="1:14" ht="15">
      <c r="A84" s="263"/>
      <c r="B84" s="263"/>
      <c r="C84" s="263"/>
      <c r="D84" s="263"/>
      <c r="E84" s="263"/>
      <c r="F84" s="263"/>
      <c r="G84" s="263"/>
      <c r="H84" s="263"/>
      <c r="I84" s="263"/>
      <c r="J84" s="263"/>
      <c r="K84" s="263"/>
      <c r="L84" s="263"/>
      <c r="M84" s="263"/>
      <c r="N84" s="263"/>
    </row>
    <row r="85" spans="1:14" ht="15">
      <c r="A85" s="263"/>
      <c r="B85" s="263"/>
      <c r="C85" s="263"/>
      <c r="D85" s="263"/>
      <c r="E85" s="263"/>
      <c r="F85" s="263"/>
      <c r="G85" s="263"/>
      <c r="H85" s="263"/>
      <c r="I85" s="263"/>
      <c r="J85" s="263"/>
      <c r="K85" s="263"/>
      <c r="L85" s="263"/>
      <c r="M85" s="263"/>
      <c r="N85" s="263"/>
    </row>
    <row r="86" spans="1:14" ht="15">
      <c r="A86" s="263"/>
      <c r="B86" s="263"/>
      <c r="C86" s="263"/>
      <c r="D86" s="263"/>
      <c r="E86" s="263"/>
      <c r="F86" s="263"/>
      <c r="G86" s="263"/>
      <c r="H86" s="263"/>
      <c r="I86" s="263"/>
      <c r="J86" s="263"/>
      <c r="K86" s="263"/>
      <c r="L86" s="263"/>
      <c r="M86" s="263"/>
      <c r="N86" s="263"/>
    </row>
    <row r="87" spans="1:14" ht="15">
      <c r="A87" s="263"/>
      <c r="B87" s="263"/>
      <c r="C87" s="263"/>
      <c r="D87" s="263"/>
      <c r="E87" s="263"/>
      <c r="F87" s="263"/>
      <c r="G87" s="263"/>
      <c r="H87" s="263"/>
      <c r="I87" s="263"/>
      <c r="J87" s="263"/>
      <c r="K87" s="263"/>
      <c r="L87" s="263"/>
      <c r="M87" s="263"/>
      <c r="N87" s="263"/>
    </row>
    <row r="88" spans="1:14" ht="15">
      <c r="A88" s="263"/>
      <c r="B88" s="263"/>
      <c r="C88" s="263"/>
      <c r="D88" s="263"/>
      <c r="E88" s="263"/>
      <c r="F88" s="263"/>
      <c r="G88" s="263"/>
      <c r="H88" s="263"/>
      <c r="I88" s="263"/>
      <c r="J88" s="263"/>
      <c r="K88" s="263"/>
      <c r="L88" s="263"/>
      <c r="M88" s="263"/>
      <c r="N88" s="263"/>
    </row>
    <row r="89" spans="1:14" ht="15">
      <c r="A89" s="263"/>
      <c r="B89" s="263"/>
      <c r="C89" s="263"/>
      <c r="D89" s="263"/>
      <c r="E89" s="263"/>
      <c r="F89" s="263"/>
      <c r="G89" s="263"/>
      <c r="H89" s="263"/>
      <c r="I89" s="263"/>
      <c r="J89" s="263"/>
      <c r="K89" s="263"/>
      <c r="L89" s="263"/>
      <c r="M89" s="263"/>
      <c r="N89" s="263"/>
    </row>
    <row r="90" spans="1:14" ht="15">
      <c r="A90" s="263"/>
      <c r="B90" s="263"/>
      <c r="C90" s="263"/>
      <c r="D90" s="263"/>
      <c r="E90" s="263"/>
      <c r="F90" s="263"/>
      <c r="G90" s="263"/>
      <c r="H90" s="263"/>
      <c r="I90" s="263"/>
      <c r="J90" s="263"/>
      <c r="K90" s="263"/>
      <c r="L90" s="263"/>
      <c r="M90" s="263"/>
      <c r="N90" s="263"/>
    </row>
    <row r="91" spans="1:14" ht="15">
      <c r="A91" s="263"/>
      <c r="B91" s="263"/>
      <c r="C91" s="263"/>
      <c r="D91" s="263"/>
      <c r="E91" s="263"/>
      <c r="F91" s="263"/>
      <c r="G91" s="263"/>
      <c r="H91" s="263"/>
      <c r="I91" s="263"/>
      <c r="J91" s="263"/>
      <c r="K91" s="263"/>
      <c r="L91" s="263"/>
      <c r="M91" s="263"/>
      <c r="N91" s="263"/>
    </row>
    <row r="92" spans="1:14" ht="15">
      <c r="A92" s="263"/>
      <c r="B92" s="263"/>
      <c r="C92" s="263"/>
      <c r="D92" s="263"/>
      <c r="E92" s="263"/>
      <c r="F92" s="263"/>
      <c r="G92" s="263"/>
      <c r="H92" s="263"/>
      <c r="I92" s="263"/>
      <c r="J92" s="263"/>
      <c r="K92" s="263"/>
      <c r="L92" s="263"/>
      <c r="M92" s="263"/>
      <c r="N92" s="263"/>
    </row>
    <row r="93" spans="1:14" ht="15">
      <c r="A93" s="263"/>
      <c r="B93" s="263"/>
      <c r="C93" s="263"/>
      <c r="D93" s="263"/>
      <c r="E93" s="263"/>
      <c r="F93" s="263"/>
      <c r="G93" s="263"/>
      <c r="H93" s="263"/>
      <c r="I93" s="263"/>
      <c r="J93" s="263"/>
      <c r="K93" s="263"/>
      <c r="L93" s="263"/>
      <c r="M93" s="263"/>
      <c r="N93" s="263"/>
    </row>
    <row r="94" spans="1:14" ht="15">
      <c r="A94" s="263"/>
      <c r="B94" s="263"/>
      <c r="C94" s="263"/>
      <c r="D94" s="263"/>
      <c r="E94" s="263"/>
      <c r="F94" s="263"/>
      <c r="G94" s="263"/>
      <c r="H94" s="263"/>
      <c r="I94" s="263"/>
      <c r="J94" s="263"/>
      <c r="K94" s="263"/>
      <c r="L94" s="263"/>
      <c r="M94" s="263"/>
      <c r="N94" s="263"/>
    </row>
    <row r="95" spans="1:14" ht="15">
      <c r="A95" s="263"/>
      <c r="B95" s="263"/>
      <c r="C95" s="263"/>
      <c r="D95" s="263"/>
      <c r="E95" s="263"/>
      <c r="F95" s="263"/>
      <c r="G95" s="263"/>
      <c r="H95" s="263"/>
      <c r="I95" s="263"/>
      <c r="J95" s="263"/>
      <c r="K95" s="263"/>
      <c r="L95" s="263"/>
      <c r="M95" s="263"/>
      <c r="N95" s="263"/>
    </row>
    <row r="96" spans="1:14" ht="15">
      <c r="A96" s="263"/>
      <c r="B96" s="263"/>
      <c r="C96" s="263"/>
      <c r="D96" s="263"/>
      <c r="E96" s="263"/>
      <c r="F96" s="263"/>
      <c r="G96" s="263"/>
      <c r="H96" s="263"/>
      <c r="I96" s="263"/>
      <c r="J96" s="263"/>
      <c r="K96" s="263"/>
      <c r="L96" s="263"/>
      <c r="M96" s="263"/>
      <c r="N96" s="263"/>
    </row>
    <row r="97" spans="1:14" ht="15">
      <c r="A97" s="263"/>
      <c r="B97" s="263"/>
      <c r="C97" s="263"/>
      <c r="D97" s="263"/>
      <c r="E97" s="263"/>
      <c r="F97" s="263"/>
      <c r="G97" s="263"/>
      <c r="H97" s="263"/>
      <c r="I97" s="263"/>
      <c r="J97" s="263"/>
      <c r="K97" s="263"/>
      <c r="L97" s="263"/>
      <c r="M97" s="263"/>
      <c r="N97" s="263"/>
    </row>
    <row r="98" spans="1:14" ht="15">
      <c r="A98" s="263"/>
      <c r="B98" s="263"/>
      <c r="C98" s="263"/>
      <c r="D98" s="263"/>
      <c r="E98" s="263"/>
      <c r="F98" s="263"/>
      <c r="G98" s="263"/>
      <c r="H98" s="263"/>
      <c r="I98" s="263"/>
      <c r="J98" s="263"/>
      <c r="K98" s="263"/>
      <c r="L98" s="263"/>
      <c r="M98" s="263"/>
      <c r="N98" s="263"/>
    </row>
    <row r="99" spans="1:14" ht="15">
      <c r="A99" s="263"/>
      <c r="B99" s="263"/>
      <c r="C99" s="263"/>
      <c r="D99" s="263"/>
      <c r="E99" s="263"/>
      <c r="F99" s="263"/>
      <c r="G99" s="263"/>
      <c r="H99" s="263"/>
      <c r="I99" s="263"/>
      <c r="J99" s="263"/>
      <c r="K99" s="263"/>
      <c r="L99" s="263"/>
      <c r="M99" s="263"/>
      <c r="N99" s="263"/>
    </row>
    <row r="100" spans="1:14" ht="15">
      <c r="A100" s="263"/>
      <c r="B100" s="263"/>
      <c r="C100" s="263"/>
      <c r="D100" s="263"/>
      <c r="E100" s="263"/>
      <c r="F100" s="263"/>
      <c r="G100" s="263"/>
      <c r="H100" s="263"/>
      <c r="I100" s="263"/>
      <c r="J100" s="263"/>
      <c r="K100" s="263"/>
      <c r="L100" s="263"/>
      <c r="M100" s="263"/>
      <c r="N100" s="263"/>
    </row>
    <row r="101" spans="1:14" ht="15">
      <c r="A101" s="263"/>
      <c r="B101" s="263"/>
      <c r="C101" s="263"/>
      <c r="D101" s="263"/>
      <c r="E101" s="263"/>
      <c r="F101" s="263"/>
      <c r="G101" s="263"/>
      <c r="H101" s="263"/>
      <c r="I101" s="263"/>
      <c r="J101" s="263"/>
      <c r="K101" s="263"/>
      <c r="L101" s="263"/>
      <c r="M101" s="263"/>
      <c r="N101" s="263"/>
    </row>
    <row r="102" spans="1:14" ht="15">
      <c r="A102" s="263"/>
      <c r="B102" s="263"/>
      <c r="C102" s="263"/>
      <c r="D102" s="263"/>
      <c r="E102" s="263"/>
      <c r="F102" s="263"/>
      <c r="G102" s="263"/>
      <c r="H102" s="263"/>
      <c r="I102" s="263"/>
      <c r="J102" s="263"/>
      <c r="K102" s="263"/>
      <c r="L102" s="263"/>
      <c r="M102" s="263"/>
      <c r="N102" s="263"/>
    </row>
    <row r="103" spans="1:14" ht="15">
      <c r="A103" s="263"/>
      <c r="B103" s="263"/>
      <c r="C103" s="263"/>
      <c r="D103" s="263"/>
      <c r="E103" s="263"/>
      <c r="F103" s="263"/>
      <c r="G103" s="263"/>
      <c r="H103" s="263"/>
      <c r="I103" s="263"/>
      <c r="J103" s="263"/>
      <c r="K103" s="263"/>
      <c r="L103" s="263"/>
      <c r="M103" s="263"/>
      <c r="N103" s="263"/>
    </row>
    <row r="104" spans="1:14" ht="15">
      <c r="A104" s="263"/>
      <c r="B104" s="263"/>
      <c r="C104" s="263"/>
      <c r="D104" s="263"/>
      <c r="E104" s="263"/>
      <c r="F104" s="263"/>
      <c r="G104" s="263"/>
      <c r="H104" s="263"/>
      <c r="I104" s="263"/>
      <c r="J104" s="263"/>
      <c r="K104" s="263"/>
      <c r="L104" s="263"/>
      <c r="M104" s="263"/>
      <c r="N104" s="263"/>
    </row>
    <row r="105" spans="1:14" ht="15">
      <c r="A105" s="263"/>
      <c r="B105" s="263"/>
      <c r="C105" s="263"/>
      <c r="D105" s="263"/>
      <c r="E105" s="263"/>
      <c r="F105" s="263"/>
      <c r="G105" s="263"/>
      <c r="H105" s="263"/>
      <c r="I105" s="263"/>
      <c r="J105" s="263"/>
      <c r="K105" s="263"/>
      <c r="L105" s="263"/>
      <c r="M105" s="263"/>
      <c r="N105" s="263"/>
    </row>
    <row r="106" spans="1:14" ht="15">
      <c r="A106" s="263"/>
      <c r="B106" s="263"/>
      <c r="C106" s="263"/>
      <c r="D106" s="263"/>
      <c r="E106" s="263"/>
      <c r="F106" s="263"/>
      <c r="G106" s="263"/>
      <c r="H106" s="263"/>
      <c r="I106" s="263"/>
      <c r="J106" s="263"/>
      <c r="K106" s="263"/>
      <c r="L106" s="263"/>
      <c r="M106" s="263"/>
      <c r="N106" s="263"/>
    </row>
    <row r="107" spans="1:14" ht="15">
      <c r="A107" s="263"/>
      <c r="B107" s="263"/>
      <c r="C107" s="263"/>
      <c r="D107" s="263"/>
      <c r="E107" s="263"/>
      <c r="F107" s="263"/>
      <c r="G107" s="263"/>
      <c r="H107" s="263"/>
      <c r="I107" s="263"/>
      <c r="J107" s="263"/>
      <c r="K107" s="263"/>
      <c r="L107" s="263"/>
      <c r="M107" s="263"/>
      <c r="N107" s="263"/>
    </row>
    <row r="108" spans="1:14" ht="15">
      <c r="A108" s="263"/>
      <c r="B108" s="263"/>
      <c r="C108" s="263"/>
      <c r="D108" s="263"/>
      <c r="E108" s="263"/>
      <c r="F108" s="263"/>
      <c r="G108" s="263"/>
      <c r="H108" s="263"/>
      <c r="I108" s="263"/>
      <c r="J108" s="263"/>
      <c r="K108" s="263"/>
      <c r="L108" s="263"/>
      <c r="M108" s="263"/>
      <c r="N108" s="263"/>
    </row>
    <row r="109" spans="1:14" ht="15">
      <c r="A109" s="263"/>
      <c r="B109" s="263"/>
      <c r="C109" s="263"/>
      <c r="D109" s="263"/>
      <c r="E109" s="263"/>
      <c r="F109" s="263"/>
      <c r="G109" s="263"/>
      <c r="H109" s="263"/>
      <c r="I109" s="263"/>
      <c r="J109" s="263"/>
      <c r="K109" s="263"/>
      <c r="L109" s="263"/>
      <c r="M109" s="263"/>
      <c r="N109" s="263"/>
    </row>
    <row r="110" spans="1:14" ht="15">
      <c r="A110" s="263"/>
      <c r="B110" s="263"/>
      <c r="C110" s="263"/>
      <c r="D110" s="263"/>
      <c r="E110" s="263"/>
      <c r="F110" s="263"/>
      <c r="G110" s="263"/>
      <c r="H110" s="263"/>
      <c r="I110" s="263"/>
      <c r="J110" s="263"/>
      <c r="K110" s="263"/>
      <c r="L110" s="263"/>
      <c r="M110" s="263"/>
      <c r="N110" s="263"/>
    </row>
    <row r="111" spans="1:14" ht="15">
      <c r="A111" s="263"/>
      <c r="B111" s="263"/>
      <c r="C111" s="263"/>
      <c r="D111" s="263"/>
      <c r="E111" s="263"/>
      <c r="F111" s="263"/>
      <c r="G111" s="263"/>
      <c r="H111" s="263"/>
      <c r="I111" s="263"/>
      <c r="J111" s="263"/>
      <c r="K111" s="263"/>
      <c r="L111" s="263"/>
      <c r="M111" s="263"/>
      <c r="N111" s="263"/>
    </row>
    <row r="112" spans="1:14" ht="15">
      <c r="A112" s="263"/>
      <c r="B112" s="263"/>
      <c r="C112" s="263"/>
      <c r="D112" s="263"/>
      <c r="E112" s="263"/>
      <c r="F112" s="263"/>
      <c r="G112" s="263"/>
      <c r="H112" s="263"/>
      <c r="I112" s="263"/>
      <c r="J112" s="263"/>
      <c r="K112" s="263"/>
      <c r="L112" s="263"/>
      <c r="M112" s="263"/>
      <c r="N112" s="263"/>
    </row>
    <row r="113" spans="1:14" ht="15">
      <c r="A113" s="263"/>
      <c r="B113" s="263"/>
      <c r="C113" s="263"/>
      <c r="D113" s="263"/>
      <c r="E113" s="263"/>
      <c r="F113" s="263"/>
      <c r="G113" s="263"/>
      <c r="H113" s="263"/>
      <c r="I113" s="263"/>
      <c r="J113" s="263"/>
      <c r="K113" s="263"/>
      <c r="L113" s="263"/>
      <c r="M113" s="263"/>
      <c r="N113" s="263"/>
    </row>
    <row r="114" spans="1:14" ht="15">
      <c r="A114" s="263"/>
      <c r="B114" s="263"/>
      <c r="C114" s="263"/>
      <c r="D114" s="263"/>
      <c r="E114" s="263"/>
      <c r="F114" s="263"/>
      <c r="G114" s="263"/>
      <c r="H114" s="263"/>
      <c r="I114" s="263"/>
      <c r="J114" s="263"/>
      <c r="K114" s="263"/>
      <c r="L114" s="263"/>
      <c r="M114" s="263"/>
      <c r="N114" s="263"/>
    </row>
    <row r="115" spans="1:14" ht="15">
      <c r="A115" s="263"/>
      <c r="B115" s="263"/>
      <c r="C115" s="263"/>
      <c r="D115" s="263"/>
      <c r="E115" s="263"/>
      <c r="F115" s="263"/>
      <c r="G115" s="263"/>
      <c r="H115" s="263"/>
      <c r="I115" s="263"/>
      <c r="J115" s="263"/>
      <c r="K115" s="263"/>
      <c r="L115" s="263"/>
      <c r="M115" s="263"/>
      <c r="N115" s="263"/>
    </row>
    <row r="116" spans="1:14" ht="15">
      <c r="A116" s="263"/>
      <c r="B116" s="263"/>
      <c r="C116" s="263"/>
      <c r="D116" s="263"/>
      <c r="E116" s="263"/>
      <c r="F116" s="263"/>
      <c r="G116" s="263"/>
      <c r="H116" s="263"/>
      <c r="I116" s="263"/>
      <c r="J116" s="263"/>
      <c r="K116" s="263"/>
      <c r="L116" s="263"/>
      <c r="M116" s="263"/>
      <c r="N116" s="263"/>
    </row>
    <row r="117" spans="1:14" ht="15">
      <c r="A117" s="263"/>
      <c r="B117" s="263"/>
      <c r="C117" s="263"/>
      <c r="D117" s="263"/>
      <c r="E117" s="263"/>
      <c r="F117" s="263"/>
      <c r="G117" s="263"/>
      <c r="H117" s="263"/>
      <c r="I117" s="263"/>
      <c r="J117" s="263"/>
      <c r="K117" s="263"/>
      <c r="L117" s="263"/>
      <c r="M117" s="263"/>
      <c r="N117" s="263"/>
    </row>
    <row r="118" spans="1:14" ht="15">
      <c r="A118" s="263"/>
      <c r="B118" s="263"/>
      <c r="C118" s="263"/>
      <c r="D118" s="263"/>
      <c r="E118" s="263"/>
      <c r="F118" s="263"/>
      <c r="G118" s="263"/>
      <c r="H118" s="263"/>
      <c r="I118" s="263"/>
      <c r="J118" s="263"/>
      <c r="K118" s="263"/>
      <c r="L118" s="263"/>
      <c r="M118" s="263"/>
      <c r="N118" s="263"/>
    </row>
    <row r="119" spans="1:14" ht="15">
      <c r="A119" s="263"/>
      <c r="B119" s="263"/>
      <c r="C119" s="263"/>
      <c r="D119" s="263"/>
      <c r="E119" s="263"/>
      <c r="F119" s="263"/>
      <c r="G119" s="263"/>
      <c r="H119" s="263"/>
      <c r="I119" s="263"/>
      <c r="J119" s="263"/>
      <c r="K119" s="263"/>
      <c r="L119" s="263"/>
      <c r="M119" s="263"/>
      <c r="N119" s="263"/>
    </row>
    <row r="120" spans="1:14" ht="15">
      <c r="A120" s="263"/>
      <c r="B120" s="263"/>
      <c r="C120" s="263"/>
      <c r="D120" s="263"/>
      <c r="E120" s="263"/>
      <c r="F120" s="263"/>
      <c r="G120" s="263"/>
      <c r="H120" s="263"/>
      <c r="I120" s="263"/>
      <c r="J120" s="263"/>
      <c r="K120" s="263"/>
      <c r="L120" s="263"/>
      <c r="M120" s="263"/>
      <c r="N120" s="263"/>
    </row>
    <row r="121" spans="1:14" ht="15">
      <c r="A121" s="263"/>
      <c r="B121" s="263"/>
      <c r="C121" s="263"/>
      <c r="D121" s="263"/>
      <c r="E121" s="263"/>
      <c r="F121" s="263"/>
      <c r="G121" s="263"/>
      <c r="H121" s="263"/>
      <c r="I121" s="263"/>
      <c r="J121" s="263"/>
      <c r="K121" s="263"/>
      <c r="L121" s="263"/>
      <c r="M121" s="263"/>
      <c r="N121" s="263"/>
    </row>
    <row r="122" spans="1:14" ht="15">
      <c r="A122" s="263"/>
      <c r="B122" s="263"/>
      <c r="C122" s="263"/>
      <c r="D122" s="263"/>
      <c r="E122" s="263"/>
      <c r="F122" s="263"/>
      <c r="G122" s="263"/>
      <c r="H122" s="263"/>
      <c r="I122" s="263"/>
      <c r="J122" s="263"/>
      <c r="K122" s="263"/>
      <c r="L122" s="263"/>
      <c r="M122" s="263"/>
      <c r="N122" s="263"/>
    </row>
    <row r="123" spans="1:14" ht="15">
      <c r="A123" s="263"/>
      <c r="B123" s="263"/>
      <c r="C123" s="263"/>
      <c r="D123" s="263"/>
      <c r="E123" s="263"/>
      <c r="F123" s="263"/>
      <c r="G123" s="263"/>
      <c r="H123" s="263"/>
      <c r="I123" s="263"/>
      <c r="J123" s="263"/>
      <c r="K123" s="263"/>
      <c r="L123" s="263"/>
      <c r="M123" s="263"/>
      <c r="N123" s="263"/>
    </row>
    <row r="124" spans="1:14" ht="15">
      <c r="A124" s="263"/>
      <c r="B124" s="263"/>
      <c r="C124" s="263"/>
      <c r="D124" s="263"/>
      <c r="E124" s="263"/>
      <c r="F124" s="263"/>
      <c r="G124" s="263"/>
      <c r="H124" s="263"/>
      <c r="I124" s="263"/>
      <c r="J124" s="263"/>
      <c r="K124" s="263"/>
      <c r="L124" s="263"/>
      <c r="M124" s="263"/>
      <c r="N124" s="263"/>
    </row>
    <row r="125" spans="1:14" ht="15">
      <c r="A125" s="263"/>
      <c r="B125" s="263"/>
      <c r="C125" s="263"/>
      <c r="D125" s="263"/>
      <c r="E125" s="263"/>
      <c r="F125" s="263"/>
      <c r="G125" s="263"/>
      <c r="H125" s="263"/>
      <c r="I125" s="263"/>
      <c r="J125" s="263"/>
      <c r="K125" s="263"/>
      <c r="L125" s="263"/>
      <c r="M125" s="263"/>
      <c r="N125" s="263"/>
    </row>
    <row r="126" spans="1:14" ht="15">
      <c r="A126" s="263"/>
      <c r="B126" s="263"/>
      <c r="C126" s="263"/>
      <c r="D126" s="263"/>
      <c r="E126" s="263"/>
      <c r="F126" s="263"/>
      <c r="G126" s="263"/>
      <c r="H126" s="263"/>
      <c r="I126" s="263"/>
      <c r="J126" s="263"/>
      <c r="K126" s="263"/>
      <c r="L126" s="263"/>
      <c r="M126" s="263"/>
      <c r="N126" s="263"/>
    </row>
    <row r="127" spans="1:14" ht="15">
      <c r="A127" s="263"/>
      <c r="B127" s="263"/>
      <c r="C127" s="263"/>
      <c r="D127" s="263"/>
      <c r="E127" s="263"/>
      <c r="F127" s="263"/>
      <c r="G127" s="263"/>
      <c r="H127" s="263"/>
      <c r="I127" s="263"/>
      <c r="J127" s="263"/>
      <c r="K127" s="263"/>
      <c r="L127" s="263"/>
      <c r="M127" s="263"/>
      <c r="N127" s="263"/>
    </row>
    <row r="128" spans="1:14" ht="15">
      <c r="A128" s="263"/>
      <c r="B128" s="263"/>
      <c r="C128" s="263"/>
      <c r="D128" s="263"/>
      <c r="E128" s="263"/>
      <c r="F128" s="263"/>
      <c r="G128" s="263"/>
      <c r="H128" s="263"/>
      <c r="I128" s="263"/>
      <c r="J128" s="263"/>
      <c r="K128" s="263"/>
      <c r="L128" s="263"/>
      <c r="M128" s="263"/>
      <c r="N128" s="263"/>
    </row>
  </sheetData>
  <sheetProtection password="D95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 xml:space="preserve">&amp;C&amp;"Arial,Bold"&amp;14TOWN OF BROADUS
STATEMENT OF REVENUES, EXPENDITURES, AND CHANGES IN FUND BALANCES
BUDGET AND ACTUAL
MAJOR SPECIAL REVENUE FUNDS
FISCAL YEAR ENDED JUNE 30, 2017
</oddHeader>
  </headerFooter>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2"/>
  <sheetViews>
    <sheetView zoomScaleNormal="100" workbookViewId="0">
      <pane xSplit="2" ySplit="9" topLeftCell="K40" activePane="bottomRight" state="frozen"/>
      <selection pane="topRight" activeCell="C1" sqref="C1"/>
      <selection pane="bottomLeft" activeCell="A10" sqref="A10"/>
      <selection pane="bottomRight" activeCell="Q56" sqref="Q56"/>
    </sheetView>
  </sheetViews>
  <sheetFormatPr defaultColWidth="8.85546875" defaultRowHeight="12.75"/>
  <cols>
    <col min="1" max="1" width="13.7109375" style="261" customWidth="1"/>
    <col min="2" max="2" width="50.7109375" style="261" customWidth="1"/>
    <col min="3" max="30" width="16.7109375" style="261" customWidth="1"/>
    <col min="31" max="16384" width="8.85546875" style="261"/>
  </cols>
  <sheetData>
    <row r="1" spans="1:30" ht="15.75" customHeight="1">
      <c r="A1" s="308"/>
      <c r="B1" s="308"/>
      <c r="C1" s="690" t="str">
        <f>'OPER-MAJOR SP. REVENUE(54-56)'!C2</f>
        <v>Fund #2190</v>
      </c>
      <c r="D1" s="691"/>
      <c r="E1" s="691"/>
      <c r="F1" s="691"/>
      <c r="G1" s="690" t="str">
        <f>'OPER-MAJOR SP. REVENUE(54-56)'!G2</f>
        <v>Fund #2500</v>
      </c>
      <c r="H1" s="691"/>
      <c r="I1" s="691"/>
      <c r="J1" s="691"/>
      <c r="K1" s="690" t="str">
        <f>'OPER-MAJOR SP. REVENUE(54-56)'!K2</f>
        <v>Fund #2820</v>
      </c>
      <c r="L1" s="691"/>
      <c r="M1" s="691"/>
      <c r="N1" s="691"/>
      <c r="O1" s="690" t="str">
        <f>'OPER-MAJOR SP. REVENUE(54-56)'!O2</f>
        <v>Fund #4003</v>
      </c>
      <c r="P1" s="691"/>
      <c r="Q1" s="691"/>
      <c r="R1" s="691"/>
      <c r="S1" s="690" t="str">
        <f>'OPER-MAJOR SP. REVENUE(54-56)'!S2</f>
        <v>Fund #</v>
      </c>
      <c r="T1" s="691"/>
      <c r="U1" s="691"/>
      <c r="V1" s="691"/>
      <c r="W1" s="690" t="str">
        <f>'OPER-MAJOR SP. REVENUE(54-56)'!W2</f>
        <v>Fund #</v>
      </c>
      <c r="X1" s="691"/>
      <c r="Y1" s="691"/>
      <c r="Z1" s="691"/>
      <c r="AA1" s="690" t="str">
        <f>'OPER-MAJOR SP. REVENUE(54-56)'!AA2</f>
        <v>Fund #</v>
      </c>
      <c r="AB1" s="691"/>
      <c r="AC1" s="691"/>
      <c r="AD1" s="691"/>
    </row>
    <row r="2" spans="1:30" s="308" customFormat="1" ht="15.75" customHeight="1">
      <c r="C2" s="1668" t="str">
        <f>'OPER-MAJOR SP. REVENUE(54-56)'!C3</f>
        <v>COMP INS</v>
      </c>
      <c r="D2" s="1668"/>
      <c r="E2" s="1668"/>
      <c r="F2" s="1668"/>
      <c r="G2" s="1668" t="str">
        <f>'OPER-MAJOR SP. REVENUE(54-56)'!G3</f>
        <v>OTHER MAINT</v>
      </c>
      <c r="H2" s="1668"/>
      <c r="I2" s="1668"/>
      <c r="J2" s="1668"/>
      <c r="K2" s="1668" t="str">
        <f>'OPER-MAJOR SP. REVENUE(54-56)'!K3</f>
        <v>GAS APPORTION</v>
      </c>
      <c r="L2" s="1668"/>
      <c r="M2" s="1668"/>
      <c r="N2" s="1668"/>
      <c r="O2" s="1668" t="str">
        <f>'OPER-MAJOR SP. REVENUE(54-56)'!O3</f>
        <v>CIP #3</v>
      </c>
      <c r="P2" s="1668"/>
      <c r="Q2" s="1668"/>
      <c r="R2" s="1668"/>
      <c r="S2" s="1668" t="str">
        <f>'OPER-MAJOR SP. REVENUE(54-56)'!S3</f>
        <v>Fund Name</v>
      </c>
      <c r="T2" s="1668"/>
      <c r="U2" s="1668"/>
      <c r="V2" s="1668"/>
      <c r="W2" s="1668" t="str">
        <f>'OPER-MAJOR SP. REVENUE(54-56)'!W3</f>
        <v>Fund Name</v>
      </c>
      <c r="X2" s="1668"/>
      <c r="Y2" s="1668"/>
      <c r="Z2" s="1668"/>
      <c r="AA2" s="1668" t="str">
        <f>'OPER-MAJOR SP. REVENUE(54-56)'!AA3</f>
        <v>Fund Name</v>
      </c>
      <c r="AB2" s="1668"/>
      <c r="AC2" s="1668"/>
      <c r="AD2" s="1668"/>
    </row>
    <row r="3" spans="1:30" s="308" customFormat="1" ht="15.75">
      <c r="A3" s="699"/>
      <c r="B3" s="699"/>
      <c r="C3" s="693"/>
      <c r="D3" s="694"/>
      <c r="E3" s="691"/>
      <c r="F3" s="692" t="s">
        <v>1001</v>
      </c>
      <c r="G3" s="693"/>
      <c r="H3" s="694"/>
      <c r="I3" s="691"/>
      <c r="J3" s="692" t="s">
        <v>1001</v>
      </c>
      <c r="K3" s="693"/>
      <c r="L3" s="694"/>
      <c r="M3" s="691"/>
      <c r="N3" s="692" t="s">
        <v>1001</v>
      </c>
      <c r="O3" s="693"/>
      <c r="P3" s="694"/>
      <c r="Q3" s="691"/>
      <c r="R3" s="692" t="s">
        <v>1001</v>
      </c>
      <c r="S3" s="693"/>
      <c r="T3" s="694"/>
      <c r="U3" s="691"/>
      <c r="V3" s="692" t="s">
        <v>1001</v>
      </c>
      <c r="W3" s="693"/>
      <c r="X3" s="694"/>
      <c r="Y3" s="691"/>
      <c r="Z3" s="692" t="s">
        <v>1001</v>
      </c>
      <c r="AA3" s="693"/>
      <c r="AB3" s="694"/>
      <c r="AC3" s="691"/>
      <c r="AD3" s="692" t="s">
        <v>1001</v>
      </c>
    </row>
    <row r="4" spans="1:30" s="308" customFormat="1" ht="15.75" customHeight="1">
      <c r="A4" s="412"/>
      <c r="B4" s="412"/>
      <c r="C4" s="430"/>
      <c r="D4" s="430"/>
      <c r="E4" s="430"/>
      <c r="F4" s="430" t="s">
        <v>1002</v>
      </c>
      <c r="G4" s="430"/>
      <c r="H4" s="430"/>
      <c r="I4" s="430"/>
      <c r="J4" s="430" t="s">
        <v>1002</v>
      </c>
      <c r="K4" s="430"/>
      <c r="L4" s="430"/>
      <c r="M4" s="430"/>
      <c r="N4" s="430" t="s">
        <v>1002</v>
      </c>
      <c r="O4" s="430"/>
      <c r="P4" s="430"/>
      <c r="Q4" s="430"/>
      <c r="R4" s="430" t="s">
        <v>1002</v>
      </c>
      <c r="S4" s="430"/>
      <c r="T4" s="430"/>
      <c r="U4" s="430"/>
      <c r="V4" s="430" t="s">
        <v>1002</v>
      </c>
      <c r="W4" s="430"/>
      <c r="X4" s="430"/>
      <c r="Y4" s="430"/>
      <c r="Z4" s="430" t="s">
        <v>1002</v>
      </c>
      <c r="AA4" s="430"/>
      <c r="AB4" s="430"/>
      <c r="AC4" s="430"/>
      <c r="AD4" s="430" t="s">
        <v>1002</v>
      </c>
    </row>
    <row r="5" spans="1:30" s="308" customFormat="1" ht="16.5" thickBot="1">
      <c r="A5" s="411"/>
      <c r="B5" s="411"/>
      <c r="C5" s="695" t="s">
        <v>994</v>
      </c>
      <c r="D5" s="682"/>
      <c r="E5" s="430"/>
      <c r="F5" s="430" t="s">
        <v>1003</v>
      </c>
      <c r="G5" s="695" t="s">
        <v>994</v>
      </c>
      <c r="H5" s="682"/>
      <c r="I5" s="430"/>
      <c r="J5" s="430" t="s">
        <v>1003</v>
      </c>
      <c r="K5" s="695" t="s">
        <v>994</v>
      </c>
      <c r="L5" s="682"/>
      <c r="M5" s="430"/>
      <c r="N5" s="430" t="s">
        <v>1003</v>
      </c>
      <c r="O5" s="695" t="s">
        <v>994</v>
      </c>
      <c r="P5" s="682"/>
      <c r="Q5" s="430"/>
      <c r="R5" s="430" t="s">
        <v>1003</v>
      </c>
      <c r="S5" s="695" t="s">
        <v>994</v>
      </c>
      <c r="T5" s="682"/>
      <c r="U5" s="430"/>
      <c r="V5" s="430" t="s">
        <v>1003</v>
      </c>
      <c r="W5" s="695" t="s">
        <v>994</v>
      </c>
      <c r="X5" s="682"/>
      <c r="Y5" s="430"/>
      <c r="Z5" s="430" t="s">
        <v>1003</v>
      </c>
      <c r="AA5" s="695" t="s">
        <v>994</v>
      </c>
      <c r="AB5" s="682"/>
      <c r="AC5" s="430"/>
      <c r="AD5" s="430" t="s">
        <v>1003</v>
      </c>
    </row>
    <row r="6" spans="1:30" s="308" customFormat="1" ht="15.75">
      <c r="A6" s="430" t="s">
        <v>1013</v>
      </c>
      <c r="B6" s="430"/>
      <c r="C6" s="430"/>
      <c r="D6" s="430"/>
      <c r="E6" s="430" t="s">
        <v>999</v>
      </c>
      <c r="F6" s="430" t="s">
        <v>1004</v>
      </c>
      <c r="G6" s="430"/>
      <c r="H6" s="430"/>
      <c r="I6" s="430" t="s">
        <v>999</v>
      </c>
      <c r="J6" s="430" t="s">
        <v>1004</v>
      </c>
      <c r="K6" s="430"/>
      <c r="L6" s="430"/>
      <c r="M6" s="430" t="s">
        <v>999</v>
      </c>
      <c r="N6" s="430" t="s">
        <v>1004</v>
      </c>
      <c r="O6" s="430"/>
      <c r="P6" s="430"/>
      <c r="Q6" s="430" t="s">
        <v>999</v>
      </c>
      <c r="R6" s="430" t="s">
        <v>1004</v>
      </c>
      <c r="S6" s="430"/>
      <c r="T6" s="430"/>
      <c r="U6" s="430" t="s">
        <v>999</v>
      </c>
      <c r="V6" s="430" t="s">
        <v>1004</v>
      </c>
      <c r="W6" s="430"/>
      <c r="X6" s="430"/>
      <c r="Y6" s="430" t="s">
        <v>999</v>
      </c>
      <c r="Z6" s="430" t="s">
        <v>1004</v>
      </c>
      <c r="AA6" s="430"/>
      <c r="AB6" s="430"/>
      <c r="AC6" s="430" t="s">
        <v>999</v>
      </c>
      <c r="AD6" s="430" t="s">
        <v>1004</v>
      </c>
    </row>
    <row r="7" spans="1:30" s="308" customFormat="1" ht="16.5" thickBot="1">
      <c r="A7" s="676" t="s">
        <v>1014</v>
      </c>
      <c r="B7" s="676" t="s">
        <v>1015</v>
      </c>
      <c r="C7" s="676" t="s">
        <v>995</v>
      </c>
      <c r="D7" s="676" t="s">
        <v>996</v>
      </c>
      <c r="E7" s="676" t="s">
        <v>1000</v>
      </c>
      <c r="F7" s="676" t="s">
        <v>1005</v>
      </c>
      <c r="G7" s="676" t="s">
        <v>995</v>
      </c>
      <c r="H7" s="676" t="s">
        <v>996</v>
      </c>
      <c r="I7" s="676" t="s">
        <v>1000</v>
      </c>
      <c r="J7" s="676" t="s">
        <v>1005</v>
      </c>
      <c r="K7" s="676" t="s">
        <v>995</v>
      </c>
      <c r="L7" s="676" t="s">
        <v>996</v>
      </c>
      <c r="M7" s="676" t="s">
        <v>1000</v>
      </c>
      <c r="N7" s="676" t="s">
        <v>1005</v>
      </c>
      <c r="O7" s="676" t="s">
        <v>995</v>
      </c>
      <c r="P7" s="676" t="s">
        <v>996</v>
      </c>
      <c r="Q7" s="676" t="s">
        <v>1000</v>
      </c>
      <c r="R7" s="676" t="s">
        <v>1005</v>
      </c>
      <c r="S7" s="676" t="s">
        <v>995</v>
      </c>
      <c r="T7" s="676" t="s">
        <v>996</v>
      </c>
      <c r="U7" s="676" t="s">
        <v>1000</v>
      </c>
      <c r="V7" s="676" t="s">
        <v>1005</v>
      </c>
      <c r="W7" s="676" t="s">
        <v>995</v>
      </c>
      <c r="X7" s="676" t="s">
        <v>996</v>
      </c>
      <c r="Y7" s="676" t="s">
        <v>1000</v>
      </c>
      <c r="Z7" s="676" t="s">
        <v>1005</v>
      </c>
      <c r="AA7" s="676" t="s">
        <v>995</v>
      </c>
      <c r="AB7" s="676" t="s">
        <v>996</v>
      </c>
      <c r="AC7" s="676" t="s">
        <v>1000</v>
      </c>
      <c r="AD7" s="676" t="s">
        <v>1005</v>
      </c>
    </row>
    <row r="8" spans="1:30" s="308" customFormat="1" ht="15" customHeight="1">
      <c r="A8" s="429"/>
      <c r="B8" s="431" t="s">
        <v>217</v>
      </c>
      <c r="C8" s="437"/>
      <c r="D8" s="437"/>
      <c r="E8" s="423"/>
      <c r="F8" s="423"/>
      <c r="G8" s="437"/>
      <c r="H8" s="437"/>
      <c r="I8" s="423"/>
      <c r="J8" s="423"/>
      <c r="K8" s="437"/>
      <c r="L8" s="437"/>
      <c r="M8" s="423"/>
      <c r="N8" s="423"/>
      <c r="O8" s="437"/>
      <c r="P8" s="437"/>
      <c r="Q8" s="423"/>
      <c r="R8" s="423"/>
      <c r="S8" s="437"/>
      <c r="T8" s="437"/>
      <c r="U8" s="423"/>
      <c r="V8" s="423"/>
      <c r="W8" s="437"/>
      <c r="X8" s="437"/>
      <c r="Y8" s="423"/>
      <c r="Z8" s="423"/>
      <c r="AA8" s="437"/>
      <c r="AB8" s="437"/>
      <c r="AC8" s="423"/>
      <c r="AD8" s="423"/>
    </row>
    <row r="9" spans="1:30" s="308" customFormat="1" ht="15" customHeight="1">
      <c r="A9" s="429"/>
      <c r="B9" s="431" t="s">
        <v>218</v>
      </c>
      <c r="C9" s="437"/>
      <c r="D9" s="437"/>
      <c r="E9" s="423"/>
      <c r="F9" s="423"/>
      <c r="G9" s="437"/>
      <c r="H9" s="437"/>
      <c r="I9" s="423"/>
      <c r="J9" s="423"/>
      <c r="K9" s="437"/>
      <c r="L9" s="437"/>
      <c r="M9" s="423"/>
      <c r="N9" s="423"/>
      <c r="O9" s="437"/>
      <c r="P9" s="437"/>
      <c r="Q9" s="423"/>
      <c r="R9" s="423"/>
      <c r="S9" s="437"/>
      <c r="T9" s="437"/>
      <c r="U9" s="423"/>
      <c r="V9" s="423"/>
      <c r="W9" s="437"/>
      <c r="X9" s="437"/>
      <c r="Y9" s="423"/>
      <c r="Z9" s="423"/>
      <c r="AA9" s="437"/>
      <c r="AB9" s="437"/>
      <c r="AC9" s="423"/>
      <c r="AD9" s="423"/>
    </row>
    <row r="10" spans="1:30" s="308" customFormat="1" ht="15" customHeight="1">
      <c r="A10" s="429">
        <v>410000</v>
      </c>
      <c r="B10" s="431" t="s">
        <v>323</v>
      </c>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row>
    <row r="11" spans="1:30" ht="15" customHeight="1">
      <c r="A11" s="696">
        <v>100</v>
      </c>
      <c r="B11" s="411" t="s">
        <v>871</v>
      </c>
      <c r="C11" s="269"/>
      <c r="D11" s="269"/>
      <c r="E11" s="269"/>
      <c r="F11" s="314">
        <f t="shared" ref="F11:F38" si="0">+D11-E11</f>
        <v>0</v>
      </c>
      <c r="G11" s="269"/>
      <c r="H11" s="269"/>
      <c r="I11" s="269"/>
      <c r="J11" s="314">
        <f>+H11-I11</f>
        <v>0</v>
      </c>
      <c r="K11" s="269"/>
      <c r="L11" s="269"/>
      <c r="M11" s="269"/>
      <c r="N11" s="314">
        <f>+L11-M11</f>
        <v>0</v>
      </c>
      <c r="O11" s="269"/>
      <c r="P11" s="269"/>
      <c r="Q11" s="269"/>
      <c r="R11" s="314">
        <f>+P11-Q11</f>
        <v>0</v>
      </c>
      <c r="S11" s="269"/>
      <c r="T11" s="269"/>
      <c r="U11" s="269"/>
      <c r="V11" s="314">
        <f>+T11-U11</f>
        <v>0</v>
      </c>
      <c r="W11" s="269"/>
      <c r="X11" s="269"/>
      <c r="Y11" s="269"/>
      <c r="Z11" s="314">
        <f>+X11-Y11</f>
        <v>0</v>
      </c>
      <c r="AA11" s="269"/>
      <c r="AB11" s="269"/>
      <c r="AC11" s="269"/>
      <c r="AD11" s="314">
        <f>+AB11-AC11</f>
        <v>0</v>
      </c>
    </row>
    <row r="12" spans="1:30" ht="15" customHeight="1">
      <c r="A12" s="696" t="s">
        <v>191</v>
      </c>
      <c r="B12" s="411" t="s">
        <v>872</v>
      </c>
      <c r="C12" s="269"/>
      <c r="D12" s="269"/>
      <c r="E12" s="269"/>
      <c r="F12" s="314">
        <f t="shared" si="0"/>
        <v>0</v>
      </c>
      <c r="G12" s="269"/>
      <c r="H12" s="269"/>
      <c r="I12" s="269"/>
      <c r="J12" s="314">
        <f>+H12-I12</f>
        <v>0</v>
      </c>
      <c r="K12" s="269"/>
      <c r="L12" s="269"/>
      <c r="M12" s="269"/>
      <c r="N12" s="314">
        <f>+L12-M12</f>
        <v>0</v>
      </c>
      <c r="O12" s="269"/>
      <c r="P12" s="269"/>
      <c r="Q12" s="269"/>
      <c r="R12" s="314">
        <f>+P12-Q12</f>
        <v>0</v>
      </c>
      <c r="S12" s="269"/>
      <c r="T12" s="269"/>
      <c r="U12" s="269"/>
      <c r="V12" s="314">
        <f>+T12-U12</f>
        <v>0</v>
      </c>
      <c r="W12" s="269"/>
      <c r="X12" s="269"/>
      <c r="Y12" s="269"/>
      <c r="Z12" s="314">
        <f>+X12-Y12</f>
        <v>0</v>
      </c>
      <c r="AA12" s="269"/>
      <c r="AB12" s="269"/>
      <c r="AC12" s="269"/>
      <c r="AD12" s="314">
        <f>+AB12-AC12</f>
        <v>0</v>
      </c>
    </row>
    <row r="13" spans="1:30" s="308" customFormat="1" ht="15" customHeight="1">
      <c r="A13" s="429">
        <v>420000</v>
      </c>
      <c r="B13" s="431" t="s">
        <v>1039</v>
      </c>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row>
    <row r="14" spans="1:30" ht="15" customHeight="1">
      <c r="A14" s="696">
        <v>100</v>
      </c>
      <c r="B14" s="411" t="s">
        <v>871</v>
      </c>
      <c r="C14" s="269"/>
      <c r="D14" s="269"/>
      <c r="E14" s="269"/>
      <c r="F14" s="314">
        <f t="shared" si="0"/>
        <v>0</v>
      </c>
      <c r="G14" s="269"/>
      <c r="H14" s="269"/>
      <c r="I14" s="269"/>
      <c r="J14" s="314">
        <f>+H14-I14</f>
        <v>0</v>
      </c>
      <c r="K14" s="269"/>
      <c r="L14" s="269"/>
      <c r="M14" s="269"/>
      <c r="N14" s="314">
        <f>+L14-M14</f>
        <v>0</v>
      </c>
      <c r="O14" s="269"/>
      <c r="P14" s="269"/>
      <c r="Q14" s="269"/>
      <c r="R14" s="314">
        <f>+P14-Q14</f>
        <v>0</v>
      </c>
      <c r="S14" s="269"/>
      <c r="T14" s="269"/>
      <c r="U14" s="269"/>
      <c r="V14" s="314">
        <f>+T14-U14</f>
        <v>0</v>
      </c>
      <c r="W14" s="269"/>
      <c r="X14" s="269"/>
      <c r="Y14" s="269"/>
      <c r="Z14" s="314">
        <f>+X14-Y14</f>
        <v>0</v>
      </c>
      <c r="AA14" s="269"/>
      <c r="AB14" s="269"/>
      <c r="AC14" s="269"/>
      <c r="AD14" s="314">
        <f>+AB14-AC14</f>
        <v>0</v>
      </c>
    </row>
    <row r="15" spans="1:30" ht="15" customHeight="1">
      <c r="A15" s="696" t="s">
        <v>191</v>
      </c>
      <c r="B15" s="411" t="s">
        <v>872</v>
      </c>
      <c r="C15" s="269"/>
      <c r="D15" s="269"/>
      <c r="E15" s="269"/>
      <c r="F15" s="314">
        <f t="shared" si="0"/>
        <v>0</v>
      </c>
      <c r="G15" s="269"/>
      <c r="H15" s="269"/>
      <c r="I15" s="269"/>
      <c r="J15" s="314">
        <f>+H15-I15</f>
        <v>0</v>
      </c>
      <c r="K15" s="269"/>
      <c r="L15" s="269"/>
      <c r="M15" s="269"/>
      <c r="N15" s="314">
        <f>+L15-M15</f>
        <v>0</v>
      </c>
      <c r="O15" s="269"/>
      <c r="P15" s="269"/>
      <c r="Q15" s="269"/>
      <c r="R15" s="314">
        <f>+P15-Q15</f>
        <v>0</v>
      </c>
      <c r="S15" s="269"/>
      <c r="T15" s="269"/>
      <c r="U15" s="269"/>
      <c r="V15" s="314">
        <f>+T15-U15</f>
        <v>0</v>
      </c>
      <c r="W15" s="269"/>
      <c r="X15" s="269"/>
      <c r="Y15" s="269"/>
      <c r="Z15" s="314">
        <f>+X15-Y15</f>
        <v>0</v>
      </c>
      <c r="AA15" s="269"/>
      <c r="AB15" s="269"/>
      <c r="AC15" s="269"/>
      <c r="AD15" s="314">
        <f>+AB15-AC15</f>
        <v>0</v>
      </c>
    </row>
    <row r="16" spans="1:30" s="308" customFormat="1" ht="15" customHeight="1">
      <c r="A16" s="429">
        <v>430000</v>
      </c>
      <c r="B16" s="431" t="s">
        <v>1040</v>
      </c>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row>
    <row r="17" spans="1:30" ht="15" customHeight="1">
      <c r="A17" s="696">
        <v>100</v>
      </c>
      <c r="B17" s="411" t="s">
        <v>871</v>
      </c>
      <c r="C17" s="269"/>
      <c r="D17" s="269"/>
      <c r="E17" s="269"/>
      <c r="F17" s="314">
        <f t="shared" si="0"/>
        <v>0</v>
      </c>
      <c r="G17" s="269">
        <v>55000</v>
      </c>
      <c r="H17" s="269">
        <v>55000</v>
      </c>
      <c r="I17" s="269">
        <v>55803.97</v>
      </c>
      <c r="J17" s="314">
        <f>+H17-I17</f>
        <v>-803.97000000000116</v>
      </c>
      <c r="K17" s="269"/>
      <c r="L17" s="269"/>
      <c r="M17" s="269"/>
      <c r="N17" s="314">
        <f>+L17-M17</f>
        <v>0</v>
      </c>
      <c r="O17" s="269"/>
      <c r="P17" s="269"/>
      <c r="Q17" s="269"/>
      <c r="R17" s="314">
        <f>+P17-Q17</f>
        <v>0</v>
      </c>
      <c r="S17" s="269"/>
      <c r="T17" s="269"/>
      <c r="U17" s="269"/>
      <c r="V17" s="314">
        <f>+T17-U17</f>
        <v>0</v>
      </c>
      <c r="W17" s="269"/>
      <c r="X17" s="269"/>
      <c r="Y17" s="269"/>
      <c r="Z17" s="314">
        <f>+X17-Y17</f>
        <v>0</v>
      </c>
      <c r="AA17" s="269"/>
      <c r="AB17" s="269"/>
      <c r="AC17" s="269"/>
      <c r="AD17" s="314">
        <f>+AB17-AC17</f>
        <v>0</v>
      </c>
    </row>
    <row r="18" spans="1:30" ht="15" customHeight="1">
      <c r="A18" s="696" t="s">
        <v>191</v>
      </c>
      <c r="B18" s="411" t="s">
        <v>872</v>
      </c>
      <c r="C18" s="269"/>
      <c r="D18" s="269"/>
      <c r="E18" s="269"/>
      <c r="F18" s="314">
        <f t="shared" si="0"/>
        <v>0</v>
      </c>
      <c r="G18" s="269">
        <v>15000</v>
      </c>
      <c r="H18" s="269">
        <v>15000</v>
      </c>
      <c r="I18" s="269">
        <v>14020</v>
      </c>
      <c r="J18" s="314">
        <f>+H18-I18</f>
        <v>980</v>
      </c>
      <c r="K18" s="269">
        <v>16000</v>
      </c>
      <c r="L18" s="269">
        <v>16000</v>
      </c>
      <c r="M18" s="269">
        <v>15620.19</v>
      </c>
      <c r="N18" s="314">
        <f>+L18-M18</f>
        <v>379.80999999999949</v>
      </c>
      <c r="O18" s="269"/>
      <c r="P18" s="269"/>
      <c r="Q18" s="269"/>
      <c r="R18" s="314">
        <f>+P18-Q18</f>
        <v>0</v>
      </c>
      <c r="S18" s="269"/>
      <c r="T18" s="269"/>
      <c r="U18" s="269"/>
      <c r="V18" s="314">
        <f>+T18-U18</f>
        <v>0</v>
      </c>
      <c r="W18" s="269"/>
      <c r="X18" s="269"/>
      <c r="Y18" s="269"/>
      <c r="Z18" s="314">
        <f>+X18-Y18</f>
        <v>0</v>
      </c>
      <c r="AA18" s="269"/>
      <c r="AB18" s="269"/>
      <c r="AC18" s="269"/>
      <c r="AD18" s="314">
        <f>+AB18-AC18</f>
        <v>0</v>
      </c>
    </row>
    <row r="19" spans="1:30" s="308" customFormat="1" ht="15" customHeight="1">
      <c r="A19" s="429">
        <v>440000</v>
      </c>
      <c r="B19" s="431" t="s">
        <v>1041</v>
      </c>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row>
    <row r="20" spans="1:30" ht="15" customHeight="1">
      <c r="A20" s="696">
        <v>100</v>
      </c>
      <c r="B20" s="411" t="s">
        <v>871</v>
      </c>
      <c r="C20" s="269"/>
      <c r="D20" s="269"/>
      <c r="E20" s="269"/>
      <c r="F20" s="314">
        <f t="shared" si="0"/>
        <v>0</v>
      </c>
      <c r="G20" s="269"/>
      <c r="H20" s="269"/>
      <c r="I20" s="269"/>
      <c r="J20" s="314">
        <f>+H20-I20</f>
        <v>0</v>
      </c>
      <c r="K20" s="269"/>
      <c r="L20" s="269"/>
      <c r="M20" s="269"/>
      <c r="N20" s="314">
        <f>+L20-M20</f>
        <v>0</v>
      </c>
      <c r="O20" s="269"/>
      <c r="P20" s="269"/>
      <c r="Q20" s="269"/>
      <c r="R20" s="314">
        <f>+P20-Q20</f>
        <v>0</v>
      </c>
      <c r="S20" s="269"/>
      <c r="T20" s="269"/>
      <c r="U20" s="269"/>
      <c r="V20" s="314">
        <f>+T20-U20</f>
        <v>0</v>
      </c>
      <c r="W20" s="269"/>
      <c r="X20" s="269"/>
      <c r="Y20" s="269"/>
      <c r="Z20" s="314">
        <f>+X20-Y20</f>
        <v>0</v>
      </c>
      <c r="AA20" s="269"/>
      <c r="AB20" s="269"/>
      <c r="AC20" s="269"/>
      <c r="AD20" s="314">
        <f>+AB20-AC20</f>
        <v>0</v>
      </c>
    </row>
    <row r="21" spans="1:30" ht="15" customHeight="1">
      <c r="A21" s="696" t="s">
        <v>191</v>
      </c>
      <c r="B21" s="411" t="s">
        <v>872</v>
      </c>
      <c r="C21" s="269"/>
      <c r="D21" s="269"/>
      <c r="E21" s="269"/>
      <c r="F21" s="314">
        <f t="shared" si="0"/>
        <v>0</v>
      </c>
      <c r="G21" s="269"/>
      <c r="H21" s="269"/>
      <c r="I21" s="269"/>
      <c r="J21" s="314">
        <f>+H21-I21</f>
        <v>0</v>
      </c>
      <c r="K21" s="269"/>
      <c r="L21" s="269"/>
      <c r="M21" s="269"/>
      <c r="N21" s="314">
        <f>+L21-M21</f>
        <v>0</v>
      </c>
      <c r="O21" s="269"/>
      <c r="P21" s="269"/>
      <c r="Q21" s="269"/>
      <c r="R21" s="314">
        <f>+P21-Q21</f>
        <v>0</v>
      </c>
      <c r="S21" s="269"/>
      <c r="T21" s="269"/>
      <c r="U21" s="269"/>
      <c r="V21" s="314">
        <f>+T21-U21</f>
        <v>0</v>
      </c>
      <c r="W21" s="269"/>
      <c r="X21" s="269"/>
      <c r="Y21" s="269"/>
      <c r="Z21" s="314">
        <f>+X21-Y21</f>
        <v>0</v>
      </c>
      <c r="AA21" s="269"/>
      <c r="AB21" s="269"/>
      <c r="AC21" s="269"/>
      <c r="AD21" s="314">
        <f>+AB21-AC21</f>
        <v>0</v>
      </c>
    </row>
    <row r="22" spans="1:30" s="308" customFormat="1" ht="15" customHeight="1">
      <c r="A22" s="429">
        <v>450000</v>
      </c>
      <c r="B22" s="431" t="s">
        <v>1042</v>
      </c>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row>
    <row r="23" spans="1:30" ht="15" customHeight="1">
      <c r="A23" s="696">
        <v>100</v>
      </c>
      <c r="B23" s="411" t="s">
        <v>871</v>
      </c>
      <c r="C23" s="303"/>
      <c r="D23" s="303"/>
      <c r="E23" s="303"/>
      <c r="F23" s="314">
        <f t="shared" si="0"/>
        <v>0</v>
      </c>
      <c r="G23" s="303"/>
      <c r="H23" s="303"/>
      <c r="I23" s="303"/>
      <c r="J23" s="314">
        <f>+H23-I23</f>
        <v>0</v>
      </c>
      <c r="K23" s="303"/>
      <c r="L23" s="303"/>
      <c r="M23" s="303"/>
      <c r="N23" s="314">
        <f>+L23-M23</f>
        <v>0</v>
      </c>
      <c r="O23" s="303"/>
      <c r="P23" s="303"/>
      <c r="Q23" s="303"/>
      <c r="R23" s="314">
        <f>+P23-Q23</f>
        <v>0</v>
      </c>
      <c r="S23" s="303"/>
      <c r="T23" s="303"/>
      <c r="U23" s="303"/>
      <c r="V23" s="314">
        <f>+T23-U23</f>
        <v>0</v>
      </c>
      <c r="W23" s="303"/>
      <c r="X23" s="303"/>
      <c r="Y23" s="303"/>
      <c r="Z23" s="314">
        <f>+X23-Y23</f>
        <v>0</v>
      </c>
      <c r="AA23" s="303"/>
      <c r="AB23" s="303"/>
      <c r="AC23" s="303"/>
      <c r="AD23" s="314">
        <f>+AB23-AC23</f>
        <v>0</v>
      </c>
    </row>
    <row r="24" spans="1:30" ht="15" customHeight="1">
      <c r="A24" s="696" t="s">
        <v>191</v>
      </c>
      <c r="B24" s="411" t="s">
        <v>872</v>
      </c>
      <c r="C24" s="269"/>
      <c r="D24" s="269"/>
      <c r="E24" s="269"/>
      <c r="F24" s="314">
        <f t="shared" si="0"/>
        <v>0</v>
      </c>
      <c r="G24" s="269"/>
      <c r="H24" s="269"/>
      <c r="I24" s="269"/>
      <c r="J24" s="314">
        <f>+H24-I24</f>
        <v>0</v>
      </c>
      <c r="K24" s="269"/>
      <c r="L24" s="269"/>
      <c r="M24" s="269"/>
      <c r="N24" s="314">
        <f>+L24-M24</f>
        <v>0</v>
      </c>
      <c r="O24" s="269"/>
      <c r="P24" s="269"/>
      <c r="Q24" s="269"/>
      <c r="R24" s="314">
        <f>+P24-Q24</f>
        <v>0</v>
      </c>
      <c r="S24" s="269"/>
      <c r="T24" s="269"/>
      <c r="U24" s="269"/>
      <c r="V24" s="314">
        <f>+T24-U24</f>
        <v>0</v>
      </c>
      <c r="W24" s="269"/>
      <c r="X24" s="269"/>
      <c r="Y24" s="269"/>
      <c r="Z24" s="314">
        <f>+X24-Y24</f>
        <v>0</v>
      </c>
      <c r="AA24" s="269"/>
      <c r="AB24" s="269"/>
      <c r="AC24" s="269"/>
      <c r="AD24" s="314">
        <f>+AB24-AC24</f>
        <v>0</v>
      </c>
    </row>
    <row r="25" spans="1:30" s="308" customFormat="1" ht="15" customHeight="1">
      <c r="A25" s="429">
        <v>460000</v>
      </c>
      <c r="B25" s="431" t="s">
        <v>1043</v>
      </c>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row>
    <row r="26" spans="1:30" ht="15" customHeight="1">
      <c r="A26" s="696">
        <v>100</v>
      </c>
      <c r="B26" s="411" t="s">
        <v>871</v>
      </c>
      <c r="C26" s="269"/>
      <c r="D26" s="269"/>
      <c r="E26" s="269"/>
      <c r="F26" s="314">
        <f t="shared" si="0"/>
        <v>0</v>
      </c>
      <c r="G26" s="269"/>
      <c r="H26" s="269"/>
      <c r="I26" s="269"/>
      <c r="J26" s="314">
        <f>+H26-I26</f>
        <v>0</v>
      </c>
      <c r="K26" s="269"/>
      <c r="L26" s="269"/>
      <c r="M26" s="269"/>
      <c r="N26" s="314">
        <f>+L26-M26</f>
        <v>0</v>
      </c>
      <c r="O26" s="269"/>
      <c r="P26" s="269"/>
      <c r="Q26" s="269"/>
      <c r="R26" s="314">
        <f>+P26-Q26</f>
        <v>0</v>
      </c>
      <c r="S26" s="269"/>
      <c r="T26" s="269"/>
      <c r="U26" s="269"/>
      <c r="V26" s="314">
        <f>+T26-U26</f>
        <v>0</v>
      </c>
      <c r="W26" s="269"/>
      <c r="X26" s="269"/>
      <c r="Y26" s="269"/>
      <c r="Z26" s="314">
        <f>+X26-Y26</f>
        <v>0</v>
      </c>
      <c r="AA26" s="269"/>
      <c r="AB26" s="269"/>
      <c r="AC26" s="269"/>
      <c r="AD26" s="314">
        <f>+AB26-AC26</f>
        <v>0</v>
      </c>
    </row>
    <row r="27" spans="1:30" ht="15" customHeight="1">
      <c r="A27" s="696" t="s">
        <v>191</v>
      </c>
      <c r="B27" s="411" t="s">
        <v>872</v>
      </c>
      <c r="C27" s="269"/>
      <c r="D27" s="269"/>
      <c r="E27" s="269"/>
      <c r="F27" s="314">
        <f t="shared" si="0"/>
        <v>0</v>
      </c>
      <c r="G27" s="269"/>
      <c r="H27" s="269"/>
      <c r="I27" s="269"/>
      <c r="J27" s="314">
        <f>+H27-I27</f>
        <v>0</v>
      </c>
      <c r="K27" s="269"/>
      <c r="L27" s="269"/>
      <c r="M27" s="269"/>
      <c r="N27" s="314">
        <f>+L27-M27</f>
        <v>0</v>
      </c>
      <c r="O27" s="269"/>
      <c r="P27" s="269"/>
      <c r="Q27" s="269"/>
      <c r="R27" s="314">
        <f>+P27-Q27</f>
        <v>0</v>
      </c>
      <c r="S27" s="269"/>
      <c r="T27" s="269"/>
      <c r="U27" s="269"/>
      <c r="V27" s="314">
        <f>+T27-U27</f>
        <v>0</v>
      </c>
      <c r="W27" s="269"/>
      <c r="X27" s="269"/>
      <c r="Y27" s="269"/>
      <c r="Z27" s="314">
        <f>+X27-Y27</f>
        <v>0</v>
      </c>
      <c r="AA27" s="269"/>
      <c r="AB27" s="269"/>
      <c r="AC27" s="269"/>
      <c r="AD27" s="314">
        <f>+AB27-AC27</f>
        <v>0</v>
      </c>
    </row>
    <row r="28" spans="1:30" s="308" customFormat="1" ht="15" customHeight="1">
      <c r="A28" s="429">
        <v>470000</v>
      </c>
      <c r="B28" s="431" t="s">
        <v>1044</v>
      </c>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row>
    <row r="29" spans="1:30" ht="15" customHeight="1">
      <c r="A29" s="696">
        <v>100</v>
      </c>
      <c r="B29" s="411" t="s">
        <v>871</v>
      </c>
      <c r="C29" s="269"/>
      <c r="D29" s="269"/>
      <c r="E29" s="269"/>
      <c r="F29" s="314">
        <f t="shared" si="0"/>
        <v>0</v>
      </c>
      <c r="G29" s="269"/>
      <c r="H29" s="269"/>
      <c r="I29" s="269"/>
      <c r="J29" s="314">
        <f>+H29-I29</f>
        <v>0</v>
      </c>
      <c r="K29" s="269"/>
      <c r="L29" s="269"/>
      <c r="M29" s="269"/>
      <c r="N29" s="314">
        <f>+L29-M29</f>
        <v>0</v>
      </c>
      <c r="O29" s="269"/>
      <c r="P29" s="269"/>
      <c r="Q29" s="269"/>
      <c r="R29" s="314">
        <f>+P29-Q29</f>
        <v>0</v>
      </c>
      <c r="S29" s="269"/>
      <c r="T29" s="269"/>
      <c r="U29" s="269"/>
      <c r="V29" s="314">
        <f>+T29-U29</f>
        <v>0</v>
      </c>
      <c r="W29" s="269"/>
      <c r="X29" s="269"/>
      <c r="Y29" s="269"/>
      <c r="Z29" s="314">
        <f>+X29-Y29</f>
        <v>0</v>
      </c>
      <c r="AA29" s="269"/>
      <c r="AB29" s="269"/>
      <c r="AC29" s="269"/>
      <c r="AD29" s="314">
        <f>+AB29-AC29</f>
        <v>0</v>
      </c>
    </row>
    <row r="30" spans="1:30" ht="15" customHeight="1">
      <c r="A30" s="696" t="s">
        <v>191</v>
      </c>
      <c r="B30" s="411" t="s">
        <v>872</v>
      </c>
      <c r="C30" s="302"/>
      <c r="D30" s="302"/>
      <c r="E30" s="302"/>
      <c r="F30" s="314">
        <f t="shared" si="0"/>
        <v>0</v>
      </c>
      <c r="G30" s="302"/>
      <c r="H30" s="302"/>
      <c r="I30" s="302"/>
      <c r="J30" s="314">
        <f>+H30-I30</f>
        <v>0</v>
      </c>
      <c r="K30" s="302"/>
      <c r="L30" s="302"/>
      <c r="M30" s="302"/>
      <c r="N30" s="314">
        <f>+L30-M30</f>
        <v>0</v>
      </c>
      <c r="O30" s="302"/>
      <c r="P30" s="302"/>
      <c r="Q30" s="302"/>
      <c r="R30" s="314">
        <f>+P30-Q30</f>
        <v>0</v>
      </c>
      <c r="S30" s="302"/>
      <c r="T30" s="302"/>
      <c r="U30" s="302"/>
      <c r="V30" s="314">
        <f>+T30-U30</f>
        <v>0</v>
      </c>
      <c r="W30" s="302"/>
      <c r="X30" s="302"/>
      <c r="Y30" s="302"/>
      <c r="Z30" s="314">
        <f>+X30-Y30</f>
        <v>0</v>
      </c>
      <c r="AA30" s="302"/>
      <c r="AB30" s="302"/>
      <c r="AC30" s="302"/>
      <c r="AD30" s="314">
        <f>+AB30-AC30</f>
        <v>0</v>
      </c>
    </row>
    <row r="31" spans="1:30" s="308" customFormat="1" ht="15" customHeight="1">
      <c r="A31" s="428">
        <v>480000</v>
      </c>
      <c r="B31" s="431" t="s">
        <v>1088</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row>
    <row r="32" spans="1:30" ht="15" customHeight="1">
      <c r="A32" s="696">
        <v>100</v>
      </c>
      <c r="B32" s="411" t="s">
        <v>871</v>
      </c>
      <c r="C32" s="269"/>
      <c r="D32" s="269"/>
      <c r="E32" s="269"/>
      <c r="F32" s="314">
        <f t="shared" si="0"/>
        <v>0</v>
      </c>
      <c r="G32" s="269"/>
      <c r="H32" s="269"/>
      <c r="I32" s="269"/>
      <c r="J32" s="314">
        <f>+H32-I32</f>
        <v>0</v>
      </c>
      <c r="K32" s="269"/>
      <c r="L32" s="269"/>
      <c r="M32" s="269"/>
      <c r="N32" s="314">
        <f>+L32-M32</f>
        <v>0</v>
      </c>
      <c r="O32" s="269"/>
      <c r="P32" s="269"/>
      <c r="Q32" s="269"/>
      <c r="R32" s="314">
        <f>+P32-Q32</f>
        <v>0</v>
      </c>
      <c r="S32" s="269"/>
      <c r="T32" s="269"/>
      <c r="U32" s="269"/>
      <c r="V32" s="314">
        <f>+T32-U32</f>
        <v>0</v>
      </c>
      <c r="W32" s="269"/>
      <c r="X32" s="269"/>
      <c r="Y32" s="269"/>
      <c r="Z32" s="314">
        <f>+X32-Y32</f>
        <v>0</v>
      </c>
      <c r="AA32" s="269"/>
      <c r="AB32" s="269"/>
      <c r="AC32" s="269"/>
      <c r="AD32" s="314">
        <f>+AB32-AC32</f>
        <v>0</v>
      </c>
    </row>
    <row r="33" spans="1:30" ht="15" customHeight="1">
      <c r="A33" s="696" t="s">
        <v>191</v>
      </c>
      <c r="B33" s="411" t="s">
        <v>872</v>
      </c>
      <c r="C33" s="269"/>
      <c r="D33" s="269"/>
      <c r="E33" s="269"/>
      <c r="F33" s="314">
        <f t="shared" si="0"/>
        <v>0</v>
      </c>
      <c r="G33" s="269"/>
      <c r="H33" s="269"/>
      <c r="I33" s="269"/>
      <c r="J33" s="314">
        <f>+H33-I33</f>
        <v>0</v>
      </c>
      <c r="K33" s="269"/>
      <c r="L33" s="269"/>
      <c r="M33" s="269"/>
      <c r="N33" s="314">
        <f>+L33-M33</f>
        <v>0</v>
      </c>
      <c r="O33" s="269"/>
      <c r="P33" s="269"/>
      <c r="Q33" s="269"/>
      <c r="R33" s="314">
        <f>+P33-Q33</f>
        <v>0</v>
      </c>
      <c r="S33" s="269"/>
      <c r="T33" s="269"/>
      <c r="U33" s="269"/>
      <c r="V33" s="314">
        <f>+T33-U33</f>
        <v>0</v>
      </c>
      <c r="W33" s="269"/>
      <c r="X33" s="269"/>
      <c r="Y33" s="269"/>
      <c r="Z33" s="314">
        <f>+X33-Y33</f>
        <v>0</v>
      </c>
      <c r="AA33" s="269"/>
      <c r="AB33" s="269"/>
      <c r="AC33" s="269"/>
      <c r="AD33" s="314">
        <f>+AB33-AC33</f>
        <v>0</v>
      </c>
    </row>
    <row r="34" spans="1:30" ht="15" customHeight="1">
      <c r="A34" s="696">
        <v>900</v>
      </c>
      <c r="B34" s="431" t="s">
        <v>1090</v>
      </c>
      <c r="C34" s="269"/>
      <c r="D34" s="269"/>
      <c r="E34" s="269"/>
      <c r="F34" s="314">
        <f t="shared" si="0"/>
        <v>0</v>
      </c>
      <c r="G34" s="269"/>
      <c r="H34" s="269"/>
      <c r="I34" s="269"/>
      <c r="J34" s="314">
        <f>+H34-I34</f>
        <v>0</v>
      </c>
      <c r="K34" s="269"/>
      <c r="L34" s="269"/>
      <c r="M34" s="269"/>
      <c r="N34" s="314">
        <f>+L34-M34</f>
        <v>0</v>
      </c>
      <c r="O34" s="269"/>
      <c r="P34" s="269"/>
      <c r="Q34" s="269"/>
      <c r="R34" s="314">
        <f>+P34-Q34</f>
        <v>0</v>
      </c>
      <c r="S34" s="269"/>
      <c r="T34" s="269"/>
      <c r="U34" s="269"/>
      <c r="V34" s="314">
        <f>+T34-U34</f>
        <v>0</v>
      </c>
      <c r="W34" s="269"/>
      <c r="X34" s="269"/>
      <c r="Y34" s="269"/>
      <c r="Z34" s="314">
        <f>+X34-Y34</f>
        <v>0</v>
      </c>
      <c r="AA34" s="269"/>
      <c r="AB34" s="269"/>
      <c r="AC34" s="269"/>
      <c r="AD34" s="314">
        <f>+AB34-AC34</f>
        <v>0</v>
      </c>
    </row>
    <row r="35" spans="1:30" s="308" customFormat="1" ht="15" customHeight="1">
      <c r="A35" s="428">
        <v>490000</v>
      </c>
      <c r="B35" s="431" t="s">
        <v>1089</v>
      </c>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row>
    <row r="36" spans="1:30" ht="15" customHeight="1">
      <c r="A36" s="696">
        <v>610</v>
      </c>
      <c r="B36" s="411" t="s">
        <v>227</v>
      </c>
      <c r="C36" s="269"/>
      <c r="D36" s="269"/>
      <c r="E36" s="269"/>
      <c r="F36" s="314">
        <f t="shared" si="0"/>
        <v>0</v>
      </c>
      <c r="G36" s="269"/>
      <c r="H36" s="269"/>
      <c r="I36" s="269"/>
      <c r="J36" s="314">
        <f>+H36-I36</f>
        <v>0</v>
      </c>
      <c r="K36" s="269"/>
      <c r="L36" s="269"/>
      <c r="M36" s="269"/>
      <c r="N36" s="314">
        <f>+L36-M36</f>
        <v>0</v>
      </c>
      <c r="O36" s="269"/>
      <c r="P36" s="269"/>
      <c r="Q36" s="269"/>
      <c r="R36" s="314">
        <f>+P36-Q36</f>
        <v>0</v>
      </c>
      <c r="S36" s="269"/>
      <c r="T36" s="269"/>
      <c r="U36" s="269"/>
      <c r="V36" s="314">
        <f>+T36-U36</f>
        <v>0</v>
      </c>
      <c r="W36" s="269"/>
      <c r="X36" s="269"/>
      <c r="Y36" s="269"/>
      <c r="Z36" s="314">
        <f>+X36-Y36</f>
        <v>0</v>
      </c>
      <c r="AA36" s="269"/>
      <c r="AB36" s="269"/>
      <c r="AC36" s="269"/>
      <c r="AD36" s="314">
        <f>+AB36-AC36</f>
        <v>0</v>
      </c>
    </row>
    <row r="37" spans="1:30" ht="15" customHeight="1">
      <c r="A37" s="696">
        <v>620</v>
      </c>
      <c r="B37" s="411" t="s">
        <v>228</v>
      </c>
      <c r="C37" s="269"/>
      <c r="D37" s="269"/>
      <c r="E37" s="269"/>
      <c r="F37" s="314">
        <f t="shared" si="0"/>
        <v>0</v>
      </c>
      <c r="G37" s="269"/>
      <c r="H37" s="269"/>
      <c r="I37" s="269"/>
      <c r="J37" s="314">
        <f>+H37-I37</f>
        <v>0</v>
      </c>
      <c r="K37" s="269"/>
      <c r="L37" s="269"/>
      <c r="M37" s="269"/>
      <c r="N37" s="314">
        <f>+L37-M37</f>
        <v>0</v>
      </c>
      <c r="O37" s="269"/>
      <c r="P37" s="269"/>
      <c r="Q37" s="269"/>
      <c r="R37" s="314">
        <f>+P37-Q37</f>
        <v>0</v>
      </c>
      <c r="S37" s="269"/>
      <c r="T37" s="269"/>
      <c r="U37" s="269"/>
      <c r="V37" s="314">
        <f>+T37-U37</f>
        <v>0</v>
      </c>
      <c r="W37" s="269"/>
      <c r="X37" s="269"/>
      <c r="Y37" s="269"/>
      <c r="Z37" s="314">
        <f>+X37-Y37</f>
        <v>0</v>
      </c>
      <c r="AA37" s="269"/>
      <c r="AB37" s="269"/>
      <c r="AC37" s="269"/>
      <c r="AD37" s="314">
        <f>+AB37-AC37</f>
        <v>0</v>
      </c>
    </row>
    <row r="38" spans="1:30" ht="15" customHeight="1" thickBot="1">
      <c r="A38" s="429">
        <v>510000</v>
      </c>
      <c r="B38" s="431" t="s">
        <v>214</v>
      </c>
      <c r="C38" s="271">
        <v>23200</v>
      </c>
      <c r="D38" s="271">
        <v>23200</v>
      </c>
      <c r="E38" s="271">
        <v>17908.13</v>
      </c>
      <c r="F38" s="316">
        <f t="shared" si="0"/>
        <v>5291.869999999999</v>
      </c>
      <c r="G38" s="271"/>
      <c r="H38" s="271"/>
      <c r="I38" s="271"/>
      <c r="J38" s="316">
        <f>+H38-I38</f>
        <v>0</v>
      </c>
      <c r="K38" s="271"/>
      <c r="L38" s="271"/>
      <c r="M38" s="271"/>
      <c r="N38" s="316">
        <f>+L38-M38</f>
        <v>0</v>
      </c>
      <c r="O38" s="271"/>
      <c r="P38" s="271"/>
      <c r="Q38" s="271"/>
      <c r="R38" s="316">
        <f>+P38-Q38</f>
        <v>0</v>
      </c>
      <c r="S38" s="271"/>
      <c r="T38" s="271"/>
      <c r="U38" s="271"/>
      <c r="V38" s="316">
        <f>+T38-U38</f>
        <v>0</v>
      </c>
      <c r="W38" s="271"/>
      <c r="X38" s="271"/>
      <c r="Y38" s="271"/>
      <c r="Z38" s="316">
        <f>+X38-Y38</f>
        <v>0</v>
      </c>
      <c r="AA38" s="271"/>
      <c r="AB38" s="271"/>
      <c r="AC38" s="271"/>
      <c r="AD38" s="316">
        <f>+AB38-AC38</f>
        <v>0</v>
      </c>
    </row>
    <row r="39" spans="1:30" s="308" customFormat="1" ht="15" customHeight="1" thickBot="1">
      <c r="A39" s="429"/>
      <c r="B39" s="430" t="s">
        <v>1156</v>
      </c>
      <c r="C39" s="278">
        <f t="shared" ref="C39:N39" si="1">SUM(C8:C38)</f>
        <v>23200</v>
      </c>
      <c r="D39" s="278">
        <f t="shared" si="1"/>
        <v>23200</v>
      </c>
      <c r="E39" s="278">
        <f t="shared" si="1"/>
        <v>17908.13</v>
      </c>
      <c r="F39" s="278">
        <f t="shared" si="1"/>
        <v>5291.869999999999</v>
      </c>
      <c r="G39" s="278">
        <f t="shared" si="1"/>
        <v>70000</v>
      </c>
      <c r="H39" s="278">
        <f t="shared" si="1"/>
        <v>70000</v>
      </c>
      <c r="I39" s="278">
        <f t="shared" si="1"/>
        <v>69823.97</v>
      </c>
      <c r="J39" s="278">
        <f t="shared" si="1"/>
        <v>176.02999999999884</v>
      </c>
      <c r="K39" s="278">
        <f t="shared" si="1"/>
        <v>16000</v>
      </c>
      <c r="L39" s="278">
        <f t="shared" si="1"/>
        <v>16000</v>
      </c>
      <c r="M39" s="278">
        <f t="shared" si="1"/>
        <v>15620.19</v>
      </c>
      <c r="N39" s="278">
        <f t="shared" si="1"/>
        <v>379.80999999999949</v>
      </c>
      <c r="O39" s="278">
        <f t="shared" ref="O39:AD39" si="2">SUM(O8:O38)</f>
        <v>0</v>
      </c>
      <c r="P39" s="278">
        <f t="shared" si="2"/>
        <v>0</v>
      </c>
      <c r="Q39" s="278">
        <f t="shared" si="2"/>
        <v>0</v>
      </c>
      <c r="R39" s="278">
        <f t="shared" si="2"/>
        <v>0</v>
      </c>
      <c r="S39" s="278">
        <f t="shared" si="2"/>
        <v>0</v>
      </c>
      <c r="T39" s="278">
        <f t="shared" si="2"/>
        <v>0</v>
      </c>
      <c r="U39" s="278">
        <f t="shared" si="2"/>
        <v>0</v>
      </c>
      <c r="V39" s="278">
        <f t="shared" si="2"/>
        <v>0</v>
      </c>
      <c r="W39" s="278">
        <f t="shared" si="2"/>
        <v>0</v>
      </c>
      <c r="X39" s="278">
        <f t="shared" si="2"/>
        <v>0</v>
      </c>
      <c r="Y39" s="278">
        <f t="shared" si="2"/>
        <v>0</v>
      </c>
      <c r="Z39" s="278">
        <f t="shared" si="2"/>
        <v>0</v>
      </c>
      <c r="AA39" s="278">
        <f t="shared" si="2"/>
        <v>0</v>
      </c>
      <c r="AB39" s="278">
        <f t="shared" si="2"/>
        <v>0</v>
      </c>
      <c r="AC39" s="278">
        <f t="shared" si="2"/>
        <v>0</v>
      </c>
      <c r="AD39" s="278">
        <f t="shared" si="2"/>
        <v>0</v>
      </c>
    </row>
    <row r="40" spans="1:30" s="308" customFormat="1" ht="15" customHeight="1">
      <c r="A40" s="429"/>
      <c r="B40" s="431" t="s">
        <v>842</v>
      </c>
      <c r="C40" s="277">
        <f>+'OPER-MAJOR SP. REVENUE(54-56)'!C40-C39</f>
        <v>-16100</v>
      </c>
      <c r="D40" s="277">
        <f>+'OPER-MAJOR SP. REVENUE(54-56)'!D40-D39</f>
        <v>-16100</v>
      </c>
      <c r="E40" s="277">
        <f>+'OPER-MAJOR SP. REVENUE(54-56)'!E40-E39</f>
        <v>-2870.619999999999</v>
      </c>
      <c r="F40" s="277">
        <f>+'OPER-MAJOR SP. REVENUE(54-56)'!F40+F39</f>
        <v>13229.379999999997</v>
      </c>
      <c r="G40" s="277">
        <f>+'OPER-MAJOR SP. REVENUE(54-56)'!G40-G39</f>
        <v>-15700</v>
      </c>
      <c r="H40" s="277">
        <f>+'OPER-MAJOR SP. REVENUE(54-56)'!H40-H39</f>
        <v>-15700</v>
      </c>
      <c r="I40" s="277">
        <f>+'OPER-MAJOR SP. REVENUE(54-56)'!I40-I39</f>
        <v>-16157.270000000004</v>
      </c>
      <c r="J40" s="277">
        <f>+'OPER-MAJOR SP. REVENUE(54-56)'!J40+J39</f>
        <v>-457.2700000000043</v>
      </c>
      <c r="K40" s="277">
        <f>+'OPER-MAJOR SP. REVENUE(54-56)'!K40-K39</f>
        <v>-614</v>
      </c>
      <c r="L40" s="277">
        <f>+'OPER-MAJOR SP. REVENUE(54-56)'!L40-L39</f>
        <v>-614</v>
      </c>
      <c r="M40" s="277">
        <f>+'OPER-MAJOR SP. REVENUE(54-56)'!M40-M39</f>
        <v>-343.15999999999985</v>
      </c>
      <c r="N40" s="277">
        <f>+'OPER-MAJOR SP. REVENUE(54-56)'!N40+N39</f>
        <v>270.84000000000037</v>
      </c>
      <c r="O40" s="277">
        <f>+'OPER-MAJOR SP. REVENUE(54-56)'!O40-O39</f>
        <v>0</v>
      </c>
      <c r="P40" s="277">
        <f>+'OPER-MAJOR SP. REVENUE(54-56)'!P40-P39</f>
        <v>0</v>
      </c>
      <c r="Q40" s="277">
        <f>+'OPER-MAJOR SP. REVENUE(54-56)'!Q40-Q39</f>
        <v>9.17</v>
      </c>
      <c r="R40" s="277">
        <f>+'OPER-MAJOR SP. REVENUE(54-56)'!R40+R39</f>
        <v>9.17</v>
      </c>
      <c r="S40" s="277">
        <f>+'OPER-MAJOR SP. REVENUE(54-56)'!S40-S39</f>
        <v>0</v>
      </c>
      <c r="T40" s="277">
        <f>+'OPER-MAJOR SP. REVENUE(54-56)'!T40-T39</f>
        <v>0</v>
      </c>
      <c r="U40" s="277">
        <f>+'OPER-MAJOR SP. REVENUE(54-56)'!U40-U39</f>
        <v>0</v>
      </c>
      <c r="V40" s="277">
        <f>+'OPER-MAJOR SP. REVENUE(54-56)'!V40+V39</f>
        <v>0</v>
      </c>
      <c r="W40" s="277">
        <f>+'OPER-MAJOR SP. REVENUE(54-56)'!W40-W39</f>
        <v>0</v>
      </c>
      <c r="X40" s="277">
        <f>+'OPER-MAJOR SP. REVENUE(54-56)'!X40-X39</f>
        <v>0</v>
      </c>
      <c r="Y40" s="277">
        <f>+'OPER-MAJOR SP. REVENUE(54-56)'!Y40-Y39</f>
        <v>0</v>
      </c>
      <c r="Z40" s="277">
        <f>+'OPER-MAJOR SP. REVENUE(54-56)'!Z40+Z39</f>
        <v>0</v>
      </c>
      <c r="AA40" s="277">
        <f>+'OPER-MAJOR SP. REVENUE(54-56)'!AA40-AA39</f>
        <v>0</v>
      </c>
      <c r="AB40" s="277">
        <f>+'OPER-MAJOR SP. REVENUE(54-56)'!AB40-AB39</f>
        <v>0</v>
      </c>
      <c r="AC40" s="277">
        <f>+'OPER-MAJOR SP. REVENUE(54-56)'!AC40-AC39</f>
        <v>0</v>
      </c>
      <c r="AD40" s="277">
        <f>+'OPER-MAJOR SP. REVENUE(54-56)'!AD40+AD39</f>
        <v>0</v>
      </c>
    </row>
    <row r="41" spans="1:30" s="308" customFormat="1" ht="15" customHeight="1">
      <c r="A41" s="429"/>
      <c r="B41" s="431" t="s">
        <v>1158</v>
      </c>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row>
    <row r="42" spans="1:30" ht="15" customHeight="1">
      <c r="A42" s="429">
        <v>381000</v>
      </c>
      <c r="B42" s="411" t="s">
        <v>479</v>
      </c>
      <c r="C42" s="269"/>
      <c r="D42" s="269"/>
      <c r="E42" s="269"/>
      <c r="F42" s="314">
        <f t="shared" ref="F42:F51" si="3">-D42+E42</f>
        <v>0</v>
      </c>
      <c r="G42" s="269"/>
      <c r="H42" s="269"/>
      <c r="I42" s="269"/>
      <c r="J42" s="314">
        <f t="shared" ref="J42:J51" si="4">-H42+I42</f>
        <v>0</v>
      </c>
      <c r="K42" s="269"/>
      <c r="L42" s="269"/>
      <c r="M42" s="269"/>
      <c r="N42" s="314">
        <f t="shared" ref="N42:N51" si="5">-L42+M42</f>
        <v>0</v>
      </c>
      <c r="O42" s="269"/>
      <c r="P42" s="269"/>
      <c r="Q42" s="269"/>
      <c r="R42" s="314">
        <f t="shared" ref="R42:R51" si="6">-P42+Q42</f>
        <v>0</v>
      </c>
      <c r="S42" s="269"/>
      <c r="T42" s="269"/>
      <c r="U42" s="269"/>
      <c r="V42" s="314">
        <f t="shared" ref="V42:V51" si="7">-T42+U42</f>
        <v>0</v>
      </c>
      <c r="W42" s="269"/>
      <c r="X42" s="269"/>
      <c r="Y42" s="269"/>
      <c r="Z42" s="314">
        <f t="shared" ref="Z42:Z51" si="8">-X42+Y42</f>
        <v>0</v>
      </c>
      <c r="AA42" s="269"/>
      <c r="AB42" s="269"/>
      <c r="AC42" s="269"/>
      <c r="AD42" s="314">
        <f t="shared" ref="AD42:AD51" si="9">-AB42+AC42</f>
        <v>0</v>
      </c>
    </row>
    <row r="43" spans="1:30" ht="15" customHeight="1">
      <c r="A43" s="429">
        <v>381000</v>
      </c>
      <c r="B43" s="411" t="s">
        <v>1117</v>
      </c>
      <c r="C43" s="269"/>
      <c r="D43" s="269"/>
      <c r="E43" s="269"/>
      <c r="F43" s="314">
        <f t="shared" si="3"/>
        <v>0</v>
      </c>
      <c r="G43" s="269"/>
      <c r="H43" s="269"/>
      <c r="I43" s="269"/>
      <c r="J43" s="314">
        <f t="shared" si="4"/>
        <v>0</v>
      </c>
      <c r="K43" s="269"/>
      <c r="L43" s="269"/>
      <c r="M43" s="269"/>
      <c r="N43" s="314">
        <f t="shared" si="5"/>
        <v>0</v>
      </c>
      <c r="O43" s="269"/>
      <c r="P43" s="269"/>
      <c r="Q43" s="269"/>
      <c r="R43" s="314">
        <f t="shared" si="6"/>
        <v>0</v>
      </c>
      <c r="S43" s="269"/>
      <c r="T43" s="269"/>
      <c r="U43" s="269"/>
      <c r="V43" s="314">
        <f t="shared" si="7"/>
        <v>0</v>
      </c>
      <c r="W43" s="269"/>
      <c r="X43" s="269"/>
      <c r="Y43" s="269"/>
      <c r="Z43" s="314">
        <f t="shared" si="8"/>
        <v>0</v>
      </c>
      <c r="AA43" s="269"/>
      <c r="AB43" s="269"/>
      <c r="AC43" s="269"/>
      <c r="AD43" s="314">
        <f t="shared" si="9"/>
        <v>0</v>
      </c>
    </row>
    <row r="44" spans="1:30" ht="15" customHeight="1">
      <c r="A44" s="429">
        <v>381050</v>
      </c>
      <c r="B44" s="411" t="s">
        <v>1160</v>
      </c>
      <c r="C44" s="269"/>
      <c r="D44" s="269"/>
      <c r="E44" s="269"/>
      <c r="F44" s="314">
        <f t="shared" si="3"/>
        <v>0</v>
      </c>
      <c r="G44" s="269"/>
      <c r="H44" s="269"/>
      <c r="I44" s="269"/>
      <c r="J44" s="314">
        <f t="shared" si="4"/>
        <v>0</v>
      </c>
      <c r="K44" s="269"/>
      <c r="L44" s="269"/>
      <c r="M44" s="269"/>
      <c r="N44" s="314">
        <f t="shared" si="5"/>
        <v>0</v>
      </c>
      <c r="O44" s="269"/>
      <c r="P44" s="269"/>
      <c r="Q44" s="269"/>
      <c r="R44" s="314">
        <f t="shared" si="6"/>
        <v>0</v>
      </c>
      <c r="S44" s="269"/>
      <c r="T44" s="269"/>
      <c r="U44" s="269"/>
      <c r="V44" s="314">
        <f t="shared" si="7"/>
        <v>0</v>
      </c>
      <c r="W44" s="269"/>
      <c r="X44" s="269"/>
      <c r="Y44" s="269"/>
      <c r="Z44" s="314">
        <f t="shared" si="8"/>
        <v>0</v>
      </c>
      <c r="AA44" s="269"/>
      <c r="AB44" s="269"/>
      <c r="AC44" s="269"/>
      <c r="AD44" s="314">
        <f t="shared" si="9"/>
        <v>0</v>
      </c>
    </row>
    <row r="45" spans="1:30" ht="15" customHeight="1">
      <c r="A45" s="429">
        <v>381070</v>
      </c>
      <c r="B45" s="411" t="s">
        <v>549</v>
      </c>
      <c r="C45" s="269"/>
      <c r="D45" s="269"/>
      <c r="E45" s="269"/>
      <c r="F45" s="314">
        <f t="shared" si="3"/>
        <v>0</v>
      </c>
      <c r="G45" s="269"/>
      <c r="H45" s="269"/>
      <c r="I45" s="269"/>
      <c r="J45" s="314">
        <f t="shared" si="4"/>
        <v>0</v>
      </c>
      <c r="K45" s="269"/>
      <c r="L45" s="269"/>
      <c r="M45" s="269"/>
      <c r="N45" s="314">
        <f t="shared" si="5"/>
        <v>0</v>
      </c>
      <c r="O45" s="269"/>
      <c r="P45" s="269"/>
      <c r="Q45" s="269"/>
      <c r="R45" s="314">
        <f t="shared" si="6"/>
        <v>0</v>
      </c>
      <c r="S45" s="269"/>
      <c r="T45" s="269"/>
      <c r="U45" s="269"/>
      <c r="V45" s="314">
        <f t="shared" si="7"/>
        <v>0</v>
      </c>
      <c r="W45" s="269"/>
      <c r="X45" s="269"/>
      <c r="Y45" s="269"/>
      <c r="Z45" s="314">
        <f t="shared" si="8"/>
        <v>0</v>
      </c>
      <c r="AA45" s="269"/>
      <c r="AB45" s="269"/>
      <c r="AC45" s="269"/>
      <c r="AD45" s="314">
        <f t="shared" si="9"/>
        <v>0</v>
      </c>
    </row>
    <row r="46" spans="1:30" ht="15" customHeight="1">
      <c r="A46" s="429">
        <v>382010</v>
      </c>
      <c r="B46" s="411" t="s">
        <v>1159</v>
      </c>
      <c r="C46" s="269"/>
      <c r="D46" s="269"/>
      <c r="E46" s="269"/>
      <c r="F46" s="314">
        <f t="shared" si="3"/>
        <v>0</v>
      </c>
      <c r="G46" s="269"/>
      <c r="H46" s="269"/>
      <c r="I46" s="269"/>
      <c r="J46" s="314">
        <f t="shared" si="4"/>
        <v>0</v>
      </c>
      <c r="K46" s="269"/>
      <c r="L46" s="269"/>
      <c r="M46" s="269"/>
      <c r="N46" s="314">
        <f t="shared" si="5"/>
        <v>0</v>
      </c>
      <c r="O46" s="269"/>
      <c r="P46" s="269"/>
      <c r="Q46" s="269"/>
      <c r="R46" s="314">
        <f t="shared" si="6"/>
        <v>0</v>
      </c>
      <c r="S46" s="269"/>
      <c r="T46" s="269"/>
      <c r="U46" s="269"/>
      <c r="V46" s="314">
        <f t="shared" si="7"/>
        <v>0</v>
      </c>
      <c r="W46" s="269"/>
      <c r="X46" s="269"/>
      <c r="Y46" s="269"/>
      <c r="Z46" s="314">
        <f t="shared" si="8"/>
        <v>0</v>
      </c>
      <c r="AA46" s="269"/>
      <c r="AB46" s="269"/>
      <c r="AC46" s="269"/>
      <c r="AD46" s="314">
        <f t="shared" si="9"/>
        <v>0</v>
      </c>
    </row>
    <row r="47" spans="1:30" ht="15" customHeight="1">
      <c r="A47" s="429">
        <v>383000</v>
      </c>
      <c r="B47" s="411" t="s">
        <v>1161</v>
      </c>
      <c r="C47" s="269"/>
      <c r="D47" s="269"/>
      <c r="E47" s="269"/>
      <c r="F47" s="314">
        <f t="shared" si="3"/>
        <v>0</v>
      </c>
      <c r="G47" s="269"/>
      <c r="H47" s="269"/>
      <c r="I47" s="269"/>
      <c r="J47" s="314">
        <f t="shared" si="4"/>
        <v>0</v>
      </c>
      <c r="K47" s="269"/>
      <c r="L47" s="269"/>
      <c r="M47" s="269"/>
      <c r="N47" s="314">
        <f t="shared" si="5"/>
        <v>0</v>
      </c>
      <c r="O47" s="269">
        <v>1300</v>
      </c>
      <c r="P47" s="269">
        <v>1300</v>
      </c>
      <c r="Q47" s="269">
        <v>1200</v>
      </c>
      <c r="R47" s="314">
        <f t="shared" si="6"/>
        <v>-100</v>
      </c>
      <c r="S47" s="269"/>
      <c r="T47" s="269"/>
      <c r="U47" s="269"/>
      <c r="V47" s="314">
        <f t="shared" si="7"/>
        <v>0</v>
      </c>
      <c r="W47" s="269"/>
      <c r="X47" s="269"/>
      <c r="Y47" s="269"/>
      <c r="Z47" s="314">
        <f t="shared" si="8"/>
        <v>0</v>
      </c>
      <c r="AA47" s="269"/>
      <c r="AB47" s="269"/>
      <c r="AC47" s="269"/>
      <c r="AD47" s="314">
        <f t="shared" si="9"/>
        <v>0</v>
      </c>
    </row>
    <row r="48" spans="1:30" ht="15" customHeight="1">
      <c r="A48" s="429">
        <v>520000</v>
      </c>
      <c r="B48" s="411" t="s">
        <v>1789</v>
      </c>
      <c r="C48" s="269"/>
      <c r="D48" s="269"/>
      <c r="E48" s="269"/>
      <c r="F48" s="314">
        <f t="shared" si="3"/>
        <v>0</v>
      </c>
      <c r="G48" s="269"/>
      <c r="H48" s="269"/>
      <c r="I48" s="269"/>
      <c r="J48" s="314">
        <f t="shared" si="4"/>
        <v>0</v>
      </c>
      <c r="K48" s="269"/>
      <c r="L48" s="269"/>
      <c r="M48" s="269"/>
      <c r="N48" s="314">
        <f t="shared" si="5"/>
        <v>0</v>
      </c>
      <c r="O48" s="269"/>
      <c r="P48" s="269"/>
      <c r="Q48" s="269"/>
      <c r="R48" s="314">
        <f t="shared" si="6"/>
        <v>0</v>
      </c>
      <c r="S48" s="269"/>
      <c r="T48" s="269"/>
      <c r="U48" s="269"/>
      <c r="V48" s="314">
        <f t="shared" si="7"/>
        <v>0</v>
      </c>
      <c r="W48" s="269"/>
      <c r="X48" s="269"/>
      <c r="Y48" s="269"/>
      <c r="Z48" s="314">
        <f t="shared" si="8"/>
        <v>0</v>
      </c>
      <c r="AA48" s="269"/>
      <c r="AB48" s="269"/>
      <c r="AC48" s="269"/>
      <c r="AD48" s="314">
        <f t="shared" si="9"/>
        <v>0</v>
      </c>
    </row>
    <row r="49" spans="1:30" ht="15" customHeight="1">
      <c r="A49" s="429">
        <v>384000</v>
      </c>
      <c r="B49" s="411" t="s">
        <v>1755</v>
      </c>
      <c r="C49" s="269"/>
      <c r="D49" s="269"/>
      <c r="E49" s="269"/>
      <c r="F49" s="314">
        <f t="shared" si="3"/>
        <v>0</v>
      </c>
      <c r="G49" s="269"/>
      <c r="H49" s="269"/>
      <c r="I49" s="269"/>
      <c r="J49" s="314">
        <f t="shared" si="4"/>
        <v>0</v>
      </c>
      <c r="K49" s="269"/>
      <c r="L49" s="269"/>
      <c r="M49" s="269"/>
      <c r="N49" s="314">
        <f t="shared" si="5"/>
        <v>0</v>
      </c>
      <c r="O49" s="269"/>
      <c r="P49" s="269"/>
      <c r="Q49" s="269"/>
      <c r="R49" s="314">
        <f t="shared" si="6"/>
        <v>0</v>
      </c>
      <c r="S49" s="269"/>
      <c r="T49" s="269"/>
      <c r="U49" s="269"/>
      <c r="V49" s="314">
        <f t="shared" si="7"/>
        <v>0</v>
      </c>
      <c r="W49" s="269"/>
      <c r="X49" s="269"/>
      <c r="Y49" s="269"/>
      <c r="Z49" s="314">
        <f t="shared" si="8"/>
        <v>0</v>
      </c>
      <c r="AA49" s="269"/>
      <c r="AB49" s="269"/>
      <c r="AC49" s="269"/>
      <c r="AD49" s="314">
        <f t="shared" si="9"/>
        <v>0</v>
      </c>
    </row>
    <row r="50" spans="1:30" ht="15" customHeight="1">
      <c r="A50" s="429">
        <v>385000</v>
      </c>
      <c r="B50" s="411" t="s">
        <v>1751</v>
      </c>
      <c r="C50" s="269"/>
      <c r="D50" s="269"/>
      <c r="E50" s="269"/>
      <c r="F50" s="314">
        <f t="shared" si="3"/>
        <v>0</v>
      </c>
      <c r="G50" s="269"/>
      <c r="H50" s="269"/>
      <c r="I50" s="269"/>
      <c r="J50" s="314">
        <f t="shared" si="4"/>
        <v>0</v>
      </c>
      <c r="K50" s="269"/>
      <c r="L50" s="269"/>
      <c r="M50" s="269"/>
      <c r="N50" s="314">
        <f t="shared" si="5"/>
        <v>0</v>
      </c>
      <c r="O50" s="269"/>
      <c r="P50" s="269"/>
      <c r="Q50" s="269"/>
      <c r="R50" s="314">
        <f t="shared" si="6"/>
        <v>0</v>
      </c>
      <c r="S50" s="269"/>
      <c r="T50" s="269"/>
      <c r="U50" s="269"/>
      <c r="V50" s="314">
        <f t="shared" si="7"/>
        <v>0</v>
      </c>
      <c r="W50" s="269"/>
      <c r="X50" s="269"/>
      <c r="Y50" s="269"/>
      <c r="Z50" s="314">
        <f t="shared" si="8"/>
        <v>0</v>
      </c>
      <c r="AA50" s="269"/>
      <c r="AB50" s="269"/>
      <c r="AC50" s="269"/>
      <c r="AD50" s="314">
        <f t="shared" si="9"/>
        <v>0</v>
      </c>
    </row>
    <row r="51" spans="1:30" ht="15" customHeight="1">
      <c r="A51" s="429">
        <v>524000</v>
      </c>
      <c r="B51" s="411" t="s">
        <v>1756</v>
      </c>
      <c r="C51" s="269"/>
      <c r="D51" s="269"/>
      <c r="E51" s="269"/>
      <c r="F51" s="314">
        <f t="shared" si="3"/>
        <v>0</v>
      </c>
      <c r="G51" s="269"/>
      <c r="H51" s="269"/>
      <c r="I51" s="269"/>
      <c r="J51" s="314">
        <f t="shared" si="4"/>
        <v>0</v>
      </c>
      <c r="K51" s="269"/>
      <c r="L51" s="269"/>
      <c r="M51" s="269"/>
      <c r="N51" s="314">
        <f t="shared" si="5"/>
        <v>0</v>
      </c>
      <c r="O51" s="269"/>
      <c r="P51" s="269"/>
      <c r="Q51" s="269"/>
      <c r="R51" s="314">
        <f t="shared" si="6"/>
        <v>0</v>
      </c>
      <c r="S51" s="269"/>
      <c r="T51" s="269"/>
      <c r="U51" s="269"/>
      <c r="V51" s="314">
        <f t="shared" si="7"/>
        <v>0</v>
      </c>
      <c r="W51" s="269"/>
      <c r="X51" s="269"/>
      <c r="Y51" s="269"/>
      <c r="Z51" s="314">
        <f t="shared" si="8"/>
        <v>0</v>
      </c>
      <c r="AA51" s="269"/>
      <c r="AB51" s="269"/>
      <c r="AC51" s="269"/>
      <c r="AD51" s="314">
        <f t="shared" si="9"/>
        <v>0</v>
      </c>
    </row>
    <row r="52" spans="1:30" ht="15" customHeight="1" thickBot="1">
      <c r="A52" s="428">
        <v>525000</v>
      </c>
      <c r="B52" s="411" t="s">
        <v>1758</v>
      </c>
      <c r="C52" s="271"/>
      <c r="D52" s="271"/>
      <c r="E52" s="271"/>
      <c r="F52" s="316">
        <f>-D52+E52</f>
        <v>0</v>
      </c>
      <c r="G52" s="271"/>
      <c r="H52" s="271"/>
      <c r="I52" s="271"/>
      <c r="J52" s="316">
        <f>-H52+I52</f>
        <v>0</v>
      </c>
      <c r="K52" s="271"/>
      <c r="L52" s="271"/>
      <c r="M52" s="271"/>
      <c r="N52" s="316">
        <f>-L52+M52</f>
        <v>0</v>
      </c>
      <c r="O52" s="271"/>
      <c r="P52" s="271"/>
      <c r="Q52" s="271"/>
      <c r="R52" s="316">
        <f>-P52+Q52</f>
        <v>0</v>
      </c>
      <c r="S52" s="271"/>
      <c r="T52" s="271"/>
      <c r="U52" s="271"/>
      <c r="V52" s="316">
        <f>-T52+U52</f>
        <v>0</v>
      </c>
      <c r="W52" s="271"/>
      <c r="X52" s="271"/>
      <c r="Y52" s="271"/>
      <c r="Z52" s="316">
        <f>-X52+Y52</f>
        <v>0</v>
      </c>
      <c r="AA52" s="271"/>
      <c r="AB52" s="271"/>
      <c r="AC52" s="271"/>
      <c r="AD52" s="316">
        <f>-AB52+AC52</f>
        <v>0</v>
      </c>
    </row>
    <row r="53" spans="1:30" s="308" customFormat="1" ht="15" customHeight="1">
      <c r="A53" s="429"/>
      <c r="B53" s="411"/>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row>
    <row r="54" spans="1:30" s="308" customFormat="1" ht="15" customHeight="1" thickBot="1">
      <c r="A54" s="429"/>
      <c r="B54" s="430" t="s">
        <v>237</v>
      </c>
      <c r="C54" s="278">
        <f t="shared" ref="C54:N54" si="10">SUM(C42:C52)</f>
        <v>0</v>
      </c>
      <c r="D54" s="278">
        <f t="shared" si="10"/>
        <v>0</v>
      </c>
      <c r="E54" s="278">
        <f t="shared" si="10"/>
        <v>0</v>
      </c>
      <c r="F54" s="278">
        <f t="shared" si="10"/>
        <v>0</v>
      </c>
      <c r="G54" s="278">
        <f t="shared" si="10"/>
        <v>0</v>
      </c>
      <c r="H54" s="278">
        <f t="shared" si="10"/>
        <v>0</v>
      </c>
      <c r="I54" s="278">
        <f t="shared" si="10"/>
        <v>0</v>
      </c>
      <c r="J54" s="278">
        <f t="shared" si="10"/>
        <v>0</v>
      </c>
      <c r="K54" s="278">
        <f t="shared" si="10"/>
        <v>0</v>
      </c>
      <c r="L54" s="278">
        <f t="shared" si="10"/>
        <v>0</v>
      </c>
      <c r="M54" s="278">
        <f t="shared" si="10"/>
        <v>0</v>
      </c>
      <c r="N54" s="278">
        <f t="shared" si="10"/>
        <v>0</v>
      </c>
      <c r="O54" s="278">
        <f t="shared" ref="O54:AD54" si="11">SUM(O42:O52)</f>
        <v>1300</v>
      </c>
      <c r="P54" s="278">
        <f t="shared" si="11"/>
        <v>1300</v>
      </c>
      <c r="Q54" s="278">
        <f t="shared" si="11"/>
        <v>1200</v>
      </c>
      <c r="R54" s="278">
        <f t="shared" si="11"/>
        <v>-100</v>
      </c>
      <c r="S54" s="278">
        <f t="shared" si="11"/>
        <v>0</v>
      </c>
      <c r="T54" s="278">
        <f t="shared" si="11"/>
        <v>0</v>
      </c>
      <c r="U54" s="278">
        <f t="shared" si="11"/>
        <v>0</v>
      </c>
      <c r="V54" s="278">
        <f t="shared" si="11"/>
        <v>0</v>
      </c>
      <c r="W54" s="278">
        <f t="shared" si="11"/>
        <v>0</v>
      </c>
      <c r="X54" s="278">
        <f t="shared" si="11"/>
        <v>0</v>
      </c>
      <c r="Y54" s="278">
        <f t="shared" si="11"/>
        <v>0</v>
      </c>
      <c r="Z54" s="278">
        <f t="shared" si="11"/>
        <v>0</v>
      </c>
      <c r="AA54" s="278">
        <f t="shared" si="11"/>
        <v>0</v>
      </c>
      <c r="AB54" s="278">
        <f t="shared" si="11"/>
        <v>0</v>
      </c>
      <c r="AC54" s="278">
        <f t="shared" si="11"/>
        <v>0</v>
      </c>
      <c r="AD54" s="278">
        <f t="shared" si="11"/>
        <v>0</v>
      </c>
    </row>
    <row r="55" spans="1:30" s="308" customFormat="1" ht="15" customHeight="1">
      <c r="A55" s="429"/>
      <c r="B55" s="430" t="s">
        <v>175</v>
      </c>
      <c r="C55" s="277">
        <f t="shared" ref="C55:N55" si="12">+C40+C54</f>
        <v>-16100</v>
      </c>
      <c r="D55" s="277">
        <f t="shared" si="12"/>
        <v>-16100</v>
      </c>
      <c r="E55" s="277">
        <f t="shared" si="12"/>
        <v>-2870.619999999999</v>
      </c>
      <c r="F55" s="277">
        <f t="shared" si="12"/>
        <v>13229.379999999997</v>
      </c>
      <c r="G55" s="277">
        <f t="shared" si="12"/>
        <v>-15700</v>
      </c>
      <c r="H55" s="277">
        <f t="shared" si="12"/>
        <v>-15700</v>
      </c>
      <c r="I55" s="277">
        <f t="shared" si="12"/>
        <v>-16157.270000000004</v>
      </c>
      <c r="J55" s="277">
        <f t="shared" si="12"/>
        <v>-457.2700000000043</v>
      </c>
      <c r="K55" s="277">
        <f t="shared" si="12"/>
        <v>-614</v>
      </c>
      <c r="L55" s="277">
        <f t="shared" si="12"/>
        <v>-614</v>
      </c>
      <c r="M55" s="277">
        <f t="shared" si="12"/>
        <v>-343.15999999999985</v>
      </c>
      <c r="N55" s="277">
        <f t="shared" si="12"/>
        <v>270.84000000000037</v>
      </c>
      <c r="O55" s="277">
        <f t="shared" ref="O55:AD55" si="13">+O40+O54</f>
        <v>1300</v>
      </c>
      <c r="P55" s="277">
        <f t="shared" si="13"/>
        <v>1300</v>
      </c>
      <c r="Q55" s="277">
        <f t="shared" si="13"/>
        <v>1209.17</v>
      </c>
      <c r="R55" s="277">
        <f t="shared" si="13"/>
        <v>-90.83</v>
      </c>
      <c r="S55" s="277">
        <f t="shared" si="13"/>
        <v>0</v>
      </c>
      <c r="T55" s="277">
        <f t="shared" si="13"/>
        <v>0</v>
      </c>
      <c r="U55" s="277">
        <f t="shared" si="13"/>
        <v>0</v>
      </c>
      <c r="V55" s="277">
        <f t="shared" si="13"/>
        <v>0</v>
      </c>
      <c r="W55" s="277">
        <f t="shared" si="13"/>
        <v>0</v>
      </c>
      <c r="X55" s="277">
        <f t="shared" si="13"/>
        <v>0</v>
      </c>
      <c r="Y55" s="277">
        <f t="shared" si="13"/>
        <v>0</v>
      </c>
      <c r="Z55" s="277">
        <f t="shared" si="13"/>
        <v>0</v>
      </c>
      <c r="AA55" s="277">
        <f t="shared" si="13"/>
        <v>0</v>
      </c>
      <c r="AB55" s="277">
        <f t="shared" si="13"/>
        <v>0</v>
      </c>
      <c r="AC55" s="277">
        <f t="shared" si="13"/>
        <v>0</v>
      </c>
      <c r="AD55" s="277">
        <f t="shared" si="13"/>
        <v>0</v>
      </c>
    </row>
    <row r="56" spans="1:30" ht="30" customHeight="1">
      <c r="A56" s="301"/>
      <c r="B56" s="324" t="str">
        <f>+'GENERAL FUND-OPERATING(48-53)'!B295</f>
        <v>Fund balances - July 1, 2016 as previously reported</v>
      </c>
      <c r="C56" s="277"/>
      <c r="D56" s="277"/>
      <c r="E56" s="269">
        <v>5287.24</v>
      </c>
      <c r="F56" s="277"/>
      <c r="G56" s="277"/>
      <c r="H56" s="277"/>
      <c r="I56" s="269">
        <v>50740.160000000003</v>
      </c>
      <c r="J56" s="277"/>
      <c r="K56" s="269"/>
      <c r="L56" s="269"/>
      <c r="M56" s="269">
        <v>5469.24</v>
      </c>
      <c r="N56" s="277"/>
      <c r="O56" s="277"/>
      <c r="P56" s="277"/>
      <c r="Q56" s="269">
        <v>5296.83</v>
      </c>
      <c r="R56" s="277"/>
      <c r="S56" s="277"/>
      <c r="T56" s="277"/>
      <c r="U56" s="269"/>
      <c r="V56" s="277"/>
      <c r="W56" s="277"/>
      <c r="X56" s="277"/>
      <c r="Y56" s="269"/>
      <c r="Z56" s="277"/>
      <c r="AA56" s="277"/>
      <c r="AB56" s="277"/>
      <c r="AC56" s="269"/>
      <c r="AD56" s="277"/>
    </row>
    <row r="57" spans="1:30" ht="15" customHeight="1" thickBot="1">
      <c r="A57" s="301"/>
      <c r="B57" s="431" t="s">
        <v>699</v>
      </c>
      <c r="C57" s="307"/>
      <c r="D57" s="307"/>
      <c r="E57" s="271"/>
      <c r="F57" s="307"/>
      <c r="G57" s="307"/>
      <c r="H57" s="307"/>
      <c r="I57" s="271"/>
      <c r="J57" s="307"/>
      <c r="K57" s="303"/>
      <c r="L57" s="303"/>
      <c r="M57" s="271"/>
      <c r="N57" s="307"/>
      <c r="O57" s="307"/>
      <c r="P57" s="307"/>
      <c r="Q57" s="271"/>
      <c r="R57" s="307"/>
      <c r="S57" s="307"/>
      <c r="T57" s="307"/>
      <c r="U57" s="271"/>
      <c r="V57" s="307"/>
      <c r="W57" s="307"/>
      <c r="X57" s="307"/>
      <c r="Y57" s="271"/>
      <c r="Z57" s="307"/>
      <c r="AA57" s="307"/>
      <c r="AB57" s="307"/>
      <c r="AC57" s="271"/>
      <c r="AD57" s="307"/>
    </row>
    <row r="58" spans="1:30" ht="15" customHeight="1" thickBot="1">
      <c r="A58" s="263"/>
      <c r="B58" s="324" t="str">
        <f>+'GENERAL FUND-OPERATING(48-53)'!B297</f>
        <v>Fund balances - July 1, 2016 as restated</v>
      </c>
      <c r="C58" s="307"/>
      <c r="D58" s="307"/>
      <c r="E58" s="277">
        <f>+E56+E57</f>
        <v>5287.24</v>
      </c>
      <c r="F58" s="307"/>
      <c r="G58" s="307"/>
      <c r="H58" s="307"/>
      <c r="I58" s="277">
        <f>+I56+I57</f>
        <v>50740.160000000003</v>
      </c>
      <c r="J58" s="307"/>
      <c r="K58" s="307"/>
      <c r="L58" s="307"/>
      <c r="M58" s="277">
        <f>+M56+M57</f>
        <v>5469.24</v>
      </c>
      <c r="N58" s="307"/>
      <c r="O58" s="307"/>
      <c r="P58" s="307"/>
      <c r="Q58" s="277">
        <f>+Q56+Q57</f>
        <v>5296.83</v>
      </c>
      <c r="R58" s="307"/>
      <c r="S58" s="307"/>
      <c r="T58" s="307"/>
      <c r="U58" s="277">
        <f>+U56+U57</f>
        <v>0</v>
      </c>
      <c r="V58" s="307"/>
      <c r="W58" s="307"/>
      <c r="X58" s="307"/>
      <c r="Y58" s="277">
        <f>+Y56+Y57</f>
        <v>0</v>
      </c>
      <c r="Z58" s="307"/>
      <c r="AA58" s="307"/>
      <c r="AB58" s="307"/>
      <c r="AC58" s="277">
        <f>+AC56+AC57</f>
        <v>0</v>
      </c>
      <c r="AD58" s="307"/>
    </row>
    <row r="59" spans="1:30" ht="15" customHeight="1" thickBot="1">
      <c r="A59" s="263"/>
      <c r="B59" s="268" t="str">
        <f>+'GENERAL FUND-OPERATING(48-53)'!B298</f>
        <v>Fund balances - June 30, 2017</v>
      </c>
      <c r="C59" s="307"/>
      <c r="D59" s="307"/>
      <c r="E59" s="280">
        <f>+E55+E58</f>
        <v>2416.6200000000008</v>
      </c>
      <c r="F59" s="307"/>
      <c r="G59" s="307"/>
      <c r="H59" s="307"/>
      <c r="I59" s="280">
        <f>+I55+I58</f>
        <v>34582.89</v>
      </c>
      <c r="J59" s="307"/>
      <c r="K59" s="307"/>
      <c r="L59" s="307"/>
      <c r="M59" s="280">
        <f>+M55+M58</f>
        <v>5126.08</v>
      </c>
      <c r="N59" s="307"/>
      <c r="O59" s="307"/>
      <c r="P59" s="307"/>
      <c r="Q59" s="280">
        <f>+Q55+Q58</f>
        <v>6506</v>
      </c>
      <c r="R59" s="307"/>
      <c r="S59" s="307"/>
      <c r="T59" s="307"/>
      <c r="U59" s="280">
        <f>+U55+U58</f>
        <v>0</v>
      </c>
      <c r="V59" s="307"/>
      <c r="W59" s="307"/>
      <c r="X59" s="307"/>
      <c r="Y59" s="280">
        <f>+Y55+Y58</f>
        <v>0</v>
      </c>
      <c r="Z59" s="307"/>
      <c r="AA59" s="307"/>
      <c r="AB59" s="307"/>
      <c r="AC59" s="280">
        <f>+AC55+AC58</f>
        <v>0</v>
      </c>
      <c r="AD59" s="307"/>
    </row>
    <row r="60" spans="1:30" ht="15.75" thickTop="1">
      <c r="A60" s="263"/>
      <c r="B60" s="263"/>
      <c r="C60" s="263"/>
      <c r="D60" s="263"/>
      <c r="E60" s="263"/>
      <c r="F60" s="411"/>
      <c r="G60" s="411"/>
      <c r="H60" s="411"/>
      <c r="I60" s="263"/>
      <c r="J60" s="263"/>
      <c r="K60" s="263"/>
      <c r="L60" s="263"/>
      <c r="M60" s="263"/>
      <c r="N60" s="263"/>
      <c r="O60" s="263"/>
      <c r="P60" s="263"/>
      <c r="Q60" s="263"/>
      <c r="R60" s="263"/>
      <c r="S60" s="263"/>
      <c r="T60" s="263"/>
      <c r="U60" s="263"/>
      <c r="V60" s="263"/>
      <c r="W60" s="263"/>
      <c r="X60" s="263"/>
      <c r="Y60" s="263"/>
      <c r="Z60" s="263"/>
      <c r="AA60" s="263"/>
      <c r="AB60" s="263"/>
      <c r="AC60" s="263"/>
      <c r="AD60" s="263"/>
    </row>
    <row r="61" spans="1:30" ht="15.75">
      <c r="A61" s="263"/>
      <c r="B61" s="263"/>
      <c r="C61" s="422" t="s">
        <v>1332</v>
      </c>
      <c r="D61" s="263"/>
      <c r="E61" s="263"/>
      <c r="F61" s="263"/>
      <c r="G61" s="422" t="s">
        <v>1333</v>
      </c>
      <c r="H61" s="263"/>
      <c r="I61" s="263"/>
      <c r="J61" s="263"/>
      <c r="K61" s="422" t="s">
        <v>1334</v>
      </c>
      <c r="L61" s="263"/>
      <c r="M61" s="263"/>
      <c r="N61" s="263"/>
      <c r="O61" s="422" t="s">
        <v>1334</v>
      </c>
      <c r="P61" s="263"/>
      <c r="Q61" s="263"/>
      <c r="R61" s="263"/>
      <c r="S61" s="422" t="s">
        <v>1334</v>
      </c>
      <c r="T61" s="263"/>
      <c r="U61" s="263"/>
      <c r="V61" s="263"/>
      <c r="W61" s="422" t="s">
        <v>1334</v>
      </c>
      <c r="X61" s="263"/>
      <c r="Y61" s="263"/>
      <c r="Z61" s="263"/>
      <c r="AA61" s="422" t="s">
        <v>1334</v>
      </c>
      <c r="AB61" s="263"/>
      <c r="AC61" s="263"/>
      <c r="AD61" s="263"/>
    </row>
    <row r="62" spans="1:30" ht="15">
      <c r="A62" s="263"/>
      <c r="B62" s="263"/>
      <c r="C62" s="263"/>
      <c r="D62" s="263"/>
      <c r="E62" s="263"/>
      <c r="F62" s="263"/>
      <c r="G62" s="263"/>
      <c r="H62" s="263"/>
      <c r="I62" s="263"/>
      <c r="J62" s="263"/>
      <c r="K62" s="263"/>
      <c r="L62" s="263"/>
      <c r="M62" s="263"/>
      <c r="N62" s="263"/>
    </row>
    <row r="63" spans="1:30" ht="15">
      <c r="A63" s="263"/>
      <c r="B63" s="263"/>
      <c r="C63" s="263"/>
      <c r="D63" s="263"/>
      <c r="E63" s="263"/>
      <c r="F63" s="263"/>
      <c r="G63" s="263"/>
      <c r="H63" s="263"/>
      <c r="I63" s="263"/>
      <c r="J63" s="263"/>
      <c r="K63" s="263"/>
      <c r="L63" s="263"/>
      <c r="M63" s="263"/>
      <c r="N63" s="263"/>
    </row>
    <row r="64" spans="1:30" ht="15">
      <c r="A64" s="263"/>
      <c r="B64" s="263"/>
      <c r="C64" s="263"/>
      <c r="D64" s="263"/>
      <c r="E64" s="263"/>
      <c r="F64" s="263"/>
      <c r="G64" s="263"/>
      <c r="H64" s="263"/>
      <c r="I64" s="263"/>
      <c r="J64" s="263"/>
      <c r="K64" s="263"/>
      <c r="L64" s="263"/>
      <c r="M64" s="263"/>
      <c r="N64" s="263"/>
    </row>
    <row r="65" spans="1:14" ht="15">
      <c r="A65" s="263"/>
      <c r="B65" s="263"/>
      <c r="C65" s="263"/>
      <c r="D65" s="263"/>
      <c r="E65" s="263"/>
      <c r="F65" s="263"/>
      <c r="G65" s="263"/>
      <c r="H65" s="263"/>
      <c r="I65" s="263"/>
      <c r="J65" s="263"/>
      <c r="K65" s="263"/>
      <c r="L65" s="263"/>
      <c r="M65" s="263"/>
      <c r="N65" s="263"/>
    </row>
    <row r="66" spans="1:14" ht="15">
      <c r="A66" s="263"/>
      <c r="B66" s="263"/>
      <c r="C66" s="263"/>
      <c r="D66" s="263"/>
      <c r="E66" s="263"/>
      <c r="F66" s="263"/>
      <c r="G66" s="263"/>
      <c r="H66" s="263"/>
      <c r="I66" s="263"/>
      <c r="J66" s="263"/>
      <c r="K66" s="263"/>
      <c r="L66" s="263"/>
      <c r="M66" s="263"/>
      <c r="N66" s="263"/>
    </row>
    <row r="67" spans="1:14" ht="15">
      <c r="A67" s="263"/>
      <c r="B67" s="263"/>
      <c r="C67" s="263"/>
      <c r="D67" s="263"/>
      <c r="E67" s="263"/>
      <c r="F67" s="263"/>
      <c r="G67" s="263"/>
      <c r="H67" s="263"/>
      <c r="I67" s="263"/>
      <c r="J67" s="263"/>
      <c r="K67" s="263"/>
      <c r="L67" s="263"/>
      <c r="M67" s="263"/>
      <c r="N67" s="263"/>
    </row>
    <row r="68" spans="1:14" ht="15">
      <c r="A68" s="263"/>
      <c r="B68" s="263"/>
      <c r="C68" s="263"/>
      <c r="D68" s="263"/>
      <c r="E68" s="263"/>
      <c r="F68" s="263"/>
      <c r="G68" s="263"/>
      <c r="H68" s="263"/>
      <c r="I68" s="263"/>
      <c r="J68" s="263"/>
      <c r="K68" s="263"/>
      <c r="L68" s="263"/>
      <c r="M68" s="263"/>
      <c r="N68" s="263"/>
    </row>
    <row r="69" spans="1:14" ht="15">
      <c r="A69" s="263"/>
      <c r="B69" s="263"/>
      <c r="C69" s="263"/>
      <c r="D69" s="263"/>
      <c r="E69" s="263"/>
      <c r="F69" s="263"/>
      <c r="G69" s="263"/>
      <c r="H69" s="263"/>
      <c r="I69" s="263"/>
      <c r="J69" s="263"/>
      <c r="K69" s="263"/>
      <c r="L69" s="263"/>
      <c r="M69" s="263"/>
      <c r="N69" s="263"/>
    </row>
    <row r="70" spans="1:14" ht="15">
      <c r="A70" s="263"/>
      <c r="B70" s="263"/>
      <c r="C70" s="263"/>
      <c r="D70" s="263"/>
      <c r="E70" s="263"/>
      <c r="F70" s="263"/>
      <c r="G70" s="263"/>
      <c r="H70" s="263"/>
      <c r="I70" s="263"/>
      <c r="J70" s="263"/>
      <c r="K70" s="263"/>
      <c r="L70" s="263"/>
      <c r="M70" s="263"/>
      <c r="N70" s="263"/>
    </row>
    <row r="71" spans="1:14" ht="15">
      <c r="A71" s="263"/>
      <c r="B71" s="263"/>
      <c r="C71" s="263"/>
      <c r="D71" s="263"/>
      <c r="E71" s="263"/>
      <c r="F71" s="263"/>
      <c r="G71" s="263"/>
      <c r="H71" s="263"/>
      <c r="I71" s="263"/>
      <c r="J71" s="263"/>
      <c r="K71" s="263"/>
      <c r="L71" s="263"/>
      <c r="M71" s="263"/>
      <c r="N71" s="263"/>
    </row>
    <row r="72" spans="1:14" ht="15">
      <c r="A72" s="263"/>
      <c r="B72" s="263"/>
      <c r="C72" s="263"/>
      <c r="D72" s="263"/>
      <c r="E72" s="263"/>
      <c r="F72" s="263"/>
      <c r="G72" s="263"/>
      <c r="H72" s="263"/>
      <c r="I72" s="263"/>
      <c r="J72" s="263"/>
      <c r="K72" s="263"/>
      <c r="L72" s="263"/>
      <c r="M72" s="263"/>
      <c r="N72" s="263"/>
    </row>
    <row r="73" spans="1:14" ht="15">
      <c r="A73" s="263"/>
      <c r="B73" s="263"/>
      <c r="C73" s="263"/>
      <c r="D73" s="263"/>
      <c r="E73" s="263"/>
      <c r="F73" s="263"/>
      <c r="G73" s="263"/>
      <c r="H73" s="263"/>
      <c r="I73" s="263"/>
      <c r="J73" s="263"/>
      <c r="K73" s="263"/>
      <c r="L73" s="263"/>
      <c r="M73" s="263"/>
      <c r="N73" s="263"/>
    </row>
    <row r="74" spans="1:14" ht="15">
      <c r="A74" s="263"/>
      <c r="B74" s="263"/>
      <c r="C74" s="263"/>
      <c r="D74" s="263"/>
      <c r="E74" s="263"/>
      <c r="F74" s="263"/>
      <c r="G74" s="263"/>
      <c r="H74" s="263"/>
      <c r="I74" s="263"/>
      <c r="J74" s="263"/>
      <c r="K74" s="263"/>
      <c r="L74" s="263"/>
      <c r="M74" s="263"/>
      <c r="N74" s="263"/>
    </row>
    <row r="75" spans="1:14" ht="15">
      <c r="A75" s="263"/>
      <c r="B75" s="263"/>
      <c r="C75" s="263"/>
      <c r="D75" s="263"/>
      <c r="E75" s="263"/>
      <c r="F75" s="263"/>
      <c r="G75" s="263"/>
      <c r="H75" s="263"/>
      <c r="I75" s="263"/>
      <c r="J75" s="263"/>
      <c r="K75" s="263"/>
      <c r="L75" s="263"/>
      <c r="M75" s="263"/>
      <c r="N75" s="263"/>
    </row>
    <row r="76" spans="1:14" ht="15">
      <c r="A76" s="263"/>
      <c r="B76" s="263"/>
      <c r="C76" s="263"/>
      <c r="D76" s="263"/>
      <c r="E76" s="263"/>
      <c r="F76" s="263"/>
      <c r="G76" s="263"/>
      <c r="H76" s="263"/>
      <c r="I76" s="263"/>
      <c r="J76" s="263"/>
      <c r="K76" s="263"/>
      <c r="L76" s="263"/>
      <c r="M76" s="263"/>
      <c r="N76" s="263"/>
    </row>
    <row r="77" spans="1:14" ht="15">
      <c r="A77" s="263"/>
      <c r="B77" s="263"/>
      <c r="C77" s="263"/>
      <c r="D77" s="263"/>
      <c r="E77" s="263"/>
      <c r="F77" s="263"/>
      <c r="G77" s="263"/>
      <c r="H77" s="263"/>
      <c r="I77" s="263"/>
      <c r="J77" s="263"/>
      <c r="K77" s="263"/>
      <c r="L77" s="263"/>
      <c r="M77" s="263"/>
      <c r="N77" s="263"/>
    </row>
    <row r="78" spans="1:14" ht="15">
      <c r="A78" s="263"/>
      <c r="B78" s="263"/>
      <c r="C78" s="263"/>
      <c r="D78" s="263"/>
      <c r="E78" s="263"/>
      <c r="F78" s="263"/>
      <c r="G78" s="263"/>
      <c r="H78" s="263"/>
      <c r="I78" s="263"/>
      <c r="J78" s="263"/>
      <c r="K78" s="263"/>
      <c r="L78" s="263"/>
      <c r="M78" s="263"/>
      <c r="N78" s="263"/>
    </row>
    <row r="79" spans="1:14" ht="15">
      <c r="A79" s="263"/>
      <c r="B79" s="263"/>
      <c r="C79" s="263"/>
      <c r="D79" s="263"/>
      <c r="E79" s="263"/>
      <c r="F79" s="263"/>
      <c r="G79" s="263"/>
      <c r="H79" s="263"/>
      <c r="I79" s="263"/>
      <c r="J79" s="263"/>
      <c r="K79" s="263"/>
      <c r="L79" s="263"/>
      <c r="M79" s="263"/>
      <c r="N79" s="263"/>
    </row>
    <row r="80" spans="1:14" ht="15">
      <c r="A80" s="263"/>
      <c r="B80" s="263"/>
      <c r="C80" s="263"/>
      <c r="D80" s="263"/>
      <c r="E80" s="263"/>
      <c r="F80" s="263"/>
      <c r="G80" s="263"/>
      <c r="H80" s="263"/>
      <c r="I80" s="263"/>
      <c r="J80" s="263"/>
      <c r="K80" s="263"/>
      <c r="L80" s="263"/>
      <c r="M80" s="263"/>
      <c r="N80" s="263"/>
    </row>
    <row r="81" spans="1:14" ht="15">
      <c r="A81" s="263"/>
      <c r="B81" s="263"/>
      <c r="C81" s="263"/>
      <c r="D81" s="263"/>
      <c r="E81" s="263"/>
      <c r="F81" s="263"/>
      <c r="G81" s="263"/>
      <c r="H81" s="263"/>
      <c r="I81" s="263"/>
      <c r="J81" s="263"/>
      <c r="K81" s="263"/>
      <c r="L81" s="263"/>
      <c r="M81" s="263"/>
      <c r="N81" s="263"/>
    </row>
    <row r="82" spans="1:14" ht="15">
      <c r="A82" s="263"/>
      <c r="B82" s="263"/>
      <c r="C82" s="263"/>
      <c r="D82" s="263"/>
      <c r="E82" s="263"/>
      <c r="F82" s="263"/>
      <c r="G82" s="263"/>
      <c r="H82" s="263"/>
      <c r="I82" s="263"/>
      <c r="J82" s="263"/>
      <c r="K82" s="263"/>
      <c r="L82" s="263"/>
      <c r="M82" s="263"/>
      <c r="N82" s="263"/>
    </row>
    <row r="83" spans="1:14" ht="15">
      <c r="A83" s="263"/>
      <c r="B83" s="263"/>
      <c r="C83" s="263"/>
      <c r="D83" s="263"/>
      <c r="E83" s="263"/>
      <c r="F83" s="263"/>
      <c r="G83" s="263"/>
      <c r="H83" s="263"/>
      <c r="I83" s="263"/>
      <c r="J83" s="263"/>
      <c r="K83" s="263"/>
      <c r="L83" s="263"/>
      <c r="M83" s="263"/>
      <c r="N83" s="263"/>
    </row>
    <row r="84" spans="1:14" ht="15">
      <c r="A84" s="263"/>
      <c r="B84" s="263"/>
      <c r="C84" s="263"/>
      <c r="D84" s="263"/>
      <c r="E84" s="263"/>
      <c r="F84" s="263"/>
      <c r="G84" s="263"/>
      <c r="H84" s="263"/>
      <c r="I84" s="263"/>
      <c r="J84" s="263"/>
      <c r="K84" s="263"/>
      <c r="L84" s="263"/>
      <c r="M84" s="263"/>
      <c r="N84" s="263"/>
    </row>
    <row r="85" spans="1:14" ht="15">
      <c r="A85" s="263"/>
      <c r="B85" s="263"/>
      <c r="C85" s="263"/>
      <c r="D85" s="263"/>
      <c r="E85" s="263"/>
      <c r="F85" s="263"/>
      <c r="G85" s="263"/>
      <c r="H85" s="263"/>
      <c r="I85" s="263"/>
      <c r="J85" s="263"/>
      <c r="K85" s="263"/>
      <c r="L85" s="263"/>
      <c r="M85" s="263"/>
      <c r="N85" s="263"/>
    </row>
    <row r="86" spans="1:14" ht="15">
      <c r="A86" s="263"/>
      <c r="B86" s="263"/>
      <c r="C86" s="263"/>
      <c r="D86" s="263"/>
      <c r="E86" s="263"/>
      <c r="F86" s="263"/>
      <c r="G86" s="263"/>
      <c r="H86" s="263"/>
      <c r="I86" s="263"/>
      <c r="J86" s="263"/>
      <c r="K86" s="263"/>
      <c r="L86" s="263"/>
      <c r="M86" s="263"/>
      <c r="N86" s="263"/>
    </row>
    <row r="87" spans="1:14" ht="15">
      <c r="A87" s="263"/>
      <c r="B87" s="263"/>
      <c r="C87" s="263"/>
      <c r="D87" s="263"/>
      <c r="E87" s="263"/>
      <c r="F87" s="263"/>
      <c r="G87" s="263"/>
      <c r="H87" s="263"/>
      <c r="I87" s="263"/>
      <c r="J87" s="263"/>
      <c r="K87" s="263"/>
      <c r="L87" s="263"/>
      <c r="M87" s="263"/>
      <c r="N87" s="263"/>
    </row>
    <row r="88" spans="1:14" ht="15">
      <c r="A88" s="263"/>
      <c r="B88" s="263"/>
      <c r="C88" s="263"/>
      <c r="D88" s="263"/>
      <c r="E88" s="263"/>
      <c r="F88" s="263"/>
      <c r="G88" s="263"/>
      <c r="H88" s="263"/>
      <c r="I88" s="263"/>
      <c r="J88" s="263"/>
      <c r="K88" s="263"/>
      <c r="L88" s="263"/>
      <c r="M88" s="263"/>
      <c r="N88" s="263"/>
    </row>
    <row r="89" spans="1:14" ht="15">
      <c r="A89" s="263"/>
      <c r="B89" s="263"/>
      <c r="C89" s="263"/>
      <c r="D89" s="263"/>
      <c r="E89" s="263"/>
      <c r="F89" s="263"/>
      <c r="G89" s="263"/>
      <c r="H89" s="263"/>
      <c r="I89" s="263"/>
      <c r="J89" s="263"/>
      <c r="K89" s="263"/>
      <c r="L89" s="263"/>
      <c r="M89" s="263"/>
      <c r="N89" s="263"/>
    </row>
    <row r="90" spans="1:14" ht="15">
      <c r="A90" s="263"/>
      <c r="B90" s="263"/>
      <c r="C90" s="263"/>
      <c r="D90" s="263"/>
      <c r="E90" s="263"/>
      <c r="F90" s="263"/>
      <c r="G90" s="263"/>
      <c r="H90" s="263"/>
      <c r="I90" s="263"/>
      <c r="J90" s="263"/>
      <c r="K90" s="263"/>
      <c r="L90" s="263"/>
      <c r="M90" s="263"/>
      <c r="N90" s="263"/>
    </row>
    <row r="91" spans="1:14" ht="15">
      <c r="A91" s="263"/>
      <c r="B91" s="263"/>
      <c r="C91" s="263"/>
      <c r="D91" s="263"/>
      <c r="E91" s="263"/>
      <c r="F91" s="263"/>
      <c r="G91" s="263"/>
      <c r="H91" s="263"/>
      <c r="I91" s="263"/>
      <c r="J91" s="263"/>
      <c r="K91" s="263"/>
      <c r="L91" s="263"/>
      <c r="M91" s="263"/>
      <c r="N91" s="263"/>
    </row>
    <row r="92" spans="1:14" ht="15">
      <c r="A92" s="263"/>
      <c r="B92" s="263"/>
      <c r="C92" s="263"/>
      <c r="D92" s="263"/>
      <c r="E92" s="263"/>
      <c r="F92" s="263"/>
      <c r="G92" s="263"/>
      <c r="H92" s="263"/>
      <c r="I92" s="263"/>
      <c r="J92" s="263"/>
      <c r="K92" s="263"/>
      <c r="L92" s="263"/>
      <c r="M92" s="263"/>
      <c r="N92" s="263"/>
    </row>
    <row r="93" spans="1:14" ht="15">
      <c r="A93" s="263"/>
      <c r="B93" s="263"/>
      <c r="C93" s="263"/>
      <c r="D93" s="263"/>
      <c r="E93" s="263"/>
      <c r="F93" s="263"/>
      <c r="G93" s="263"/>
      <c r="H93" s="263"/>
      <c r="I93" s="263"/>
      <c r="J93" s="263"/>
      <c r="K93" s="263"/>
      <c r="L93" s="263"/>
      <c r="M93" s="263"/>
      <c r="N93" s="263"/>
    </row>
    <row r="94" spans="1:14" ht="15">
      <c r="A94" s="263"/>
      <c r="B94" s="263"/>
      <c r="C94" s="263"/>
      <c r="D94" s="263"/>
      <c r="E94" s="263"/>
      <c r="F94" s="263"/>
      <c r="G94" s="263"/>
      <c r="H94" s="263"/>
      <c r="I94" s="263"/>
      <c r="J94" s="263"/>
      <c r="K94" s="263"/>
      <c r="L94" s="263"/>
      <c r="M94" s="263"/>
      <c r="N94" s="263"/>
    </row>
    <row r="95" spans="1:14" ht="15">
      <c r="A95" s="263"/>
      <c r="B95" s="263"/>
      <c r="C95" s="263"/>
      <c r="D95" s="263"/>
      <c r="E95" s="263"/>
      <c r="F95" s="263"/>
      <c r="G95" s="263"/>
      <c r="H95" s="263"/>
      <c r="I95" s="263"/>
      <c r="J95" s="263"/>
      <c r="K95" s="263"/>
      <c r="L95" s="263"/>
      <c r="M95" s="263"/>
      <c r="N95" s="263"/>
    </row>
    <row r="96" spans="1:14" ht="15">
      <c r="A96" s="263"/>
      <c r="B96" s="263"/>
      <c r="C96" s="263"/>
      <c r="D96" s="263"/>
      <c r="E96" s="263"/>
      <c r="F96" s="263"/>
      <c r="G96" s="263"/>
      <c r="H96" s="263"/>
      <c r="I96" s="263"/>
      <c r="J96" s="263"/>
      <c r="K96" s="263"/>
      <c r="L96" s="263"/>
      <c r="M96" s="263"/>
      <c r="N96" s="263"/>
    </row>
    <row r="97" spans="1:14" ht="15">
      <c r="A97" s="263"/>
      <c r="B97" s="263"/>
      <c r="C97" s="263"/>
      <c r="D97" s="263"/>
      <c r="E97" s="263"/>
      <c r="F97" s="263"/>
      <c r="G97" s="263"/>
      <c r="H97" s="263"/>
      <c r="I97" s="263"/>
      <c r="J97" s="263"/>
      <c r="K97" s="263"/>
      <c r="L97" s="263"/>
      <c r="M97" s="263"/>
      <c r="N97" s="263"/>
    </row>
    <row r="98" spans="1:14" ht="15">
      <c r="A98" s="263"/>
      <c r="B98" s="263"/>
      <c r="C98" s="263"/>
      <c r="D98" s="263"/>
      <c r="E98" s="263"/>
      <c r="F98" s="263"/>
      <c r="G98" s="263"/>
      <c r="H98" s="263"/>
      <c r="I98" s="263"/>
      <c r="J98" s="263"/>
      <c r="K98" s="263"/>
      <c r="L98" s="263"/>
      <c r="M98" s="263"/>
      <c r="N98" s="263"/>
    </row>
    <row r="99" spans="1:14" ht="15">
      <c r="A99" s="263"/>
      <c r="B99" s="263"/>
      <c r="C99" s="263"/>
      <c r="D99" s="263"/>
      <c r="E99" s="263"/>
      <c r="F99" s="263"/>
      <c r="G99" s="263"/>
      <c r="H99" s="263"/>
      <c r="I99" s="263"/>
      <c r="J99" s="263"/>
      <c r="K99" s="263"/>
      <c r="L99" s="263"/>
      <c r="M99" s="263"/>
      <c r="N99" s="263"/>
    </row>
    <row r="100" spans="1:14" ht="15">
      <c r="A100" s="263"/>
      <c r="B100" s="263"/>
      <c r="C100" s="263"/>
      <c r="D100" s="263"/>
      <c r="E100" s="263"/>
      <c r="F100" s="263"/>
      <c r="G100" s="263"/>
      <c r="H100" s="263"/>
      <c r="I100" s="263"/>
      <c r="J100" s="263"/>
      <c r="K100" s="263"/>
      <c r="L100" s="263"/>
      <c r="M100" s="263"/>
      <c r="N100" s="263"/>
    </row>
    <row r="101" spans="1:14" ht="15">
      <c r="A101" s="263"/>
      <c r="B101" s="263"/>
      <c r="C101" s="263"/>
      <c r="D101" s="263"/>
      <c r="E101" s="263"/>
      <c r="F101" s="263"/>
      <c r="G101" s="263"/>
      <c r="H101" s="263"/>
      <c r="I101" s="263"/>
      <c r="J101" s="263"/>
      <c r="K101" s="263"/>
      <c r="L101" s="263"/>
      <c r="M101" s="263"/>
      <c r="N101" s="263"/>
    </row>
    <row r="102" spans="1:14" ht="15">
      <c r="A102" s="263"/>
      <c r="B102" s="263"/>
      <c r="C102" s="263"/>
      <c r="D102" s="263"/>
      <c r="E102" s="263"/>
      <c r="F102" s="263"/>
      <c r="G102" s="263"/>
      <c r="H102" s="263"/>
      <c r="I102" s="263"/>
      <c r="J102" s="263"/>
      <c r="K102" s="263"/>
      <c r="L102" s="263"/>
      <c r="M102" s="263"/>
      <c r="N102" s="263"/>
    </row>
    <row r="103" spans="1:14" ht="15">
      <c r="A103" s="263"/>
      <c r="B103" s="263"/>
      <c r="C103" s="263"/>
      <c r="D103" s="263"/>
      <c r="E103" s="263"/>
      <c r="F103" s="263"/>
      <c r="G103" s="263"/>
      <c r="H103" s="263"/>
      <c r="I103" s="263"/>
      <c r="J103" s="263"/>
      <c r="K103" s="263"/>
      <c r="L103" s="263"/>
      <c r="M103" s="263"/>
      <c r="N103" s="263"/>
    </row>
    <row r="104" spans="1:14" ht="15">
      <c r="A104" s="263"/>
      <c r="B104" s="263"/>
      <c r="C104" s="263"/>
      <c r="D104" s="263"/>
      <c r="E104" s="263"/>
      <c r="F104" s="263"/>
      <c r="G104" s="263"/>
      <c r="H104" s="263"/>
      <c r="I104" s="263"/>
      <c r="J104" s="263"/>
      <c r="K104" s="263"/>
      <c r="L104" s="263"/>
      <c r="M104" s="263"/>
      <c r="N104" s="263"/>
    </row>
    <row r="105" spans="1:14" ht="15">
      <c r="A105" s="263"/>
      <c r="B105" s="263"/>
      <c r="C105" s="263"/>
      <c r="D105" s="263"/>
      <c r="E105" s="263"/>
      <c r="F105" s="263"/>
      <c r="G105" s="263"/>
      <c r="H105" s="263"/>
      <c r="I105" s="263"/>
      <c r="J105" s="263"/>
      <c r="K105" s="263"/>
      <c r="L105" s="263"/>
      <c r="M105" s="263"/>
      <c r="N105" s="263"/>
    </row>
    <row r="106" spans="1:14" ht="15">
      <c r="A106" s="263"/>
      <c r="B106" s="263"/>
      <c r="C106" s="263"/>
      <c r="D106" s="263"/>
      <c r="E106" s="263"/>
      <c r="F106" s="263"/>
      <c r="G106" s="263"/>
      <c r="H106" s="263"/>
      <c r="I106" s="263"/>
      <c r="J106" s="263"/>
      <c r="K106" s="263"/>
      <c r="L106" s="263"/>
      <c r="M106" s="263"/>
      <c r="N106" s="263"/>
    </row>
    <row r="107" spans="1:14" ht="15">
      <c r="A107" s="263"/>
      <c r="B107" s="263"/>
      <c r="C107" s="263"/>
      <c r="D107" s="263"/>
      <c r="E107" s="263"/>
      <c r="F107" s="263"/>
      <c r="G107" s="263"/>
      <c r="H107" s="263"/>
      <c r="I107" s="263"/>
      <c r="J107" s="263"/>
      <c r="K107" s="263"/>
      <c r="L107" s="263"/>
      <c r="M107" s="263"/>
      <c r="N107" s="263"/>
    </row>
    <row r="108" spans="1:14" ht="15">
      <c r="A108" s="263"/>
      <c r="B108" s="263"/>
      <c r="C108" s="263"/>
      <c r="D108" s="263"/>
      <c r="E108" s="263"/>
      <c r="F108" s="263"/>
      <c r="G108" s="263"/>
      <c r="H108" s="263"/>
      <c r="I108" s="263"/>
      <c r="J108" s="263"/>
      <c r="K108" s="263"/>
      <c r="L108" s="263"/>
      <c r="M108" s="263"/>
      <c r="N108" s="263"/>
    </row>
    <row r="109" spans="1:14" ht="15">
      <c r="A109" s="263"/>
      <c r="B109" s="263"/>
      <c r="C109" s="263"/>
      <c r="D109" s="263"/>
      <c r="E109" s="263"/>
      <c r="F109" s="263"/>
      <c r="G109" s="263"/>
      <c r="H109" s="263"/>
      <c r="I109" s="263"/>
      <c r="J109" s="263"/>
      <c r="K109" s="263"/>
      <c r="L109" s="263"/>
      <c r="M109" s="263"/>
      <c r="N109" s="263"/>
    </row>
    <row r="110" spans="1:14" ht="15">
      <c r="A110" s="263"/>
      <c r="B110" s="263"/>
      <c r="C110" s="263"/>
      <c r="D110" s="263"/>
      <c r="E110" s="263"/>
      <c r="F110" s="263"/>
      <c r="G110" s="263"/>
      <c r="H110" s="263"/>
      <c r="I110" s="263"/>
      <c r="J110" s="263"/>
      <c r="K110" s="263"/>
      <c r="L110" s="263"/>
      <c r="M110" s="263"/>
      <c r="N110" s="263"/>
    </row>
    <row r="111" spans="1:14" ht="15">
      <c r="A111" s="263"/>
      <c r="B111" s="263"/>
      <c r="C111" s="263"/>
      <c r="D111" s="263"/>
      <c r="E111" s="263"/>
      <c r="F111" s="263"/>
      <c r="G111" s="263"/>
      <c r="H111" s="263"/>
      <c r="I111" s="263"/>
      <c r="J111" s="263"/>
      <c r="K111" s="263"/>
      <c r="L111" s="263"/>
      <c r="M111" s="263"/>
      <c r="N111" s="263"/>
    </row>
    <row r="112" spans="1:14" ht="15">
      <c r="A112" s="263"/>
      <c r="B112" s="263"/>
      <c r="C112" s="263"/>
      <c r="D112" s="263"/>
      <c r="E112" s="263"/>
      <c r="F112" s="263"/>
      <c r="G112" s="263"/>
      <c r="H112" s="263"/>
      <c r="I112" s="263"/>
      <c r="J112" s="263"/>
      <c r="K112" s="263"/>
      <c r="L112" s="263"/>
      <c r="M112" s="263"/>
      <c r="N112" s="263"/>
    </row>
    <row r="113" spans="1:14" ht="15">
      <c r="A113" s="263"/>
      <c r="B113" s="263"/>
      <c r="C113" s="263"/>
      <c r="D113" s="263"/>
      <c r="E113" s="263"/>
      <c r="F113" s="263"/>
      <c r="G113" s="263"/>
      <c r="H113" s="263"/>
      <c r="I113" s="263"/>
      <c r="J113" s="263"/>
      <c r="K113" s="263"/>
      <c r="L113" s="263"/>
      <c r="M113" s="263"/>
      <c r="N113" s="263"/>
    </row>
    <row r="114" spans="1:14" ht="15">
      <c r="A114" s="263"/>
      <c r="B114" s="263"/>
      <c r="C114" s="263"/>
      <c r="D114" s="263"/>
      <c r="E114" s="263"/>
      <c r="F114" s="263"/>
      <c r="G114" s="263"/>
      <c r="H114" s="263"/>
      <c r="I114" s="263"/>
      <c r="J114" s="263"/>
      <c r="K114" s="263"/>
      <c r="L114" s="263"/>
      <c r="M114" s="263"/>
      <c r="N114" s="263"/>
    </row>
    <row r="115" spans="1:14" ht="15">
      <c r="A115" s="263"/>
      <c r="B115" s="263"/>
      <c r="C115" s="263"/>
      <c r="D115" s="263"/>
      <c r="E115" s="263"/>
      <c r="F115" s="263"/>
      <c r="G115" s="263"/>
      <c r="H115" s="263"/>
      <c r="I115" s="263"/>
      <c r="J115" s="263"/>
      <c r="K115" s="263"/>
      <c r="L115" s="263"/>
      <c r="M115" s="263"/>
      <c r="N115" s="263"/>
    </row>
    <row r="116" spans="1:14" ht="15">
      <c r="A116" s="263"/>
      <c r="B116" s="263"/>
      <c r="C116" s="263"/>
      <c r="D116" s="263"/>
      <c r="E116" s="263"/>
      <c r="F116" s="263"/>
      <c r="G116" s="263"/>
      <c r="H116" s="263"/>
      <c r="I116" s="263"/>
      <c r="J116" s="263"/>
      <c r="K116" s="263"/>
      <c r="L116" s="263"/>
      <c r="M116" s="263"/>
      <c r="N116" s="263"/>
    </row>
    <row r="117" spans="1:14" ht="15">
      <c r="A117" s="263"/>
      <c r="B117" s="263"/>
      <c r="C117" s="263"/>
      <c r="D117" s="263"/>
      <c r="E117" s="263"/>
      <c r="F117" s="263"/>
      <c r="G117" s="263"/>
      <c r="H117" s="263"/>
      <c r="I117" s="263"/>
      <c r="J117" s="263"/>
      <c r="K117" s="263"/>
      <c r="L117" s="263"/>
      <c r="M117" s="263"/>
      <c r="N117" s="263"/>
    </row>
    <row r="118" spans="1:14" ht="15">
      <c r="A118" s="263"/>
      <c r="B118" s="263"/>
      <c r="C118" s="263"/>
      <c r="D118" s="263"/>
      <c r="E118" s="263"/>
      <c r="F118" s="263"/>
      <c r="G118" s="263"/>
      <c r="H118" s="263"/>
      <c r="I118" s="263"/>
      <c r="J118" s="263"/>
      <c r="K118" s="263"/>
      <c r="L118" s="263"/>
      <c r="M118" s="263"/>
      <c r="N118" s="263"/>
    </row>
    <row r="119" spans="1:14" ht="15">
      <c r="A119" s="263"/>
      <c r="B119" s="263"/>
      <c r="C119" s="263"/>
      <c r="D119" s="263"/>
      <c r="E119" s="263"/>
      <c r="F119" s="263"/>
      <c r="G119" s="263"/>
      <c r="H119" s="263"/>
      <c r="I119" s="263"/>
      <c r="J119" s="263"/>
      <c r="K119" s="263"/>
      <c r="L119" s="263"/>
      <c r="M119" s="263"/>
      <c r="N119" s="263"/>
    </row>
    <row r="120" spans="1:14" ht="15">
      <c r="A120" s="263"/>
      <c r="B120" s="263"/>
      <c r="C120" s="263"/>
      <c r="D120" s="263"/>
      <c r="E120" s="263"/>
      <c r="F120" s="263"/>
      <c r="G120" s="263"/>
      <c r="H120" s="263"/>
      <c r="I120" s="263"/>
      <c r="J120" s="263"/>
      <c r="K120" s="263"/>
      <c r="L120" s="263"/>
      <c r="M120" s="263"/>
      <c r="N120" s="263"/>
    </row>
    <row r="121" spans="1:14" ht="15">
      <c r="A121" s="263"/>
      <c r="B121" s="263"/>
      <c r="C121" s="263"/>
      <c r="D121" s="263"/>
      <c r="E121" s="263"/>
      <c r="F121" s="263"/>
      <c r="G121" s="263"/>
      <c r="H121" s="263"/>
      <c r="I121" s="263"/>
      <c r="J121" s="263"/>
      <c r="K121" s="263"/>
      <c r="L121" s="263"/>
      <c r="M121" s="263"/>
      <c r="N121" s="263"/>
    </row>
    <row r="122" spans="1:14" ht="15">
      <c r="A122" s="263"/>
      <c r="B122" s="263"/>
      <c r="C122" s="263"/>
      <c r="D122" s="263"/>
      <c r="E122" s="263"/>
      <c r="F122" s="263"/>
      <c r="G122" s="263"/>
      <c r="H122" s="263"/>
      <c r="I122" s="263"/>
      <c r="J122" s="263"/>
      <c r="K122" s="263"/>
      <c r="L122" s="263"/>
      <c r="M122" s="263"/>
      <c r="N122" s="263"/>
    </row>
  </sheetData>
  <sheetProtection password="D950" sheet="1" scenarios="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4" footer="0.5"/>
  <pageSetup scale="70" orientation="portrait" r:id="rId2"/>
  <headerFooter alignWithMargins="0">
    <oddHeader xml:space="preserve">&amp;C&amp;"Arial,Bold"&amp;14TOWN OF BROADUS
COMBINED STATEMENT OF REVENUES, EXPENDITURES, AND CHANGES IN FUND BALANCES
BUDGET AND ACTUAL
MAJOR SPECIAL REVENUE FUNDS
FISCAL YEAR ENDED JUNE 30, 2017
</oddHeader>
  </headerFooter>
  <colBreaks count="2" manualBreakCount="2">
    <brk id="6" max="56" man="1"/>
    <brk id="10" max="56" man="1"/>
  </colBreaks>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3">
    <pageSetUpPr fitToPage="1"/>
  </sheetPr>
  <dimension ref="A1:L53"/>
  <sheetViews>
    <sheetView workbookViewId="0">
      <selection activeCell="N27" sqref="N27"/>
    </sheetView>
  </sheetViews>
  <sheetFormatPr defaultRowHeight="12.75"/>
  <cols>
    <col min="1" max="1" width="7.42578125" customWidth="1"/>
    <col min="6" max="6" width="4.7109375" customWidth="1"/>
    <col min="7" max="7" width="5" customWidth="1"/>
    <col min="8" max="10" width="10.7109375" customWidth="1"/>
  </cols>
  <sheetData>
    <row r="1" spans="1:11" ht="18">
      <c r="A1" s="1533" t="str">
        <f>'GENERAL FUND-OPERATING(48-53)'!A1</f>
        <v>TOWN OF BROADUS</v>
      </c>
      <c r="B1" s="1533"/>
      <c r="C1" s="1533"/>
      <c r="D1" s="1533"/>
      <c r="E1" s="1533"/>
      <c r="F1" s="1533"/>
      <c r="G1" s="1533"/>
      <c r="H1" s="1533"/>
      <c r="I1" s="1533"/>
      <c r="J1" s="1533"/>
      <c r="K1" s="1533"/>
    </row>
    <row r="2" spans="1:11" ht="18">
      <c r="A2" s="1533" t="s">
        <v>1528</v>
      </c>
      <c r="B2" s="1533"/>
      <c r="C2" s="1533"/>
      <c r="D2" s="1533"/>
      <c r="E2" s="1533"/>
      <c r="F2" s="1533"/>
      <c r="G2" s="1533"/>
      <c r="H2" s="1533"/>
      <c r="I2" s="1533"/>
      <c r="J2" s="1533"/>
      <c r="K2" s="1533"/>
    </row>
    <row r="3" spans="1:11" ht="18">
      <c r="A3" s="1535" t="str">
        <f>'GENERAL FUND-OPERATING(48-53)'!A5</f>
        <v>FISCAL YEAR ENDING JUNE 30, 2017</v>
      </c>
      <c r="B3" s="1535"/>
      <c r="C3" s="1535"/>
      <c r="D3" s="1535"/>
      <c r="E3" s="1535"/>
      <c r="F3" s="1535"/>
      <c r="G3" s="1535"/>
      <c r="H3" s="1535"/>
      <c r="I3" s="1535"/>
      <c r="J3" s="1535"/>
      <c r="K3" s="1535"/>
    </row>
    <row r="4" spans="1:11">
      <c r="A4" s="1434"/>
      <c r="B4" s="1434"/>
      <c r="C4" s="1434"/>
      <c r="D4" s="1434"/>
      <c r="E4" s="1434"/>
      <c r="F4" s="1434"/>
      <c r="G4" s="1434"/>
      <c r="H4" s="1434"/>
      <c r="I4" s="1434"/>
      <c r="J4" s="1434"/>
      <c r="K4" s="1434"/>
    </row>
    <row r="5" spans="1:11">
      <c r="A5" s="42"/>
      <c r="B5" s="42"/>
      <c r="C5" s="42"/>
      <c r="D5" s="42"/>
      <c r="E5" s="42"/>
      <c r="F5" s="42"/>
      <c r="G5" s="42"/>
      <c r="H5" s="42"/>
      <c r="I5" s="42"/>
      <c r="J5" s="42"/>
      <c r="K5" s="42"/>
    </row>
    <row r="6" spans="1:11">
      <c r="A6" s="42"/>
      <c r="B6" s="42"/>
      <c r="C6" s="42"/>
      <c r="D6" s="42"/>
      <c r="E6" s="42"/>
      <c r="F6" s="42"/>
      <c r="G6" s="42"/>
      <c r="H6" s="42"/>
      <c r="I6" s="42"/>
      <c r="J6" s="42"/>
      <c r="K6" s="42"/>
    </row>
    <row r="7" spans="1:11">
      <c r="A7" s="1434"/>
      <c r="B7" s="1434"/>
      <c r="C7" s="1434"/>
      <c r="D7" s="1434"/>
      <c r="E7" s="1434"/>
      <c r="F7" s="1434"/>
      <c r="G7" s="1434"/>
      <c r="H7" s="1434"/>
      <c r="I7" s="1434"/>
      <c r="J7" s="1434"/>
      <c r="K7" s="1434"/>
    </row>
    <row r="8" spans="1:11" ht="15.75">
      <c r="A8" s="1563"/>
      <c r="B8" s="1671"/>
      <c r="C8" s="1671"/>
      <c r="D8" s="1671"/>
      <c r="E8" s="1671"/>
      <c r="F8" s="1671"/>
      <c r="G8" s="1671"/>
      <c r="H8" s="1671"/>
      <c r="I8" s="1671"/>
      <c r="J8" s="1671"/>
      <c r="K8" s="1671"/>
    </row>
    <row r="9" spans="1:11" ht="15">
      <c r="A9" s="1669" t="s">
        <v>1529</v>
      </c>
      <c r="B9" s="1670"/>
      <c r="C9" s="1670"/>
      <c r="D9" s="1670"/>
      <c r="E9" s="1670"/>
      <c r="F9" s="1670"/>
      <c r="G9" s="1670"/>
      <c r="H9" s="1670"/>
      <c r="I9" s="1670"/>
      <c r="J9" s="1670"/>
      <c r="K9" s="1670"/>
    </row>
    <row r="10" spans="1:11" ht="15">
      <c r="A10" s="1669" t="s">
        <v>1530</v>
      </c>
      <c r="B10" s="1670"/>
      <c r="C10" s="1670"/>
      <c r="D10" s="1670"/>
      <c r="E10" s="1670"/>
      <c r="F10" s="1670"/>
      <c r="G10" s="1670"/>
      <c r="H10" s="1670"/>
      <c r="I10" s="1670"/>
      <c r="J10" s="1670"/>
      <c r="K10" s="1670"/>
    </row>
    <row r="11" spans="1:11" ht="15">
      <c r="A11" s="1669" t="s">
        <v>1531</v>
      </c>
      <c r="B11" s="1669"/>
      <c r="C11" s="1669"/>
      <c r="D11" s="1669"/>
      <c r="E11" s="1669"/>
      <c r="F11" s="1669"/>
      <c r="G11" s="1669"/>
      <c r="H11" s="1669"/>
      <c r="I11" s="1669"/>
      <c r="J11" s="1669"/>
      <c r="K11" s="1669"/>
    </row>
    <row r="14" spans="1:11">
      <c r="B14" s="33"/>
      <c r="C14" s="34"/>
      <c r="D14" s="34"/>
      <c r="E14" s="34"/>
      <c r="F14" s="34"/>
      <c r="G14" s="533"/>
      <c r="H14" s="531" t="s">
        <v>1533</v>
      </c>
      <c r="I14" s="531" t="s">
        <v>1533</v>
      </c>
      <c r="J14" s="532" t="s">
        <v>1533</v>
      </c>
    </row>
    <row r="15" spans="1:11">
      <c r="B15" s="240" t="s">
        <v>1490</v>
      </c>
      <c r="C15" s="29"/>
      <c r="D15" s="29"/>
      <c r="E15" s="29"/>
      <c r="F15" s="29"/>
      <c r="G15" s="29"/>
      <c r="H15" s="368"/>
      <c r="I15" s="368"/>
      <c r="J15" s="1301"/>
    </row>
    <row r="16" spans="1:11">
      <c r="B16" s="240" t="s">
        <v>1491</v>
      </c>
      <c r="H16" s="368"/>
      <c r="I16" s="368"/>
      <c r="J16" s="1301"/>
    </row>
    <row r="17" spans="2:10">
      <c r="B17" s="240" t="s">
        <v>1532</v>
      </c>
      <c r="H17" s="386"/>
      <c r="I17" s="386"/>
      <c r="J17" s="388"/>
    </row>
    <row r="18" spans="2:10">
      <c r="B18" s="240" t="s">
        <v>1493</v>
      </c>
      <c r="H18" s="386"/>
      <c r="I18" s="386"/>
      <c r="J18" s="388"/>
    </row>
    <row r="19" spans="2:10">
      <c r="B19" s="240" t="s">
        <v>1494</v>
      </c>
      <c r="H19" s="386"/>
      <c r="I19" s="386"/>
      <c r="J19" s="388"/>
    </row>
    <row r="20" spans="2:10">
      <c r="B20" s="240" t="s">
        <v>1495</v>
      </c>
      <c r="H20" s="386"/>
      <c r="I20" s="386"/>
      <c r="J20" s="388"/>
    </row>
    <row r="21" spans="2:10">
      <c r="B21" s="255" t="s">
        <v>1496</v>
      </c>
      <c r="C21" s="32"/>
      <c r="D21" s="32"/>
      <c r="E21" s="32"/>
      <c r="F21" s="32"/>
      <c r="G21" s="45"/>
      <c r="H21" s="386"/>
      <c r="I21" s="386"/>
      <c r="J21" s="388"/>
    </row>
    <row r="26" spans="2:10">
      <c r="B26" s="530" t="s">
        <v>1901</v>
      </c>
    </row>
    <row r="27" spans="2:10">
      <c r="B27" s="51" t="s">
        <v>1534</v>
      </c>
    </row>
    <row r="28" spans="2:10">
      <c r="B28" s="51" t="s">
        <v>1535</v>
      </c>
    </row>
    <row r="29" spans="2:10">
      <c r="B29" s="51" t="s">
        <v>1536</v>
      </c>
    </row>
    <row r="30" spans="2:10">
      <c r="B30" s="51" t="s">
        <v>1537</v>
      </c>
    </row>
    <row r="34" spans="2:3">
      <c r="B34" s="51" t="s">
        <v>1538</v>
      </c>
    </row>
    <row r="35" spans="2:3">
      <c r="B35" s="51" t="s">
        <v>1550</v>
      </c>
    </row>
    <row r="37" spans="2:3">
      <c r="B37" s="51" t="s">
        <v>1540</v>
      </c>
    </row>
    <row r="38" spans="2:3">
      <c r="B38" s="51" t="s">
        <v>1539</v>
      </c>
    </row>
    <row r="40" spans="2:3">
      <c r="B40" s="51" t="s">
        <v>1542</v>
      </c>
    </row>
    <row r="41" spans="2:3">
      <c r="B41" s="51" t="s">
        <v>1541</v>
      </c>
    </row>
    <row r="44" spans="2:3">
      <c r="B44" s="51" t="s">
        <v>1543</v>
      </c>
    </row>
    <row r="45" spans="2:3">
      <c r="C45" s="51" t="s">
        <v>1546</v>
      </c>
    </row>
    <row r="46" spans="2:3">
      <c r="C46" s="51" t="s">
        <v>1544</v>
      </c>
    </row>
    <row r="47" spans="2:3">
      <c r="C47" s="51" t="s">
        <v>1545</v>
      </c>
    </row>
    <row r="53" spans="1:12" ht="15.75">
      <c r="A53" s="1562" t="s">
        <v>1335</v>
      </c>
      <c r="B53" s="1563"/>
      <c r="C53" s="1563"/>
      <c r="D53" s="1563"/>
      <c r="E53" s="1563"/>
      <c r="F53" s="1563"/>
      <c r="G53" s="1563"/>
      <c r="H53" s="1563"/>
      <c r="I53" s="1563"/>
      <c r="J53" s="1563"/>
      <c r="K53" s="1563"/>
      <c r="L53" s="1563"/>
    </row>
  </sheetData>
  <customSheetViews>
    <customSheetView guid="{FC3B3501-CA52-40D7-B049-0E027A15B235}" fitToPage="1">
      <selection activeCell="N23" sqref="N23"/>
      <pageMargins left="0.25" right="0.25" top="0.75" bottom="0.75" header="0.3" footer="0.3"/>
      <pageSetup scale="99" orientation="portrait" r:id="rId1"/>
    </customSheetView>
  </customSheetViews>
  <mergeCells count="10">
    <mergeCell ref="A9:K9"/>
    <mergeCell ref="A10:K10"/>
    <mergeCell ref="A11:K11"/>
    <mergeCell ref="A53:L53"/>
    <mergeCell ref="A1:K1"/>
    <mergeCell ref="A2:K2"/>
    <mergeCell ref="A3:K3"/>
    <mergeCell ref="A4:K4"/>
    <mergeCell ref="A7:K7"/>
    <mergeCell ref="A8:K8"/>
  </mergeCells>
  <pageMargins left="0.25" right="0.25" top="0.75" bottom="0.75" header="0.3" footer="0.3"/>
  <pageSetup scale="9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120"/>
  <sheetViews>
    <sheetView topLeftCell="A24" workbookViewId="0">
      <selection activeCell="G36" sqref="G36"/>
    </sheetView>
  </sheetViews>
  <sheetFormatPr defaultRowHeight="12.75"/>
  <cols>
    <col min="1" max="1" width="7.7109375" style="1207" customWidth="1"/>
    <col min="2" max="4" width="11.28515625" style="1207" customWidth="1"/>
    <col min="5" max="5" width="10.85546875" style="1207" customWidth="1"/>
    <col min="6" max="6" width="15.85546875" style="1207" customWidth="1"/>
    <col min="7" max="7" width="15.28515625" style="1207" customWidth="1"/>
    <col min="8" max="8" width="17" style="1207" customWidth="1"/>
    <col min="9" max="16384" width="9.140625" style="1207"/>
  </cols>
  <sheetData>
    <row r="1" spans="1:8" ht="18">
      <c r="A1" s="1462" t="str">
        <f>'GENERAL FUND-OPERATING(48-53)'!A1</f>
        <v>TOWN OF BROADUS</v>
      </c>
      <c r="B1" s="1462"/>
      <c r="C1" s="1462"/>
      <c r="D1" s="1462"/>
      <c r="E1" s="1462"/>
      <c r="F1" s="1462"/>
      <c r="G1" s="1462"/>
      <c r="H1" s="1462"/>
    </row>
    <row r="2" spans="1:8" ht="18">
      <c r="A2" s="1462" t="str">
        <f>'GENERAL FUND-OPERATING(48-53)'!A5</f>
        <v>FISCAL YEAR ENDING JUNE 30, 2017</v>
      </c>
      <c r="B2" s="1462"/>
      <c r="C2" s="1462"/>
      <c r="D2" s="1462"/>
      <c r="E2" s="1462"/>
      <c r="F2" s="1462"/>
      <c r="G2" s="1462"/>
      <c r="H2" s="1462"/>
    </row>
    <row r="3" spans="1:8">
      <c r="A3" s="1208"/>
      <c r="B3" s="1208"/>
      <c r="C3" s="1208"/>
      <c r="D3" s="1208"/>
      <c r="E3" s="1208"/>
      <c r="F3" s="1208"/>
      <c r="G3" s="1208"/>
      <c r="H3" s="1208"/>
    </row>
    <row r="4" spans="1:8" ht="15.75">
      <c r="A4" s="1563" t="s">
        <v>3639</v>
      </c>
      <c r="B4" s="1563"/>
      <c r="C4" s="1563"/>
      <c r="D4" s="1563"/>
      <c r="E4" s="1563"/>
      <c r="F4" s="1563"/>
      <c r="G4" s="1563"/>
      <c r="H4" s="1563"/>
    </row>
    <row r="5" spans="1:8" ht="15.75">
      <c r="A5" s="1563" t="s">
        <v>3587</v>
      </c>
      <c r="B5" s="1563"/>
      <c r="C5" s="1563"/>
      <c r="D5" s="1563"/>
      <c r="E5" s="1563"/>
      <c r="F5" s="1563"/>
      <c r="G5" s="1563"/>
      <c r="H5" s="1563"/>
    </row>
    <row r="6" spans="1:8" ht="15.75">
      <c r="A6" s="1563" t="s">
        <v>3588</v>
      </c>
      <c r="B6" s="1563"/>
      <c r="C6" s="1563"/>
      <c r="D6" s="1563"/>
      <c r="E6" s="1563"/>
      <c r="F6" s="1563"/>
      <c r="G6" s="1563"/>
      <c r="H6" s="1563"/>
    </row>
    <row r="7" spans="1:8" ht="15.75">
      <c r="A7" s="1563" t="s">
        <v>3589</v>
      </c>
      <c r="B7" s="1563"/>
      <c r="C7" s="1563"/>
      <c r="D7" s="1563"/>
      <c r="E7" s="1563"/>
      <c r="F7" s="1563"/>
      <c r="G7" s="1563"/>
      <c r="H7" s="1563"/>
    </row>
    <row r="8" spans="1:8">
      <c r="A8" s="1685" t="s">
        <v>3590</v>
      </c>
      <c r="B8" s="1434"/>
      <c r="C8" s="1434"/>
      <c r="D8" s="1434"/>
      <c r="E8" s="1434"/>
      <c r="F8" s="1434"/>
      <c r="G8" s="1434"/>
      <c r="H8" s="1434"/>
    </row>
    <row r="9" spans="1:8">
      <c r="B9" s="1686" t="s">
        <v>3591</v>
      </c>
      <c r="C9" s="1687"/>
      <c r="D9" s="1687"/>
      <c r="E9" s="1688"/>
      <c r="F9" s="1013">
        <v>2017</v>
      </c>
      <c r="G9" s="1013">
        <v>2016</v>
      </c>
      <c r="H9" s="1013">
        <v>2015</v>
      </c>
    </row>
    <row r="10" spans="1:8">
      <c r="B10" s="1697" t="s">
        <v>3592</v>
      </c>
      <c r="C10" s="1698"/>
      <c r="D10" s="1698"/>
      <c r="E10" s="1699"/>
      <c r="F10" s="1229">
        <v>2016</v>
      </c>
      <c r="G10" s="1229">
        <v>2015</v>
      </c>
      <c r="H10" s="1229">
        <v>2014</v>
      </c>
    </row>
    <row r="11" spans="1:8" ht="24.75" customHeight="1">
      <c r="A11" s="1221"/>
      <c r="B11" s="1700" t="s">
        <v>3593</v>
      </c>
      <c r="C11" s="1690"/>
      <c r="D11" s="1690"/>
      <c r="E11" s="1691"/>
      <c r="F11" s="1297">
        <v>1.44E-2</v>
      </c>
      <c r="G11" s="1297">
        <v>1.3889999999999999E-4</v>
      </c>
      <c r="H11" s="1297">
        <v>1.374E-2</v>
      </c>
    </row>
    <row r="12" spans="1:8" ht="25.5" customHeight="1">
      <c r="B12" s="1689" t="s">
        <v>3594</v>
      </c>
      <c r="C12" s="1690"/>
      <c r="D12" s="1690"/>
      <c r="E12" s="1691"/>
      <c r="F12" s="1298">
        <v>245608</v>
      </c>
      <c r="G12" s="1298">
        <v>194158.5</v>
      </c>
      <c r="H12" s="1298">
        <v>171206.33</v>
      </c>
    </row>
    <row r="13" spans="1:8" ht="25.5" customHeight="1">
      <c r="B13" s="1689" t="s">
        <v>3595</v>
      </c>
      <c r="C13" s="1692"/>
      <c r="D13" s="1692"/>
      <c r="E13" s="1693"/>
      <c r="F13" s="1298">
        <v>3001</v>
      </c>
      <c r="G13" s="1298">
        <v>2384.9</v>
      </c>
      <c r="H13" s="1298">
        <v>2090.6799999999998</v>
      </c>
    </row>
    <row r="14" spans="1:8" ht="25.5" customHeight="1">
      <c r="B14" s="1701" t="s">
        <v>1058</v>
      </c>
      <c r="C14" s="1695"/>
      <c r="D14" s="1695"/>
      <c r="E14" s="1696"/>
      <c r="F14" s="1235">
        <f>F13+F12</f>
        <v>248609</v>
      </c>
      <c r="G14" s="1235">
        <f>G13+G12</f>
        <v>196543.4</v>
      </c>
      <c r="H14" s="1235">
        <f>H13+H12</f>
        <v>173297.00999999998</v>
      </c>
    </row>
    <row r="15" spans="1:8">
      <c r="F15" s="254"/>
      <c r="G15" s="254"/>
      <c r="H15" s="254"/>
    </row>
    <row r="16" spans="1:8" ht="24.75" customHeight="1">
      <c r="B16" s="1694" t="s">
        <v>3596</v>
      </c>
      <c r="C16" s="1702"/>
      <c r="D16" s="1702"/>
      <c r="E16" s="1703"/>
      <c r="F16" s="1231">
        <v>172716</v>
      </c>
      <c r="G16" s="1231">
        <v>162094.21</v>
      </c>
      <c r="H16" s="1231">
        <v>155540.66</v>
      </c>
    </row>
    <row r="17" spans="1:8" ht="26.25" customHeight="1">
      <c r="B17" s="1689" t="s">
        <v>3597</v>
      </c>
      <c r="C17" s="1690"/>
      <c r="D17" s="1690"/>
      <c r="E17" s="1691"/>
      <c r="F17" s="1232">
        <v>1.4219999999999999</v>
      </c>
      <c r="G17" s="1232">
        <v>1.1978</v>
      </c>
      <c r="H17" s="1232">
        <v>1.1007</v>
      </c>
    </row>
    <row r="18" spans="1:8" ht="26.25" customHeight="1">
      <c r="B18" s="1689" t="s">
        <v>3598</v>
      </c>
      <c r="C18" s="1690"/>
      <c r="D18" s="1690"/>
      <c r="E18" s="1691"/>
      <c r="F18" s="1232">
        <v>0.74709999999999999</v>
      </c>
      <c r="G18" s="1232">
        <v>0.78400000000000003</v>
      </c>
      <c r="H18" s="1232">
        <v>0.79900000000000004</v>
      </c>
    </row>
    <row r="20" spans="1:8">
      <c r="B20" s="1675" t="s">
        <v>3599</v>
      </c>
      <c r="C20" s="1675"/>
      <c r="D20" s="1675"/>
      <c r="E20" s="1675"/>
      <c r="F20" s="1675"/>
      <c r="G20" s="1675"/>
      <c r="H20" s="1675"/>
    </row>
    <row r="21" spans="1:8">
      <c r="B21" s="1675" t="s">
        <v>3608</v>
      </c>
      <c r="C21" s="1675"/>
      <c r="D21" s="1675"/>
      <c r="E21" s="1675"/>
      <c r="F21" s="1675"/>
      <c r="G21" s="1675"/>
      <c r="H21" s="1675"/>
    </row>
    <row r="22" spans="1:8">
      <c r="B22" s="1230"/>
    </row>
    <row r="25" spans="1:8" ht="15.75">
      <c r="A25" s="1563" t="str">
        <f>A1</f>
        <v>TOWN OF BROADUS</v>
      </c>
      <c r="B25" s="1563"/>
      <c r="C25" s="1563"/>
      <c r="D25" s="1563"/>
      <c r="E25" s="1563"/>
      <c r="F25" s="1563"/>
      <c r="G25" s="1563"/>
      <c r="H25" s="1563"/>
    </row>
    <row r="26" spans="1:8" ht="15.75">
      <c r="A26" s="1563" t="s">
        <v>3587</v>
      </c>
      <c r="B26" s="1563"/>
      <c r="C26" s="1563"/>
      <c r="D26" s="1563"/>
      <c r="E26" s="1563"/>
      <c r="F26" s="1563"/>
      <c r="G26" s="1563"/>
      <c r="H26" s="1563"/>
    </row>
    <row r="27" spans="1:8" ht="15.75">
      <c r="A27" s="1563" t="s">
        <v>3600</v>
      </c>
      <c r="B27" s="1563"/>
      <c r="C27" s="1563"/>
      <c r="D27" s="1563"/>
      <c r="E27" s="1563"/>
      <c r="F27" s="1563"/>
      <c r="G27" s="1563"/>
      <c r="H27" s="1563"/>
    </row>
    <row r="28" spans="1:8" ht="15.75">
      <c r="A28" s="1563" t="s">
        <v>3589</v>
      </c>
      <c r="B28" s="1563"/>
      <c r="C28" s="1563"/>
      <c r="D28" s="1563"/>
      <c r="E28" s="1563"/>
      <c r="F28" s="1563"/>
      <c r="G28" s="1563"/>
      <c r="H28" s="1563"/>
    </row>
    <row r="29" spans="1:8">
      <c r="A29" s="1685" t="s">
        <v>3601</v>
      </c>
      <c r="B29" s="1434"/>
      <c r="C29" s="1434"/>
      <c r="D29" s="1434"/>
      <c r="E29" s="1434"/>
      <c r="F29" s="1434"/>
      <c r="G29" s="1434"/>
      <c r="H29" s="1434"/>
    </row>
    <row r="31" spans="1:8">
      <c r="B31" s="1686" t="s">
        <v>3602</v>
      </c>
      <c r="C31" s="1687"/>
      <c r="D31" s="1687"/>
      <c r="E31" s="1688"/>
      <c r="F31" s="1013">
        <v>2017</v>
      </c>
      <c r="G31" s="1013">
        <v>2016</v>
      </c>
      <c r="H31" s="1013">
        <v>2015</v>
      </c>
    </row>
    <row r="32" spans="1:8" ht="24.75" customHeight="1">
      <c r="B32" s="1689" t="s">
        <v>3603</v>
      </c>
      <c r="C32" s="1690"/>
      <c r="D32" s="1690"/>
      <c r="E32" s="1691"/>
      <c r="F32" s="1298"/>
      <c r="G32" s="1298">
        <v>14437</v>
      </c>
      <c r="H32" s="1298">
        <v>13357</v>
      </c>
    </row>
    <row r="33" spans="1:8" ht="24.75" customHeight="1">
      <c r="B33" s="1689" t="s">
        <v>3604</v>
      </c>
      <c r="C33" s="1692"/>
      <c r="D33" s="1692"/>
      <c r="E33" s="1693"/>
      <c r="F33" s="1298"/>
      <c r="G33" s="1298">
        <v>0</v>
      </c>
      <c r="H33" s="1298">
        <v>0</v>
      </c>
    </row>
    <row r="34" spans="1:8" ht="26.25" customHeight="1">
      <c r="B34" s="1689" t="s">
        <v>3605</v>
      </c>
      <c r="C34" s="1690"/>
      <c r="D34" s="1690"/>
      <c r="E34" s="1691"/>
      <c r="F34" s="1298"/>
      <c r="G34" s="1298">
        <v>14437</v>
      </c>
      <c r="H34" s="1298">
        <v>13357</v>
      </c>
    </row>
    <row r="35" spans="1:8" ht="25.5" customHeight="1">
      <c r="B35" s="1689" t="s">
        <v>3606</v>
      </c>
      <c r="C35" s="1692"/>
      <c r="D35" s="1692"/>
      <c r="E35" s="1693"/>
      <c r="F35" s="1298"/>
      <c r="G35" s="1298">
        <v>0</v>
      </c>
      <c r="H35" s="1298">
        <v>0</v>
      </c>
    </row>
    <row r="36" spans="1:8" ht="25.5" customHeight="1">
      <c r="B36" s="1694" t="s">
        <v>3596</v>
      </c>
      <c r="C36" s="1695"/>
      <c r="D36" s="1695"/>
      <c r="E36" s="1696"/>
      <c r="F36" s="1298"/>
      <c r="G36" s="1298">
        <v>172716</v>
      </c>
      <c r="H36" s="1298">
        <v>162094</v>
      </c>
    </row>
    <row r="37" spans="1:8" ht="24" customHeight="1">
      <c r="B37" s="1694" t="s">
        <v>3607</v>
      </c>
      <c r="C37" s="1681"/>
      <c r="D37" s="1681"/>
      <c r="E37" s="1682"/>
      <c r="F37" s="1300"/>
      <c r="G37" s="1300">
        <v>8.3599999999999994E-2</v>
      </c>
      <c r="H37" s="1300">
        <v>8.2400000000000001E-2</v>
      </c>
    </row>
    <row r="39" spans="1:8">
      <c r="B39" s="1675" t="s">
        <v>3599</v>
      </c>
      <c r="C39" s="1675"/>
      <c r="D39" s="1675"/>
      <c r="E39" s="1675"/>
      <c r="F39" s="1675"/>
      <c r="G39" s="1675"/>
      <c r="H39" s="1675"/>
    </row>
    <row r="40" spans="1:8">
      <c r="B40" s="1675" t="s">
        <v>3608</v>
      </c>
      <c r="C40" s="1675"/>
      <c r="D40" s="1675"/>
      <c r="E40" s="1675"/>
      <c r="F40" s="1675"/>
      <c r="G40" s="1675"/>
      <c r="H40" s="1675"/>
    </row>
    <row r="41" spans="1:8">
      <c r="B41" s="1230"/>
    </row>
    <row r="46" spans="1:8">
      <c r="A46" s="1676" t="s">
        <v>3284</v>
      </c>
      <c r="B46" s="1433"/>
      <c r="C46" s="1433"/>
      <c r="D46" s="1433"/>
      <c r="E46" s="1433"/>
      <c r="F46" s="1433"/>
      <c r="G46" s="1433"/>
      <c r="H46" s="1433"/>
    </row>
    <row r="48" spans="1:8">
      <c r="A48" s="1433" t="str">
        <f>A1</f>
        <v>TOWN OF BROADUS</v>
      </c>
      <c r="B48" s="1433"/>
      <c r="C48" s="1433"/>
      <c r="D48" s="1433"/>
      <c r="E48" s="1433"/>
      <c r="F48" s="1433"/>
      <c r="G48" s="1433"/>
      <c r="H48" s="1433"/>
    </row>
    <row r="49" spans="1:8">
      <c r="A49" s="1433" t="s">
        <v>3530</v>
      </c>
      <c r="B49" s="1433"/>
      <c r="C49" s="1433"/>
      <c r="D49" s="1433"/>
      <c r="E49" s="1433"/>
      <c r="F49" s="1433"/>
      <c r="G49" s="1433"/>
      <c r="H49" s="1433"/>
    </row>
    <row r="50" spans="1:8">
      <c r="A50" s="1433" t="s">
        <v>3611</v>
      </c>
      <c r="B50" s="1433"/>
      <c r="C50" s="1433"/>
      <c r="D50" s="1433"/>
      <c r="E50" s="1433"/>
      <c r="F50" s="1433"/>
      <c r="G50" s="1433"/>
      <c r="H50" s="1433"/>
    </row>
    <row r="51" spans="1:8">
      <c r="A51" s="1434">
        <v>82</v>
      </c>
      <c r="B51" s="1434"/>
      <c r="C51" s="1434"/>
      <c r="D51" s="1434"/>
      <c r="E51" s="1434"/>
      <c r="F51" s="1434"/>
      <c r="G51" s="1434"/>
      <c r="H51" s="1434"/>
    </row>
    <row r="53" spans="1:8" ht="15">
      <c r="A53" s="592" t="s">
        <v>3532</v>
      </c>
    </row>
    <row r="54" spans="1:8">
      <c r="A54" s="1207" t="s">
        <v>3533</v>
      </c>
    </row>
    <row r="56" spans="1:8">
      <c r="A56" s="19" t="s">
        <v>3534</v>
      </c>
    </row>
    <row r="58" spans="1:8">
      <c r="A58" s="787" t="s">
        <v>3535</v>
      </c>
    </row>
    <row r="59" spans="1:8">
      <c r="A59" s="1207" t="s">
        <v>3536</v>
      </c>
    </row>
    <row r="60" spans="1:8" ht="27.75" customHeight="1">
      <c r="A60" s="1564" t="s">
        <v>3537</v>
      </c>
      <c r="B60" s="1564"/>
      <c r="C60" s="1564"/>
      <c r="D60" s="1564"/>
      <c r="E60" s="1564"/>
      <c r="F60" s="1564"/>
      <c r="G60" s="1564"/>
      <c r="H60" s="1564"/>
    </row>
    <row r="61" spans="1:8">
      <c r="A61" s="254" t="s">
        <v>3538</v>
      </c>
      <c r="B61" s="1207" t="s">
        <v>3539</v>
      </c>
    </row>
    <row r="62" spans="1:8">
      <c r="A62" s="254" t="s">
        <v>3538</v>
      </c>
      <c r="B62" s="1207" t="s">
        <v>3540</v>
      </c>
    </row>
    <row r="63" spans="1:8">
      <c r="A63" s="254" t="s">
        <v>3538</v>
      </c>
      <c r="B63" s="1207" t="s">
        <v>3541</v>
      </c>
    </row>
    <row r="64" spans="1:8">
      <c r="B64" s="1207" t="s">
        <v>3542</v>
      </c>
    </row>
    <row r="65" spans="1:8">
      <c r="B65" s="1207" t="s">
        <v>3543</v>
      </c>
    </row>
    <row r="66" spans="1:8">
      <c r="B66" s="1207" t="s">
        <v>3544</v>
      </c>
    </row>
    <row r="68" spans="1:8">
      <c r="A68" s="19" t="s">
        <v>3545</v>
      </c>
    </row>
    <row r="70" spans="1:8">
      <c r="A70" s="787" t="s">
        <v>3546</v>
      </c>
    </row>
    <row r="72" spans="1:8">
      <c r="A72" s="787" t="s">
        <v>3547</v>
      </c>
    </row>
    <row r="73" spans="1:8" ht="38.25" customHeight="1">
      <c r="A73" s="1564" t="s">
        <v>3548</v>
      </c>
      <c r="B73" s="1564"/>
      <c r="C73" s="1564"/>
      <c r="D73" s="1564"/>
      <c r="E73" s="1564"/>
      <c r="F73" s="1564"/>
      <c r="G73" s="1564"/>
      <c r="H73" s="1564"/>
    </row>
    <row r="74" spans="1:8" ht="12.75" customHeight="1">
      <c r="A74" s="1220" t="s">
        <v>3538</v>
      </c>
      <c r="B74" s="1564" t="s">
        <v>3549</v>
      </c>
      <c r="C74" s="1564"/>
      <c r="D74" s="1564"/>
      <c r="E74" s="1564"/>
      <c r="F74" s="1564"/>
      <c r="G74" s="1564"/>
      <c r="H74" s="1564"/>
    </row>
    <row r="75" spans="1:8">
      <c r="A75" s="254" t="s">
        <v>3538</v>
      </c>
      <c r="B75" s="1221" t="s">
        <v>3550</v>
      </c>
    </row>
    <row r="76" spans="1:8">
      <c r="A76" s="254" t="s">
        <v>3538</v>
      </c>
      <c r="B76" s="1207" t="s">
        <v>3551</v>
      </c>
    </row>
    <row r="77" spans="1:8">
      <c r="A77" s="254" t="s">
        <v>3538</v>
      </c>
      <c r="B77" s="1207" t="s">
        <v>3552</v>
      </c>
    </row>
    <row r="79" spans="1:8" ht="27" customHeight="1">
      <c r="A79" s="1623" t="s">
        <v>3553</v>
      </c>
      <c r="B79" s="1564"/>
      <c r="C79" s="1564"/>
      <c r="D79" s="1564"/>
      <c r="E79" s="1564"/>
      <c r="F79" s="1564"/>
      <c r="G79" s="1564"/>
      <c r="H79" s="1564"/>
    </row>
    <row r="80" spans="1:8" ht="12" customHeight="1">
      <c r="A80" s="1222" t="s">
        <v>3538</v>
      </c>
      <c r="B80" s="1564" t="s">
        <v>3554</v>
      </c>
      <c r="C80" s="1564"/>
      <c r="D80" s="1564"/>
      <c r="E80" s="1564"/>
      <c r="F80" s="1564"/>
      <c r="G80" s="1564"/>
      <c r="H80" s="1564"/>
    </row>
    <row r="81" spans="1:8">
      <c r="A81" s="254" t="s">
        <v>3538</v>
      </c>
      <c r="B81" s="1207" t="s">
        <v>3555</v>
      </c>
    </row>
    <row r="83" spans="1:8" ht="25.5" customHeight="1">
      <c r="A83" s="1623" t="s">
        <v>3556</v>
      </c>
      <c r="B83" s="1564"/>
      <c r="C83" s="1564"/>
      <c r="D83" s="1564"/>
      <c r="E83" s="1564"/>
      <c r="F83" s="1564"/>
      <c r="G83" s="1564"/>
      <c r="H83" s="1564"/>
    </row>
    <row r="84" spans="1:8" ht="13.5" customHeight="1">
      <c r="A84" s="1222" t="s">
        <v>3538</v>
      </c>
      <c r="B84" s="1564" t="s">
        <v>3557</v>
      </c>
      <c r="C84" s="1564"/>
      <c r="D84" s="1564"/>
      <c r="E84" s="1564"/>
      <c r="F84" s="1564"/>
      <c r="G84" s="1564"/>
      <c r="H84" s="1564"/>
    </row>
    <row r="85" spans="1:8">
      <c r="A85" s="1222" t="s">
        <v>3538</v>
      </c>
      <c r="B85" s="1207" t="s">
        <v>3558</v>
      </c>
    </row>
    <row r="86" spans="1:8">
      <c r="A86" s="1222" t="s">
        <v>3538</v>
      </c>
      <c r="B86" s="1207" t="s">
        <v>3559</v>
      </c>
    </row>
    <row r="87" spans="1:8">
      <c r="A87" s="1222" t="s">
        <v>3538</v>
      </c>
      <c r="B87" s="1207" t="s">
        <v>3560</v>
      </c>
    </row>
    <row r="89" spans="1:8" ht="25.5" customHeight="1">
      <c r="A89" s="1623" t="s">
        <v>3561</v>
      </c>
      <c r="B89" s="1564"/>
      <c r="C89" s="1564"/>
      <c r="D89" s="1564"/>
      <c r="E89" s="1564"/>
      <c r="F89" s="1564"/>
      <c r="G89" s="1564"/>
      <c r="H89" s="1564"/>
    </row>
    <row r="90" spans="1:8">
      <c r="A90" s="1222" t="s">
        <v>3538</v>
      </c>
      <c r="B90" s="1207" t="s">
        <v>3562</v>
      </c>
    </row>
    <row r="91" spans="1:8" ht="25.5" customHeight="1">
      <c r="A91" s="1222" t="s">
        <v>3538</v>
      </c>
      <c r="B91" s="1564" t="s">
        <v>3563</v>
      </c>
      <c r="C91" s="1564"/>
      <c r="D91" s="1564"/>
      <c r="E91" s="1564"/>
      <c r="F91" s="1564"/>
      <c r="G91" s="1564"/>
      <c r="H91" s="1564"/>
    </row>
    <row r="92" spans="1:8" ht="15" customHeight="1">
      <c r="A92" s="1222" t="s">
        <v>3538</v>
      </c>
      <c r="B92" s="1564" t="s">
        <v>3564</v>
      </c>
      <c r="C92" s="1564"/>
      <c r="D92" s="1564"/>
      <c r="E92" s="1564"/>
      <c r="F92" s="1564"/>
      <c r="G92" s="1564"/>
      <c r="H92" s="1564"/>
    </row>
    <row r="94" spans="1:8">
      <c r="A94" s="787" t="s">
        <v>3565</v>
      </c>
    </row>
    <row r="95" spans="1:8">
      <c r="A95" s="787" t="s">
        <v>3566</v>
      </c>
    </row>
    <row r="97" spans="1:8" ht="24" customHeight="1">
      <c r="A97" s="1564" t="s">
        <v>3567</v>
      </c>
      <c r="B97" s="1564"/>
      <c r="C97" s="1564"/>
      <c r="D97" s="1564"/>
      <c r="E97" s="1564"/>
      <c r="F97" s="1564"/>
      <c r="G97" s="1564"/>
      <c r="H97" s="1564"/>
    </row>
    <row r="98" spans="1:8" ht="24" customHeight="1">
      <c r="A98" s="1212"/>
      <c r="B98" s="1212"/>
      <c r="C98" s="1212"/>
      <c r="D98" s="1212"/>
      <c r="E98" s="1212"/>
      <c r="F98" s="1212"/>
      <c r="G98" s="1212"/>
      <c r="H98" s="1212"/>
    </row>
    <row r="101" spans="1:8" ht="15">
      <c r="A101" s="1684" t="s">
        <v>3568</v>
      </c>
      <c r="B101" s="1684"/>
      <c r="C101" s="1684"/>
      <c r="D101" s="1684"/>
      <c r="E101" s="1684"/>
      <c r="F101" s="1684"/>
      <c r="G101" s="1684"/>
      <c r="H101" s="1684"/>
    </row>
    <row r="102" spans="1:8">
      <c r="A102" s="1223"/>
      <c r="B102" s="787"/>
    </row>
    <row r="103" spans="1:8">
      <c r="A103" s="1223" t="s">
        <v>3569</v>
      </c>
      <c r="B103" s="787"/>
    </row>
    <row r="104" spans="1:8">
      <c r="A104" s="1224"/>
      <c r="B104" s="787"/>
    </row>
    <row r="105" spans="1:8" ht="26.25" customHeight="1">
      <c r="A105" s="1683" t="s">
        <v>3570</v>
      </c>
      <c r="B105" s="1683"/>
      <c r="C105" s="1683"/>
      <c r="D105" s="1683"/>
      <c r="E105" s="1683"/>
      <c r="F105" s="1683"/>
      <c r="G105" s="1683"/>
      <c r="H105" s="1683"/>
    </row>
    <row r="106" spans="1:8">
      <c r="A106" s="1224"/>
      <c r="B106" s="787"/>
    </row>
    <row r="107" spans="1:8" ht="18.75" customHeight="1">
      <c r="A107" s="1225"/>
      <c r="B107" s="1677" t="s">
        <v>3571</v>
      </c>
      <c r="C107" s="1678"/>
      <c r="D107" s="1679"/>
      <c r="E107" s="1677">
        <v>2.7000000000000001E-3</v>
      </c>
      <c r="F107" s="1678"/>
      <c r="G107" s="1679"/>
    </row>
    <row r="108" spans="1:8">
      <c r="A108" s="1224"/>
      <c r="B108" s="787"/>
    </row>
    <row r="109" spans="1:8">
      <c r="A109" s="1224" t="s">
        <v>3572</v>
      </c>
      <c r="B109" s="787" t="s">
        <v>3609</v>
      </c>
    </row>
    <row r="110" spans="1:8">
      <c r="A110" s="1228"/>
      <c r="B110" s="787"/>
    </row>
    <row r="111" spans="1:8">
      <c r="A111" s="1224" t="s">
        <v>3577</v>
      </c>
      <c r="B111" s="787"/>
    </row>
    <row r="112" spans="1:8">
      <c r="A112" s="1226"/>
      <c r="B112" s="787"/>
    </row>
    <row r="113" spans="1:7" ht="21" customHeight="1">
      <c r="A113" s="1227"/>
      <c r="B113" s="1677" t="s">
        <v>3573</v>
      </c>
      <c r="C113" s="1678"/>
      <c r="D113" s="1679"/>
      <c r="E113" s="1680">
        <v>0.04</v>
      </c>
      <c r="F113" s="1681"/>
      <c r="G113" s="1682"/>
    </row>
    <row r="114" spans="1:7" ht="20.85" customHeight="1">
      <c r="A114" s="1227"/>
      <c r="B114" s="1672" t="s">
        <v>3574</v>
      </c>
      <c r="C114" s="1673"/>
      <c r="D114" s="1674"/>
      <c r="E114" s="1680">
        <v>0.03</v>
      </c>
      <c r="F114" s="1681"/>
      <c r="G114" s="1682"/>
    </row>
    <row r="115" spans="1:7" ht="20.85" customHeight="1">
      <c r="A115" s="1227"/>
      <c r="B115" s="1672" t="s">
        <v>3578</v>
      </c>
      <c r="C115" s="1673"/>
      <c r="D115" s="1674"/>
      <c r="E115" s="1672" t="s">
        <v>3610</v>
      </c>
      <c r="F115" s="1673"/>
      <c r="G115" s="1674"/>
    </row>
    <row r="116" spans="1:7" ht="39.75" customHeight="1">
      <c r="A116" s="1227"/>
      <c r="B116" s="1672" t="s">
        <v>3575</v>
      </c>
      <c r="C116" s="1673"/>
      <c r="D116" s="1674"/>
      <c r="E116" s="1672" t="s">
        <v>3576</v>
      </c>
      <c r="F116" s="1673"/>
      <c r="G116" s="1674"/>
    </row>
    <row r="117" spans="1:7" ht="20.85" customHeight="1">
      <c r="A117" s="1227"/>
      <c r="B117" s="1672" t="s">
        <v>3580</v>
      </c>
      <c r="C117" s="1673"/>
      <c r="D117" s="1674"/>
      <c r="E117" s="1672" t="s">
        <v>3581</v>
      </c>
      <c r="F117" s="1673"/>
      <c r="G117" s="1674"/>
    </row>
    <row r="118" spans="1:7" ht="20.85" customHeight="1">
      <c r="A118" s="1227"/>
      <c r="B118" s="1672" t="s">
        <v>3582</v>
      </c>
      <c r="C118" s="1673"/>
      <c r="D118" s="1674"/>
      <c r="E118" s="1672" t="s">
        <v>3583</v>
      </c>
      <c r="F118" s="1673"/>
      <c r="G118" s="1674"/>
    </row>
    <row r="119" spans="1:7" ht="20.85" customHeight="1">
      <c r="A119" s="1227"/>
      <c r="B119" s="1672" t="s">
        <v>3584</v>
      </c>
      <c r="C119" s="1673"/>
      <c r="D119" s="1674"/>
      <c r="E119" s="1672" t="s">
        <v>3585</v>
      </c>
      <c r="F119" s="1673"/>
      <c r="G119" s="1674"/>
    </row>
    <row r="120" spans="1:7">
      <c r="A120" s="1226"/>
      <c r="B120" s="787"/>
    </row>
  </sheetData>
  <mergeCells count="66">
    <mergeCell ref="B9:E9"/>
    <mergeCell ref="A5:H5"/>
    <mergeCell ref="A1:H1"/>
    <mergeCell ref="A4:H4"/>
    <mergeCell ref="A6:H6"/>
    <mergeCell ref="A7:H7"/>
    <mergeCell ref="A8:H8"/>
    <mergeCell ref="A28:H28"/>
    <mergeCell ref="B10:E10"/>
    <mergeCell ref="B11:E11"/>
    <mergeCell ref="B12:E12"/>
    <mergeCell ref="B13:E13"/>
    <mergeCell ref="B14:E14"/>
    <mergeCell ref="B16:E16"/>
    <mergeCell ref="B17:E17"/>
    <mergeCell ref="B18:E18"/>
    <mergeCell ref="A25:H25"/>
    <mergeCell ref="A26:H26"/>
    <mergeCell ref="A27:H27"/>
    <mergeCell ref="A51:H51"/>
    <mergeCell ref="A29:H29"/>
    <mergeCell ref="B31:E31"/>
    <mergeCell ref="B32:E32"/>
    <mergeCell ref="B33:E33"/>
    <mergeCell ref="B34:E34"/>
    <mergeCell ref="B35:E35"/>
    <mergeCell ref="B36:E36"/>
    <mergeCell ref="B37:E37"/>
    <mergeCell ref="A48:H48"/>
    <mergeCell ref="A49:H49"/>
    <mergeCell ref="A50:H50"/>
    <mergeCell ref="A101:H101"/>
    <mergeCell ref="A60:H60"/>
    <mergeCell ref="A73:H73"/>
    <mergeCell ref="B74:H74"/>
    <mergeCell ref="A79:H79"/>
    <mergeCell ref="B80:H80"/>
    <mergeCell ref="A83:H83"/>
    <mergeCell ref="B84:H84"/>
    <mergeCell ref="A89:H89"/>
    <mergeCell ref="B91:H91"/>
    <mergeCell ref="B92:H92"/>
    <mergeCell ref="A97:H97"/>
    <mergeCell ref="B113:D113"/>
    <mergeCell ref="E113:G113"/>
    <mergeCell ref="B114:D114"/>
    <mergeCell ref="E114:G114"/>
    <mergeCell ref="A105:H105"/>
    <mergeCell ref="B107:D107"/>
    <mergeCell ref="E107:G107"/>
    <mergeCell ref="B118:D118"/>
    <mergeCell ref="E118:G118"/>
    <mergeCell ref="B119:D119"/>
    <mergeCell ref="E119:G119"/>
    <mergeCell ref="A2:H2"/>
    <mergeCell ref="B20:H20"/>
    <mergeCell ref="B21:H21"/>
    <mergeCell ref="B39:H39"/>
    <mergeCell ref="B40:H40"/>
    <mergeCell ref="A46:H46"/>
    <mergeCell ref="B115:D115"/>
    <mergeCell ref="E115:G115"/>
    <mergeCell ref="B116:D116"/>
    <mergeCell ref="E116:G116"/>
    <mergeCell ref="B117:D117"/>
    <mergeCell ref="E117:G117"/>
  </mergeCells>
  <pageMargins left="0.25" right="0.25" top="0.25" bottom="0" header="0" footer="0"/>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80"/>
  <sheetViews>
    <sheetView workbookViewId="0">
      <selection activeCell="K19" sqref="K19"/>
    </sheetView>
  </sheetViews>
  <sheetFormatPr defaultRowHeight="12.75"/>
  <cols>
    <col min="1" max="1" width="7.7109375" style="1207" customWidth="1"/>
    <col min="2" max="4" width="11.28515625" style="1207" customWidth="1"/>
    <col min="5" max="5" width="10.85546875" style="1207" customWidth="1"/>
    <col min="6" max="6" width="15.85546875" style="1207" customWidth="1"/>
    <col min="7" max="7" width="15.28515625" style="1207" customWidth="1"/>
    <col min="8" max="8" width="17" style="1207" customWidth="1"/>
    <col min="9" max="16384" width="9.140625" style="1207"/>
  </cols>
  <sheetData>
    <row r="1" spans="1:8" ht="18">
      <c r="A1" s="1462" t="str">
        <f>'GENERAL FUND-OPERATING(48-53)'!A1</f>
        <v>TOWN OF BROADUS</v>
      </c>
      <c r="B1" s="1462"/>
      <c r="C1" s="1462"/>
      <c r="D1" s="1462"/>
      <c r="E1" s="1462"/>
      <c r="F1" s="1462"/>
      <c r="G1" s="1462"/>
      <c r="H1" s="1462"/>
    </row>
    <row r="2" spans="1:8" ht="18">
      <c r="A2" s="1462" t="str">
        <f>'GENERAL FUND-OPERATING(48-53)'!A5</f>
        <v>FISCAL YEAR ENDING JUNE 30, 2017</v>
      </c>
      <c r="B2" s="1462"/>
      <c r="C2" s="1462"/>
      <c r="D2" s="1462"/>
      <c r="E2" s="1462"/>
      <c r="F2" s="1462"/>
      <c r="G2" s="1462"/>
      <c r="H2" s="1462"/>
    </row>
    <row r="3" spans="1:8">
      <c r="A3" s="1208"/>
      <c r="B3" s="1208"/>
      <c r="C3" s="1208"/>
      <c r="D3" s="1208"/>
      <c r="E3" s="1208"/>
      <c r="F3" s="1208"/>
      <c r="G3" s="1208"/>
      <c r="H3" s="1208"/>
    </row>
    <row r="4" spans="1:8" ht="15.75">
      <c r="A4" s="1563" t="s">
        <v>3634</v>
      </c>
      <c r="B4" s="1563"/>
      <c r="C4" s="1563"/>
      <c r="D4" s="1563"/>
      <c r="E4" s="1563"/>
      <c r="F4" s="1563"/>
      <c r="G4" s="1563"/>
      <c r="H4" s="1563"/>
    </row>
    <row r="5" spans="1:8" ht="15.75">
      <c r="A5" s="1563" t="s">
        <v>3587</v>
      </c>
      <c r="B5" s="1563"/>
      <c r="C5" s="1563"/>
      <c r="D5" s="1563"/>
      <c r="E5" s="1563"/>
      <c r="F5" s="1563"/>
      <c r="G5" s="1563"/>
      <c r="H5" s="1563"/>
    </row>
    <row r="6" spans="1:8" ht="15.75">
      <c r="A6" s="1563" t="s">
        <v>3588</v>
      </c>
      <c r="B6" s="1563"/>
      <c r="C6" s="1563"/>
      <c r="D6" s="1563"/>
      <c r="E6" s="1563"/>
      <c r="F6" s="1563"/>
      <c r="G6" s="1563"/>
      <c r="H6" s="1563"/>
    </row>
    <row r="7" spans="1:8" ht="15.75">
      <c r="A7" s="1563" t="s">
        <v>3589</v>
      </c>
      <c r="B7" s="1563"/>
      <c r="C7" s="1563"/>
      <c r="D7" s="1563"/>
      <c r="E7" s="1563"/>
      <c r="F7" s="1563"/>
      <c r="G7" s="1563"/>
      <c r="H7" s="1563"/>
    </row>
    <row r="8" spans="1:8">
      <c r="A8" s="1685" t="s">
        <v>3590</v>
      </c>
      <c r="B8" s="1434"/>
      <c r="C8" s="1434"/>
      <c r="D8" s="1434"/>
      <c r="E8" s="1434"/>
      <c r="F8" s="1434"/>
      <c r="G8" s="1434"/>
      <c r="H8" s="1434"/>
    </row>
    <row r="9" spans="1:8">
      <c r="A9" s="560"/>
      <c r="B9" s="1209"/>
      <c r="C9" s="1209"/>
      <c r="D9" s="1209"/>
      <c r="E9" s="1209"/>
      <c r="F9" s="1209"/>
      <c r="G9" s="1209"/>
      <c r="H9" s="1209"/>
    </row>
    <row r="10" spans="1:8">
      <c r="B10" s="1686" t="s">
        <v>3591</v>
      </c>
      <c r="C10" s="1687"/>
      <c r="D10" s="1687"/>
      <c r="E10" s="1688"/>
      <c r="F10" s="1013">
        <v>2017</v>
      </c>
      <c r="G10" s="1013">
        <v>2016</v>
      </c>
      <c r="H10" s="1013">
        <v>2015</v>
      </c>
    </row>
    <row r="11" spans="1:8">
      <c r="B11" s="1697" t="s">
        <v>3592</v>
      </c>
      <c r="C11" s="1698"/>
      <c r="D11" s="1698"/>
      <c r="E11" s="1699"/>
      <c r="F11" s="1229">
        <v>2016</v>
      </c>
      <c r="G11" s="1229">
        <v>2015</v>
      </c>
      <c r="H11" s="1229">
        <v>2014</v>
      </c>
    </row>
    <row r="12" spans="1:8" ht="24.75" customHeight="1">
      <c r="A12" s="1221"/>
      <c r="B12" s="1700" t="s">
        <v>3593</v>
      </c>
      <c r="C12" s="1690"/>
      <c r="D12" s="1690"/>
      <c r="E12" s="1691"/>
      <c r="F12" s="1297"/>
      <c r="G12" s="1297"/>
      <c r="H12" s="1297"/>
    </row>
    <row r="13" spans="1:8" ht="25.5" customHeight="1">
      <c r="B13" s="1689" t="s">
        <v>3594</v>
      </c>
      <c r="C13" s="1690"/>
      <c r="D13" s="1690"/>
      <c r="E13" s="1691"/>
      <c r="F13" s="1298"/>
      <c r="G13" s="1298"/>
      <c r="H13" s="1298"/>
    </row>
    <row r="14" spans="1:8" ht="25.5" customHeight="1">
      <c r="B14" s="1689" t="s">
        <v>3595</v>
      </c>
      <c r="C14" s="1692"/>
      <c r="D14" s="1692"/>
      <c r="E14" s="1693"/>
      <c r="F14" s="1298"/>
      <c r="G14" s="1298"/>
      <c r="H14" s="1298"/>
    </row>
    <row r="15" spans="1:8" ht="25.5" customHeight="1">
      <c r="B15" s="1701" t="s">
        <v>1058</v>
      </c>
      <c r="C15" s="1695"/>
      <c r="D15" s="1695"/>
      <c r="E15" s="1696"/>
      <c r="F15" s="1235">
        <f>F14+F13</f>
        <v>0</v>
      </c>
      <c r="G15" s="1235">
        <f>G14+G13</f>
        <v>0</v>
      </c>
      <c r="H15" s="1235">
        <f>H14+H13</f>
        <v>0</v>
      </c>
    </row>
    <row r="16" spans="1:8">
      <c r="F16" s="254"/>
      <c r="G16" s="254"/>
      <c r="H16" s="254"/>
    </row>
    <row r="17" spans="1:8" ht="24.75" customHeight="1">
      <c r="B17" s="1694" t="s">
        <v>3596</v>
      </c>
      <c r="C17" s="1702"/>
      <c r="D17" s="1702"/>
      <c r="E17" s="1703"/>
      <c r="F17" s="1231"/>
      <c r="G17" s="1231"/>
      <c r="H17" s="1231"/>
    </row>
    <row r="18" spans="1:8" ht="26.25" customHeight="1">
      <c r="B18" s="1689" t="s">
        <v>3597</v>
      </c>
      <c r="C18" s="1690"/>
      <c r="D18" s="1690"/>
      <c r="E18" s="1691"/>
      <c r="F18" s="1232"/>
      <c r="G18" s="1232"/>
      <c r="H18" s="1232"/>
    </row>
    <row r="19" spans="1:8" ht="26.25" customHeight="1">
      <c r="B19" s="1689" t="s">
        <v>3598</v>
      </c>
      <c r="C19" s="1690"/>
      <c r="D19" s="1690"/>
      <c r="E19" s="1691"/>
      <c r="F19" s="1232"/>
      <c r="G19" s="1232"/>
      <c r="H19" s="1232"/>
    </row>
    <row r="21" spans="1:8">
      <c r="B21" s="1675" t="s">
        <v>3599</v>
      </c>
      <c r="C21" s="1675"/>
      <c r="D21" s="1675"/>
      <c r="E21" s="1675"/>
      <c r="F21" s="1675"/>
      <c r="G21" s="1675"/>
      <c r="H21" s="1675"/>
    </row>
    <row r="22" spans="1:8">
      <c r="B22" s="1675" t="s">
        <v>3608</v>
      </c>
      <c r="C22" s="1675"/>
      <c r="D22" s="1675"/>
      <c r="E22" s="1675"/>
      <c r="F22" s="1675"/>
      <c r="G22" s="1675"/>
      <c r="H22" s="1675"/>
    </row>
    <row r="23" spans="1:8">
      <c r="B23" s="1230"/>
    </row>
    <row r="26" spans="1:8" ht="15.75">
      <c r="A26" s="1563" t="str">
        <f>A1</f>
        <v>TOWN OF BROADUS</v>
      </c>
      <c r="B26" s="1563"/>
      <c r="C26" s="1563"/>
      <c r="D26" s="1563"/>
      <c r="E26" s="1563"/>
      <c r="F26" s="1563"/>
      <c r="G26" s="1563"/>
      <c r="H26" s="1563"/>
    </row>
    <row r="27" spans="1:8" ht="15.75">
      <c r="A27" s="1563" t="s">
        <v>3587</v>
      </c>
      <c r="B27" s="1563"/>
      <c r="C27" s="1563"/>
      <c r="D27" s="1563"/>
      <c r="E27" s="1563"/>
      <c r="F27" s="1563"/>
      <c r="G27" s="1563"/>
      <c r="H27" s="1563"/>
    </row>
    <row r="28" spans="1:8" ht="15.75">
      <c r="A28" s="1563" t="s">
        <v>3600</v>
      </c>
      <c r="B28" s="1563"/>
      <c r="C28" s="1563"/>
      <c r="D28" s="1563"/>
      <c r="E28" s="1563"/>
      <c r="F28" s="1563"/>
      <c r="G28" s="1563"/>
      <c r="H28" s="1563"/>
    </row>
    <row r="29" spans="1:8" ht="15.75">
      <c r="A29" s="1563" t="s">
        <v>3589</v>
      </c>
      <c r="B29" s="1563"/>
      <c r="C29" s="1563"/>
      <c r="D29" s="1563"/>
      <c r="E29" s="1563"/>
      <c r="F29" s="1563"/>
      <c r="G29" s="1563"/>
      <c r="H29" s="1563"/>
    </row>
    <row r="30" spans="1:8">
      <c r="A30" s="1685" t="s">
        <v>3601</v>
      </c>
      <c r="B30" s="1434"/>
      <c r="C30" s="1434"/>
      <c r="D30" s="1434"/>
      <c r="E30" s="1434"/>
      <c r="F30" s="1434"/>
      <c r="G30" s="1434"/>
      <c r="H30" s="1434"/>
    </row>
    <row r="32" spans="1:8">
      <c r="B32" s="1686" t="s">
        <v>3602</v>
      </c>
      <c r="C32" s="1687"/>
      <c r="D32" s="1687"/>
      <c r="E32" s="1688"/>
      <c r="F32" s="1013">
        <v>2017</v>
      </c>
      <c r="G32" s="1013">
        <v>2016</v>
      </c>
      <c r="H32" s="1013">
        <v>2015</v>
      </c>
    </row>
    <row r="33" spans="1:8" ht="24.75" customHeight="1">
      <c r="B33" s="1689" t="s">
        <v>3612</v>
      </c>
      <c r="C33" s="1690"/>
      <c r="D33" s="1690"/>
      <c r="E33" s="1691"/>
      <c r="F33" s="1298"/>
      <c r="G33" s="1298"/>
      <c r="H33" s="1298"/>
    </row>
    <row r="34" spans="1:8" ht="26.25" customHeight="1">
      <c r="B34" s="1689" t="s">
        <v>3605</v>
      </c>
      <c r="C34" s="1690"/>
      <c r="D34" s="1690"/>
      <c r="E34" s="1691"/>
      <c r="F34" s="1298"/>
      <c r="G34" s="1298"/>
      <c r="H34" s="1298"/>
    </row>
    <row r="35" spans="1:8" ht="25.5" customHeight="1">
      <c r="B35" s="1689" t="s">
        <v>3606</v>
      </c>
      <c r="C35" s="1692"/>
      <c r="D35" s="1692"/>
      <c r="E35" s="1693"/>
      <c r="F35" s="1298"/>
      <c r="G35" s="1298"/>
      <c r="H35" s="1298"/>
    </row>
    <row r="36" spans="1:8" ht="25.5" customHeight="1">
      <c r="B36" s="1694" t="s">
        <v>3596</v>
      </c>
      <c r="C36" s="1695"/>
      <c r="D36" s="1695"/>
      <c r="E36" s="1696"/>
      <c r="F36" s="1298"/>
      <c r="G36" s="1298"/>
      <c r="H36" s="1298"/>
    </row>
    <row r="37" spans="1:8" ht="24" customHeight="1">
      <c r="B37" s="1694" t="s">
        <v>3607</v>
      </c>
      <c r="C37" s="1681"/>
      <c r="D37" s="1681"/>
      <c r="E37" s="1682"/>
      <c r="F37" s="1300"/>
      <c r="G37" s="1300"/>
      <c r="H37" s="1300"/>
    </row>
    <row r="39" spans="1:8">
      <c r="B39" s="1675" t="s">
        <v>3599</v>
      </c>
      <c r="C39" s="1675"/>
      <c r="D39" s="1675"/>
      <c r="E39" s="1675"/>
      <c r="F39" s="1675"/>
      <c r="G39" s="1675"/>
      <c r="H39" s="1675"/>
    </row>
    <row r="40" spans="1:8">
      <c r="B40" s="1675" t="s">
        <v>3608</v>
      </c>
      <c r="C40" s="1675"/>
      <c r="D40" s="1675"/>
      <c r="E40" s="1675"/>
      <c r="F40" s="1675"/>
      <c r="G40" s="1675"/>
      <c r="H40" s="1675"/>
    </row>
    <row r="41" spans="1:8">
      <c r="B41" s="1230"/>
    </row>
    <row r="45" spans="1:8">
      <c r="A45" s="1676" t="s">
        <v>3283</v>
      </c>
      <c r="B45" s="1433"/>
      <c r="C45" s="1433"/>
      <c r="D45" s="1433"/>
      <c r="E45" s="1433"/>
      <c r="F45" s="1433"/>
      <c r="G45" s="1433"/>
      <c r="H45" s="1433"/>
    </row>
    <row r="48" spans="1:8">
      <c r="A48" s="1433" t="str">
        <f>A1</f>
        <v>TOWN OF BROADUS</v>
      </c>
      <c r="B48" s="1433"/>
      <c r="C48" s="1433"/>
      <c r="D48" s="1433"/>
      <c r="E48" s="1433"/>
      <c r="F48" s="1433"/>
      <c r="G48" s="1433"/>
      <c r="H48" s="1433"/>
    </row>
    <row r="49" spans="1:8">
      <c r="A49" s="1433" t="s">
        <v>3530</v>
      </c>
      <c r="B49" s="1433"/>
      <c r="C49" s="1433"/>
      <c r="D49" s="1433"/>
      <c r="E49" s="1433"/>
      <c r="F49" s="1433"/>
      <c r="G49" s="1433"/>
      <c r="H49" s="1433"/>
    </row>
    <row r="50" spans="1:8">
      <c r="A50" s="1433" t="s">
        <v>3611</v>
      </c>
      <c r="B50" s="1433"/>
      <c r="C50" s="1433"/>
      <c r="D50" s="1433"/>
      <c r="E50" s="1433"/>
      <c r="F50" s="1433"/>
      <c r="G50" s="1433"/>
      <c r="H50" s="1433"/>
    </row>
    <row r="51" spans="1:8">
      <c r="A51" s="1434">
        <v>82</v>
      </c>
      <c r="B51" s="1434"/>
      <c r="C51" s="1434"/>
      <c r="D51" s="1434"/>
      <c r="E51" s="1434"/>
      <c r="F51" s="1434"/>
      <c r="G51" s="1434"/>
      <c r="H51" s="1434"/>
    </row>
    <row r="53" spans="1:8" ht="15">
      <c r="A53" s="592" t="s">
        <v>3532</v>
      </c>
    </row>
    <row r="54" spans="1:8">
      <c r="A54" s="1207" t="s">
        <v>3533</v>
      </c>
    </row>
    <row r="56" spans="1:8">
      <c r="A56" s="19" t="s">
        <v>3545</v>
      </c>
    </row>
    <row r="57" spans="1:8" ht="28.5" customHeight="1">
      <c r="A57" s="1704" t="s">
        <v>3613</v>
      </c>
      <c r="B57" s="1704"/>
      <c r="C57" s="1704"/>
      <c r="D57" s="1704"/>
      <c r="E57" s="1704"/>
      <c r="F57" s="1704"/>
      <c r="G57" s="1704"/>
      <c r="H57" s="1704"/>
    </row>
    <row r="58" spans="1:8" ht="28.5" customHeight="1">
      <c r="A58" s="1234"/>
      <c r="B58" s="1234"/>
      <c r="C58" s="1234"/>
      <c r="D58" s="1234"/>
      <c r="E58" s="1234"/>
      <c r="F58" s="1234"/>
      <c r="G58" s="1234"/>
      <c r="H58" s="1234"/>
    </row>
    <row r="59" spans="1:8">
      <c r="A59" s="787"/>
    </row>
    <row r="61" spans="1:8" ht="15">
      <c r="A61" s="1684" t="s">
        <v>3568</v>
      </c>
      <c r="B61" s="1684"/>
      <c r="C61" s="1684"/>
      <c r="D61" s="1684"/>
      <c r="E61" s="1684"/>
      <c r="F61" s="1684"/>
      <c r="G61" s="1684"/>
      <c r="H61" s="1684"/>
    </row>
    <row r="62" spans="1:8">
      <c r="A62" s="1223"/>
      <c r="B62" s="787"/>
    </row>
    <row r="63" spans="1:8">
      <c r="A63" s="1223" t="s">
        <v>3569</v>
      </c>
      <c r="B63" s="787"/>
    </row>
    <row r="64" spans="1:8">
      <c r="A64" s="1224"/>
      <c r="B64" s="787"/>
    </row>
    <row r="65" spans="1:8" ht="26.25" customHeight="1">
      <c r="A65" s="1683" t="s">
        <v>3570</v>
      </c>
      <c r="B65" s="1683"/>
      <c r="C65" s="1683"/>
      <c r="D65" s="1683"/>
      <c r="E65" s="1683"/>
      <c r="F65" s="1683"/>
      <c r="G65" s="1683"/>
      <c r="H65" s="1683"/>
    </row>
    <row r="66" spans="1:8">
      <c r="A66" s="1224"/>
      <c r="B66" s="787"/>
    </row>
    <row r="67" spans="1:8" ht="18.75" customHeight="1">
      <c r="A67" s="1225"/>
      <c r="B67" s="1677" t="s">
        <v>3571</v>
      </c>
      <c r="C67" s="1678"/>
      <c r="D67" s="1679"/>
      <c r="E67" s="1677">
        <v>1.9E-3</v>
      </c>
      <c r="F67" s="1678"/>
      <c r="G67" s="1679"/>
    </row>
    <row r="68" spans="1:8">
      <c r="A68" s="1224"/>
      <c r="B68" s="787"/>
    </row>
    <row r="69" spans="1:8">
      <c r="A69" s="787" t="s">
        <v>3609</v>
      </c>
      <c r="B69" s="787"/>
    </row>
    <row r="70" spans="1:8">
      <c r="A70" s="1228"/>
      <c r="B70" s="787"/>
    </row>
    <row r="71" spans="1:8">
      <c r="A71" s="1224" t="s">
        <v>3577</v>
      </c>
      <c r="B71" s="787"/>
    </row>
    <row r="72" spans="1:8">
      <c r="A72" s="1226"/>
      <c r="B72" s="787"/>
    </row>
    <row r="73" spans="1:8" ht="21" customHeight="1">
      <c r="A73" s="1227"/>
      <c r="B73" s="1677" t="s">
        <v>3573</v>
      </c>
      <c r="C73" s="1678"/>
      <c r="D73" s="1679"/>
      <c r="E73" s="1680">
        <v>0.04</v>
      </c>
      <c r="F73" s="1681"/>
      <c r="G73" s="1682"/>
    </row>
    <row r="74" spans="1:8" ht="20.85" customHeight="1">
      <c r="A74" s="1227"/>
      <c r="B74" s="1672" t="s">
        <v>3574</v>
      </c>
      <c r="C74" s="1673"/>
      <c r="D74" s="1674"/>
      <c r="E74" s="1680">
        <v>0.03</v>
      </c>
      <c r="F74" s="1681"/>
      <c r="G74" s="1682"/>
    </row>
    <row r="75" spans="1:8" ht="20.85" customHeight="1">
      <c r="A75" s="1227"/>
      <c r="B75" s="1672" t="s">
        <v>3578</v>
      </c>
      <c r="C75" s="1673"/>
      <c r="D75" s="1674"/>
      <c r="E75" s="1672" t="s">
        <v>3579</v>
      </c>
      <c r="F75" s="1673"/>
      <c r="G75" s="1674"/>
    </row>
    <row r="76" spans="1:8" ht="39.75" customHeight="1">
      <c r="A76" s="1227"/>
      <c r="B76" s="1672" t="s">
        <v>3575</v>
      </c>
      <c r="C76" s="1673"/>
      <c r="D76" s="1674"/>
      <c r="E76" s="1672" t="s">
        <v>3576</v>
      </c>
      <c r="F76" s="1673"/>
      <c r="G76" s="1674"/>
    </row>
    <row r="77" spans="1:8" ht="20.85" customHeight="1">
      <c r="A77" s="1227"/>
      <c r="B77" s="1672" t="s">
        <v>3580</v>
      </c>
      <c r="C77" s="1673"/>
      <c r="D77" s="1674"/>
      <c r="E77" s="1672" t="s">
        <v>3581</v>
      </c>
      <c r="F77" s="1673"/>
      <c r="G77" s="1674"/>
    </row>
    <row r="78" spans="1:8" ht="20.85" customHeight="1">
      <c r="A78" s="1227"/>
      <c r="B78" s="1672" t="s">
        <v>3582</v>
      </c>
      <c r="C78" s="1673"/>
      <c r="D78" s="1674"/>
      <c r="E78" s="1672" t="s">
        <v>3583</v>
      </c>
      <c r="F78" s="1673"/>
      <c r="G78" s="1674"/>
    </row>
    <row r="79" spans="1:8" ht="20.85" customHeight="1">
      <c r="A79" s="1227"/>
      <c r="B79" s="1672" t="s">
        <v>3584</v>
      </c>
      <c r="C79" s="1673"/>
      <c r="D79" s="1674"/>
      <c r="E79" s="1672" t="s">
        <v>3585</v>
      </c>
      <c r="F79" s="1673"/>
      <c r="G79" s="1674"/>
    </row>
    <row r="80" spans="1:8">
      <c r="A80" s="1226"/>
      <c r="B80" s="787"/>
    </row>
  </sheetData>
  <mergeCells count="55">
    <mergeCell ref="B15:E15"/>
    <mergeCell ref="A1:H1"/>
    <mergeCell ref="A2:H2"/>
    <mergeCell ref="A4:H4"/>
    <mergeCell ref="A6:H6"/>
    <mergeCell ref="A7:H7"/>
    <mergeCell ref="A8:H8"/>
    <mergeCell ref="A5:H5"/>
    <mergeCell ref="B10:E10"/>
    <mergeCell ref="B11:E11"/>
    <mergeCell ref="B12:E12"/>
    <mergeCell ref="B13:E13"/>
    <mergeCell ref="B14:E14"/>
    <mergeCell ref="B33:E33"/>
    <mergeCell ref="B17:E17"/>
    <mergeCell ref="B18:E18"/>
    <mergeCell ref="B19:E19"/>
    <mergeCell ref="B21:H21"/>
    <mergeCell ref="B22:H22"/>
    <mergeCell ref="A26:H26"/>
    <mergeCell ref="A27:H27"/>
    <mergeCell ref="A28:H28"/>
    <mergeCell ref="A29:H29"/>
    <mergeCell ref="A30:H30"/>
    <mergeCell ref="B32:E32"/>
    <mergeCell ref="B34:E34"/>
    <mergeCell ref="B35:E35"/>
    <mergeCell ref="B36:E36"/>
    <mergeCell ref="B37:E37"/>
    <mergeCell ref="B39:H39"/>
    <mergeCell ref="E74:G74"/>
    <mergeCell ref="A61:H61"/>
    <mergeCell ref="A65:H65"/>
    <mergeCell ref="B40:H40"/>
    <mergeCell ref="A48:H48"/>
    <mergeCell ref="A49:H49"/>
    <mergeCell ref="A50:H50"/>
    <mergeCell ref="A51:H51"/>
    <mergeCell ref="A45:H45"/>
    <mergeCell ref="B78:D78"/>
    <mergeCell ref="E78:G78"/>
    <mergeCell ref="B79:D79"/>
    <mergeCell ref="E79:G79"/>
    <mergeCell ref="A57:H57"/>
    <mergeCell ref="B75:D75"/>
    <mergeCell ref="E75:G75"/>
    <mergeCell ref="B76:D76"/>
    <mergeCell ref="E76:G76"/>
    <mergeCell ref="B77:D77"/>
    <mergeCell ref="E77:G77"/>
    <mergeCell ref="B67:D67"/>
    <mergeCell ref="E67:G67"/>
    <mergeCell ref="B73:D73"/>
    <mergeCell ref="E73:G73"/>
    <mergeCell ref="B74:D74"/>
  </mergeCells>
  <pageMargins left="0.25" right="0.25" top="0.25" bottom="0" header="0" footer="0"/>
  <pageSetup orientation="portrait" r:id="rId1"/>
  <rowBreaks count="1" manualBreakCount="1">
    <brk id="4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82"/>
  <sheetViews>
    <sheetView workbookViewId="0">
      <selection activeCell="F33" sqref="F33:H37"/>
    </sheetView>
  </sheetViews>
  <sheetFormatPr defaultRowHeight="12.75"/>
  <cols>
    <col min="1" max="1" width="7.7109375" style="1207" customWidth="1"/>
    <col min="2" max="4" width="11.28515625" style="1207" customWidth="1"/>
    <col min="5" max="5" width="10.85546875" style="1207" customWidth="1"/>
    <col min="6" max="6" width="15.85546875" style="1207" customWidth="1"/>
    <col min="7" max="7" width="15.28515625" style="1207" customWidth="1"/>
    <col min="8" max="8" width="17" style="1207" customWidth="1"/>
    <col min="9" max="16384" width="9.140625" style="1207"/>
  </cols>
  <sheetData>
    <row r="1" spans="1:8" ht="18">
      <c r="A1" s="1462" t="str">
        <f>'GENERAL FUND-OPERATING(48-53)'!A1</f>
        <v>TOWN OF BROADUS</v>
      </c>
      <c r="B1" s="1462"/>
      <c r="C1" s="1462"/>
      <c r="D1" s="1462"/>
      <c r="E1" s="1462"/>
      <c r="F1" s="1462"/>
      <c r="G1" s="1462"/>
      <c r="H1" s="1462"/>
    </row>
    <row r="2" spans="1:8" ht="18">
      <c r="A2" s="1462" t="str">
        <f>'GENERAL FUND-OPERATING(48-53)'!A5</f>
        <v>FISCAL YEAR ENDING JUNE 30, 2017</v>
      </c>
      <c r="B2" s="1462"/>
      <c r="C2" s="1462"/>
      <c r="D2" s="1462"/>
      <c r="E2" s="1462"/>
      <c r="F2" s="1462"/>
      <c r="G2" s="1462"/>
      <c r="H2" s="1462"/>
    </row>
    <row r="3" spans="1:8">
      <c r="A3" s="1208"/>
      <c r="B3" s="1208"/>
      <c r="C3" s="1208"/>
      <c r="D3" s="1208"/>
      <c r="E3" s="1208"/>
      <c r="F3" s="1208"/>
      <c r="G3" s="1208"/>
      <c r="H3" s="1208"/>
    </row>
    <row r="4" spans="1:8" ht="15.75">
      <c r="A4" s="1563" t="s">
        <v>3614</v>
      </c>
      <c r="B4" s="1563"/>
      <c r="C4" s="1563"/>
      <c r="D4" s="1563"/>
      <c r="E4" s="1563"/>
      <c r="F4" s="1563"/>
      <c r="G4" s="1563"/>
      <c r="H4" s="1563"/>
    </row>
    <row r="5" spans="1:8" ht="15.75">
      <c r="A5" s="1563" t="s">
        <v>3587</v>
      </c>
      <c r="B5" s="1563"/>
      <c r="C5" s="1563"/>
      <c r="D5" s="1563"/>
      <c r="E5" s="1563"/>
      <c r="F5" s="1563"/>
      <c r="G5" s="1563"/>
      <c r="H5" s="1563"/>
    </row>
    <row r="6" spans="1:8" ht="15.75">
      <c r="A6" s="1563" t="s">
        <v>3588</v>
      </c>
      <c r="B6" s="1563"/>
      <c r="C6" s="1563"/>
      <c r="D6" s="1563"/>
      <c r="E6" s="1563"/>
      <c r="F6" s="1563"/>
      <c r="G6" s="1563"/>
      <c r="H6" s="1563"/>
    </row>
    <row r="7" spans="1:8" ht="15.75">
      <c r="A7" s="1563" t="s">
        <v>3589</v>
      </c>
      <c r="B7" s="1563"/>
      <c r="C7" s="1563"/>
      <c r="D7" s="1563"/>
      <c r="E7" s="1563"/>
      <c r="F7" s="1563"/>
      <c r="G7" s="1563"/>
      <c r="H7" s="1563"/>
    </row>
    <row r="8" spans="1:8">
      <c r="A8" s="1685" t="s">
        <v>3590</v>
      </c>
      <c r="B8" s="1434"/>
      <c r="C8" s="1434"/>
      <c r="D8" s="1434"/>
      <c r="E8" s="1434"/>
      <c r="F8" s="1434"/>
      <c r="G8" s="1434"/>
      <c r="H8" s="1434"/>
    </row>
    <row r="9" spans="1:8">
      <c r="A9" s="560"/>
      <c r="B9" s="1209"/>
      <c r="C9" s="1209"/>
      <c r="D9" s="1209"/>
      <c r="E9" s="1209"/>
      <c r="F9" s="1209"/>
      <c r="G9" s="1209"/>
      <c r="H9" s="1209"/>
    </row>
    <row r="10" spans="1:8">
      <c r="B10" s="1686" t="s">
        <v>3591</v>
      </c>
      <c r="C10" s="1687"/>
      <c r="D10" s="1687"/>
      <c r="E10" s="1688"/>
      <c r="F10" s="1013">
        <v>2017</v>
      </c>
      <c r="G10" s="1013">
        <v>2016</v>
      </c>
      <c r="H10" s="1013">
        <v>2015</v>
      </c>
    </row>
    <row r="11" spans="1:8">
      <c r="B11" s="1697" t="s">
        <v>3592</v>
      </c>
      <c r="C11" s="1698"/>
      <c r="D11" s="1698"/>
      <c r="E11" s="1699"/>
      <c r="F11" s="1229">
        <v>2016</v>
      </c>
      <c r="G11" s="1229">
        <v>2015</v>
      </c>
      <c r="H11" s="1229">
        <v>2014</v>
      </c>
    </row>
    <row r="12" spans="1:8" ht="24.75" customHeight="1">
      <c r="A12" s="1221"/>
      <c r="B12" s="1700" t="s">
        <v>3593</v>
      </c>
      <c r="C12" s="1690"/>
      <c r="D12" s="1690"/>
      <c r="E12" s="1691"/>
      <c r="F12" s="1297"/>
      <c r="G12" s="1297"/>
      <c r="H12" s="1297"/>
    </row>
    <row r="13" spans="1:8" ht="25.5" customHeight="1">
      <c r="B13" s="1689" t="s">
        <v>3594</v>
      </c>
      <c r="C13" s="1690"/>
      <c r="D13" s="1690"/>
      <c r="E13" s="1691"/>
      <c r="F13" s="1298"/>
      <c r="G13" s="1298"/>
      <c r="H13" s="1298"/>
    </row>
    <row r="14" spans="1:8" ht="25.5" customHeight="1">
      <c r="B14" s="1689" t="s">
        <v>3595</v>
      </c>
      <c r="C14" s="1692"/>
      <c r="D14" s="1692"/>
      <c r="E14" s="1693"/>
      <c r="F14" s="1298"/>
      <c r="G14" s="1298"/>
      <c r="H14" s="1298"/>
    </row>
    <row r="15" spans="1:8" ht="25.5" customHeight="1">
      <c r="B15" s="1701" t="s">
        <v>1058</v>
      </c>
      <c r="C15" s="1695"/>
      <c r="D15" s="1695"/>
      <c r="E15" s="1696"/>
      <c r="F15" s="1235">
        <f>F14+F13</f>
        <v>0</v>
      </c>
      <c r="G15" s="1235">
        <f>G14+G13</f>
        <v>0</v>
      </c>
      <c r="H15" s="1235">
        <f>H14+H13</f>
        <v>0</v>
      </c>
    </row>
    <row r="16" spans="1:8">
      <c r="F16" s="254"/>
      <c r="G16" s="254"/>
      <c r="H16" s="254"/>
    </row>
    <row r="17" spans="1:8" ht="24.75" customHeight="1">
      <c r="B17" s="1694" t="s">
        <v>3596</v>
      </c>
      <c r="C17" s="1702"/>
      <c r="D17" s="1702"/>
      <c r="E17" s="1703"/>
      <c r="F17" s="1298"/>
      <c r="G17" s="1298"/>
      <c r="H17" s="1298"/>
    </row>
    <row r="18" spans="1:8" ht="26.25" customHeight="1">
      <c r="B18" s="1689" t="s">
        <v>3597</v>
      </c>
      <c r="C18" s="1690"/>
      <c r="D18" s="1690"/>
      <c r="E18" s="1691"/>
      <c r="F18" s="1299"/>
      <c r="G18" s="1299"/>
      <c r="H18" s="1299"/>
    </row>
    <row r="19" spans="1:8" ht="26.25" customHeight="1">
      <c r="B19" s="1689" t="s">
        <v>3598</v>
      </c>
      <c r="C19" s="1690"/>
      <c r="D19" s="1690"/>
      <c r="E19" s="1691"/>
      <c r="F19" s="1299"/>
      <c r="G19" s="1299"/>
      <c r="H19" s="1299"/>
    </row>
    <row r="21" spans="1:8">
      <c r="B21" s="1675" t="s">
        <v>3599</v>
      </c>
      <c r="C21" s="1675"/>
      <c r="D21" s="1675"/>
      <c r="E21" s="1675"/>
      <c r="F21" s="1675"/>
      <c r="G21" s="1675"/>
      <c r="H21" s="1675"/>
    </row>
    <row r="22" spans="1:8">
      <c r="B22" s="1675" t="s">
        <v>3608</v>
      </c>
      <c r="C22" s="1675"/>
      <c r="D22" s="1675"/>
      <c r="E22" s="1675"/>
      <c r="F22" s="1675"/>
      <c r="G22" s="1675"/>
      <c r="H22" s="1675"/>
    </row>
    <row r="23" spans="1:8">
      <c r="B23" s="1230"/>
    </row>
    <row r="26" spans="1:8" ht="15.75">
      <c r="A26" s="1563" t="str">
        <f>A1</f>
        <v>TOWN OF BROADUS</v>
      </c>
      <c r="B26" s="1563"/>
      <c r="C26" s="1563"/>
      <c r="D26" s="1563"/>
      <c r="E26" s="1563"/>
      <c r="F26" s="1563"/>
      <c r="G26" s="1563"/>
      <c r="H26" s="1563"/>
    </row>
    <row r="27" spans="1:8" ht="15.75">
      <c r="A27" s="1563" t="s">
        <v>3587</v>
      </c>
      <c r="B27" s="1563"/>
      <c r="C27" s="1563"/>
      <c r="D27" s="1563"/>
      <c r="E27" s="1563"/>
      <c r="F27" s="1563"/>
      <c r="G27" s="1563"/>
      <c r="H27" s="1563"/>
    </row>
    <row r="28" spans="1:8" ht="15.75">
      <c r="A28" s="1563" t="s">
        <v>3600</v>
      </c>
      <c r="B28" s="1563"/>
      <c r="C28" s="1563"/>
      <c r="D28" s="1563"/>
      <c r="E28" s="1563"/>
      <c r="F28" s="1563"/>
      <c r="G28" s="1563"/>
      <c r="H28" s="1563"/>
    </row>
    <row r="29" spans="1:8" ht="15.75">
      <c r="A29" s="1563" t="s">
        <v>3589</v>
      </c>
      <c r="B29" s="1563"/>
      <c r="C29" s="1563"/>
      <c r="D29" s="1563"/>
      <c r="E29" s="1563"/>
      <c r="F29" s="1563"/>
      <c r="G29" s="1563"/>
      <c r="H29" s="1563"/>
    </row>
    <row r="30" spans="1:8">
      <c r="A30" s="1685" t="s">
        <v>3601</v>
      </c>
      <c r="B30" s="1434"/>
      <c r="C30" s="1434"/>
      <c r="D30" s="1434"/>
      <c r="E30" s="1434"/>
      <c r="F30" s="1434"/>
      <c r="G30" s="1434"/>
      <c r="H30" s="1434"/>
    </row>
    <row r="32" spans="1:8">
      <c r="B32" s="1686" t="s">
        <v>3602</v>
      </c>
      <c r="C32" s="1687"/>
      <c r="D32" s="1687"/>
      <c r="E32" s="1688"/>
      <c r="F32" s="1013">
        <v>2017</v>
      </c>
      <c r="G32" s="1013">
        <v>2016</v>
      </c>
      <c r="H32" s="1013">
        <v>2015</v>
      </c>
    </row>
    <row r="33" spans="1:8" ht="24.75" customHeight="1">
      <c r="B33" s="1689" t="s">
        <v>3612</v>
      </c>
      <c r="C33" s="1690"/>
      <c r="D33" s="1690"/>
      <c r="E33" s="1691"/>
      <c r="F33" s="1298"/>
      <c r="G33" s="1298"/>
      <c r="H33" s="1298"/>
    </row>
    <row r="34" spans="1:8" ht="26.25" customHeight="1">
      <c r="B34" s="1689" t="s">
        <v>3605</v>
      </c>
      <c r="C34" s="1690"/>
      <c r="D34" s="1690"/>
      <c r="E34" s="1691"/>
      <c r="F34" s="1298"/>
      <c r="G34" s="1298"/>
      <c r="H34" s="1298"/>
    </row>
    <row r="35" spans="1:8" ht="25.5" customHeight="1">
      <c r="B35" s="1689" t="s">
        <v>3606</v>
      </c>
      <c r="C35" s="1692"/>
      <c r="D35" s="1692"/>
      <c r="E35" s="1693"/>
      <c r="F35" s="1298"/>
      <c r="G35" s="1298"/>
      <c r="H35" s="1298"/>
    </row>
    <row r="36" spans="1:8" ht="25.5" customHeight="1">
      <c r="B36" s="1694" t="s">
        <v>3596</v>
      </c>
      <c r="C36" s="1695"/>
      <c r="D36" s="1695"/>
      <c r="E36" s="1696"/>
      <c r="F36" s="1298"/>
      <c r="G36" s="1298"/>
      <c r="H36" s="1298"/>
    </row>
    <row r="37" spans="1:8" ht="24" customHeight="1">
      <c r="B37" s="1694" t="s">
        <v>3607</v>
      </c>
      <c r="C37" s="1681"/>
      <c r="D37" s="1681"/>
      <c r="E37" s="1682"/>
      <c r="F37" s="1300"/>
      <c r="G37" s="1300"/>
      <c r="H37" s="1300"/>
    </row>
    <row r="39" spans="1:8">
      <c r="B39" s="1675" t="s">
        <v>3599</v>
      </c>
      <c r="C39" s="1675"/>
      <c r="D39" s="1675"/>
      <c r="E39" s="1675"/>
      <c r="F39" s="1675"/>
      <c r="G39" s="1675"/>
      <c r="H39" s="1675"/>
    </row>
    <row r="40" spans="1:8">
      <c r="B40" s="1675" t="s">
        <v>3608</v>
      </c>
      <c r="C40" s="1675"/>
      <c r="D40" s="1675"/>
      <c r="E40" s="1675"/>
      <c r="F40" s="1675"/>
      <c r="G40" s="1675"/>
      <c r="H40" s="1675"/>
    </row>
    <row r="41" spans="1:8">
      <c r="B41" s="1230"/>
    </row>
    <row r="45" spans="1:8">
      <c r="A45" s="1676" t="s">
        <v>3638</v>
      </c>
      <c r="B45" s="1433"/>
      <c r="C45" s="1433"/>
      <c r="D45" s="1433"/>
      <c r="E45" s="1433"/>
      <c r="F45" s="1433"/>
      <c r="G45" s="1433"/>
      <c r="H45" s="1433"/>
    </row>
    <row r="48" spans="1:8">
      <c r="A48" s="1433" t="str">
        <f>A1</f>
        <v>TOWN OF BROADUS</v>
      </c>
      <c r="B48" s="1433"/>
      <c r="C48" s="1433"/>
      <c r="D48" s="1433"/>
      <c r="E48" s="1433"/>
      <c r="F48" s="1433"/>
      <c r="G48" s="1433"/>
      <c r="H48" s="1433"/>
    </row>
    <row r="49" spans="1:8">
      <c r="A49" s="1433" t="s">
        <v>3530</v>
      </c>
      <c r="B49" s="1433"/>
      <c r="C49" s="1433"/>
      <c r="D49" s="1433"/>
      <c r="E49" s="1433"/>
      <c r="F49" s="1433"/>
      <c r="G49" s="1433"/>
      <c r="H49" s="1433"/>
    </row>
    <row r="50" spans="1:8">
      <c r="A50" s="1433" t="s">
        <v>3611</v>
      </c>
      <c r="B50" s="1433"/>
      <c r="C50" s="1433"/>
      <c r="D50" s="1433"/>
      <c r="E50" s="1433"/>
      <c r="F50" s="1433"/>
      <c r="G50" s="1433"/>
      <c r="H50" s="1433"/>
    </row>
    <row r="51" spans="1:8">
      <c r="A51" s="1434">
        <v>82</v>
      </c>
      <c r="B51" s="1434"/>
      <c r="C51" s="1434"/>
      <c r="D51" s="1434"/>
      <c r="E51" s="1434"/>
      <c r="F51" s="1434"/>
      <c r="G51" s="1434"/>
      <c r="H51" s="1434"/>
    </row>
    <row r="53" spans="1:8" ht="15">
      <c r="A53" s="592" t="s">
        <v>3532</v>
      </c>
    </row>
    <row r="54" spans="1:8">
      <c r="A54" s="1207" t="s">
        <v>3533</v>
      </c>
    </row>
    <row r="56" spans="1:8">
      <c r="A56" s="19" t="s">
        <v>3545</v>
      </c>
    </row>
    <row r="57" spans="1:8" ht="15.75" customHeight="1">
      <c r="A57" s="1623" t="s">
        <v>3586</v>
      </c>
      <c r="B57" s="1704"/>
      <c r="C57" s="1704"/>
      <c r="D57" s="1704"/>
      <c r="E57" s="1704"/>
      <c r="F57" s="1704"/>
      <c r="G57" s="1704"/>
      <c r="H57" s="1704"/>
    </row>
    <row r="58" spans="1:8" ht="24" customHeight="1">
      <c r="A58" s="1322" t="s">
        <v>3615</v>
      </c>
      <c r="B58" s="1322"/>
      <c r="C58" s="1322"/>
      <c r="D58" s="1322"/>
      <c r="E58" s="1322"/>
      <c r="F58" s="1322"/>
      <c r="G58" s="1322"/>
      <c r="H58" s="1322"/>
    </row>
    <row r="59" spans="1:8" ht="14.25" customHeight="1">
      <c r="A59" s="1206"/>
      <c r="B59" s="1206"/>
      <c r="C59" s="1206"/>
      <c r="D59" s="1206"/>
      <c r="E59" s="1206"/>
      <c r="F59" s="1206"/>
      <c r="G59" s="1206"/>
      <c r="H59" s="1206"/>
    </row>
    <row r="60" spans="1:8" ht="27.75" customHeight="1">
      <c r="A60" s="1623" t="s">
        <v>3616</v>
      </c>
      <c r="B60" s="1623"/>
      <c r="C60" s="1623"/>
      <c r="D60" s="1623"/>
      <c r="E60" s="1623"/>
      <c r="F60" s="1623"/>
      <c r="G60" s="1623"/>
      <c r="H60" s="1623"/>
    </row>
    <row r="61" spans="1:8" ht="33" customHeight="1">
      <c r="A61" s="1213"/>
      <c r="B61" s="1213"/>
      <c r="C61" s="1213"/>
      <c r="D61" s="1213"/>
      <c r="E61" s="1213"/>
      <c r="F61" s="1213"/>
      <c r="G61" s="1213"/>
      <c r="H61" s="1213"/>
    </row>
    <row r="63" spans="1:8" ht="15">
      <c r="A63" s="1684" t="s">
        <v>3568</v>
      </c>
      <c r="B63" s="1684"/>
      <c r="C63" s="1684"/>
      <c r="D63" s="1684"/>
      <c r="E63" s="1684"/>
      <c r="F63" s="1684"/>
      <c r="G63" s="1684"/>
      <c r="H63" s="1684"/>
    </row>
    <row r="64" spans="1:8">
      <c r="A64" s="1223"/>
      <c r="B64" s="787"/>
    </row>
    <row r="65" spans="1:8">
      <c r="A65" s="1223" t="s">
        <v>3569</v>
      </c>
      <c r="B65" s="787"/>
    </row>
    <row r="66" spans="1:8">
      <c r="A66" s="1224"/>
      <c r="B66" s="787"/>
    </row>
    <row r="67" spans="1:8" ht="26.25" customHeight="1">
      <c r="A67" s="1683" t="s">
        <v>3570</v>
      </c>
      <c r="B67" s="1683"/>
      <c r="C67" s="1683"/>
      <c r="D67" s="1683"/>
      <c r="E67" s="1683"/>
      <c r="F67" s="1683"/>
      <c r="G67" s="1683"/>
      <c r="H67" s="1683"/>
    </row>
    <row r="68" spans="1:8">
      <c r="A68" s="1224"/>
      <c r="B68" s="787"/>
    </row>
    <row r="69" spans="1:8" ht="18.75" customHeight="1">
      <c r="A69" s="1225"/>
      <c r="B69" s="1677" t="s">
        <v>3571</v>
      </c>
      <c r="C69" s="1678"/>
      <c r="D69" s="1679"/>
      <c r="E69" s="1677">
        <v>2E-3</v>
      </c>
      <c r="F69" s="1678"/>
      <c r="G69" s="1679"/>
    </row>
    <row r="70" spans="1:8">
      <c r="A70" s="1224"/>
      <c r="B70" s="787"/>
    </row>
    <row r="71" spans="1:8">
      <c r="A71" s="787" t="s">
        <v>3609</v>
      </c>
      <c r="B71" s="787"/>
    </row>
    <row r="72" spans="1:8">
      <c r="A72" s="1228"/>
      <c r="B72" s="787"/>
    </row>
    <row r="73" spans="1:8">
      <c r="A73" s="1224" t="s">
        <v>3617</v>
      </c>
      <c r="B73" s="787"/>
    </row>
    <row r="74" spans="1:8">
      <c r="A74" s="1226"/>
      <c r="B74" s="787"/>
    </row>
    <row r="75" spans="1:8" ht="21" customHeight="1">
      <c r="A75" s="1227"/>
      <c r="B75" s="1677" t="s">
        <v>3573</v>
      </c>
      <c r="C75" s="1678"/>
      <c r="D75" s="1679"/>
      <c r="E75" s="1680">
        <v>0.04</v>
      </c>
      <c r="F75" s="1681"/>
      <c r="G75" s="1682"/>
    </row>
    <row r="76" spans="1:8" ht="20.85" customHeight="1">
      <c r="A76" s="1227"/>
      <c r="B76" s="1672" t="s">
        <v>3574</v>
      </c>
      <c r="C76" s="1673"/>
      <c r="D76" s="1674"/>
      <c r="E76" s="1680">
        <v>0.03</v>
      </c>
      <c r="F76" s="1681"/>
      <c r="G76" s="1682"/>
    </row>
    <row r="77" spans="1:8" ht="20.85" customHeight="1">
      <c r="A77" s="1227"/>
      <c r="B77" s="1672" t="s">
        <v>3578</v>
      </c>
      <c r="C77" s="1673"/>
      <c r="D77" s="1674"/>
      <c r="E77" s="1672" t="s">
        <v>3579</v>
      </c>
      <c r="F77" s="1673"/>
      <c r="G77" s="1674"/>
    </row>
    <row r="78" spans="1:8" ht="39.75" customHeight="1">
      <c r="A78" s="1227"/>
      <c r="B78" s="1672" t="s">
        <v>3575</v>
      </c>
      <c r="C78" s="1673"/>
      <c r="D78" s="1674"/>
      <c r="E78" s="1672" t="s">
        <v>3576</v>
      </c>
      <c r="F78" s="1673"/>
      <c r="G78" s="1674"/>
    </row>
    <row r="79" spans="1:8" ht="20.85" customHeight="1">
      <c r="A79" s="1227"/>
      <c r="B79" s="1672" t="s">
        <v>3580</v>
      </c>
      <c r="C79" s="1673"/>
      <c r="D79" s="1674"/>
      <c r="E79" s="1672" t="s">
        <v>3581</v>
      </c>
      <c r="F79" s="1673"/>
      <c r="G79" s="1674"/>
    </row>
    <row r="80" spans="1:8" ht="20.85" customHeight="1">
      <c r="A80" s="1227"/>
      <c r="B80" s="1672" t="s">
        <v>3582</v>
      </c>
      <c r="C80" s="1673"/>
      <c r="D80" s="1674"/>
      <c r="E80" s="1672" t="s">
        <v>3583</v>
      </c>
      <c r="F80" s="1673"/>
      <c r="G80" s="1674"/>
    </row>
    <row r="81" spans="1:7" ht="20.85" customHeight="1">
      <c r="A81" s="1227"/>
      <c r="B81" s="1672" t="s">
        <v>3584</v>
      </c>
      <c r="C81" s="1673"/>
      <c r="D81" s="1674"/>
      <c r="E81" s="1672" t="s">
        <v>3585</v>
      </c>
      <c r="F81" s="1673"/>
      <c r="G81" s="1674"/>
    </row>
    <row r="82" spans="1:7">
      <c r="A82" s="1226"/>
      <c r="B82" s="787"/>
    </row>
  </sheetData>
  <mergeCells count="57">
    <mergeCell ref="A7:H7"/>
    <mergeCell ref="A1:H1"/>
    <mergeCell ref="A2:H2"/>
    <mergeCell ref="A4:H4"/>
    <mergeCell ref="A5:H5"/>
    <mergeCell ref="A6:H6"/>
    <mergeCell ref="B22:H22"/>
    <mergeCell ref="A8:H8"/>
    <mergeCell ref="B10:E10"/>
    <mergeCell ref="B11:E11"/>
    <mergeCell ref="B12:E12"/>
    <mergeCell ref="B13:E13"/>
    <mergeCell ref="B14:E14"/>
    <mergeCell ref="B15:E15"/>
    <mergeCell ref="B17:E17"/>
    <mergeCell ref="B18:E18"/>
    <mergeCell ref="B19:E19"/>
    <mergeCell ref="B21:H21"/>
    <mergeCell ref="B39:H39"/>
    <mergeCell ref="A26:H26"/>
    <mergeCell ref="A27:H27"/>
    <mergeCell ref="A28:H28"/>
    <mergeCell ref="A29:H29"/>
    <mergeCell ref="A30:H30"/>
    <mergeCell ref="B32:E32"/>
    <mergeCell ref="B33:E33"/>
    <mergeCell ref="B34:E34"/>
    <mergeCell ref="B35:E35"/>
    <mergeCell ref="B36:E36"/>
    <mergeCell ref="B37:E37"/>
    <mergeCell ref="B40:H40"/>
    <mergeCell ref="A48:H48"/>
    <mergeCell ref="A49:H49"/>
    <mergeCell ref="A50:H50"/>
    <mergeCell ref="A51:H51"/>
    <mergeCell ref="B80:D80"/>
    <mergeCell ref="E80:G80"/>
    <mergeCell ref="B81:D81"/>
    <mergeCell ref="E81:G81"/>
    <mergeCell ref="B76:D76"/>
    <mergeCell ref="E76:G76"/>
    <mergeCell ref="B77:D77"/>
    <mergeCell ref="E77:G77"/>
    <mergeCell ref="B78:D78"/>
    <mergeCell ref="E78:G78"/>
    <mergeCell ref="A58:H58"/>
    <mergeCell ref="A60:H60"/>
    <mergeCell ref="A45:H45"/>
    <mergeCell ref="B79:D79"/>
    <mergeCell ref="E79:G79"/>
    <mergeCell ref="A63:H63"/>
    <mergeCell ref="A67:H67"/>
    <mergeCell ref="B69:D69"/>
    <mergeCell ref="E69:G69"/>
    <mergeCell ref="B75:D75"/>
    <mergeCell ref="E75:G75"/>
    <mergeCell ref="A57:H57"/>
  </mergeCells>
  <pageMargins left="0.25" right="0.25" top="0.25" bottom="0" header="0" footer="0"/>
  <pageSetup orientation="portrait" r:id="rId1"/>
  <rowBreaks count="1" manualBreakCount="1">
    <brk id="4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89"/>
  <sheetViews>
    <sheetView workbookViewId="0">
      <selection activeCell="A5" sqref="A5:H5"/>
    </sheetView>
  </sheetViews>
  <sheetFormatPr defaultRowHeight="12.75"/>
  <cols>
    <col min="1" max="1" width="7.7109375" style="1207" customWidth="1"/>
    <col min="2" max="4" width="11.28515625" style="1207" customWidth="1"/>
    <col min="5" max="5" width="10.85546875" style="1207" customWidth="1"/>
    <col min="6" max="6" width="15.85546875" style="1207" customWidth="1"/>
    <col min="7" max="7" width="15.28515625" style="1207" customWidth="1"/>
    <col min="8" max="8" width="17" style="1207" customWidth="1"/>
    <col min="9" max="16384" width="9.140625" style="1207"/>
  </cols>
  <sheetData>
    <row r="1" spans="1:8" ht="18">
      <c r="A1" s="1462" t="str">
        <f>'GENERAL FUND-OPERATING(48-53)'!A1</f>
        <v>TOWN OF BROADUS</v>
      </c>
      <c r="B1" s="1462"/>
      <c r="C1" s="1462"/>
      <c r="D1" s="1462"/>
      <c r="E1" s="1462"/>
      <c r="F1" s="1462"/>
      <c r="G1" s="1462"/>
      <c r="H1" s="1462"/>
    </row>
    <row r="2" spans="1:8" ht="18">
      <c r="A2" s="1462" t="str">
        <f>'GENERAL FUND-OPERATING(48-53)'!A5</f>
        <v>FISCAL YEAR ENDING JUNE 30, 2017</v>
      </c>
      <c r="B2" s="1462"/>
      <c r="C2" s="1462"/>
      <c r="D2" s="1462"/>
      <c r="E2" s="1462"/>
      <c r="F2" s="1462"/>
      <c r="G2" s="1462"/>
      <c r="H2" s="1462"/>
    </row>
    <row r="3" spans="1:8">
      <c r="A3" s="1208"/>
      <c r="B3" s="1208"/>
      <c r="C3" s="1208"/>
      <c r="D3" s="1208"/>
      <c r="E3" s="1208"/>
      <c r="F3" s="1208"/>
      <c r="G3" s="1208"/>
      <c r="H3" s="1208"/>
    </row>
    <row r="4" spans="1:8" ht="15.75">
      <c r="A4" s="1563" t="s">
        <v>3622</v>
      </c>
      <c r="B4" s="1563"/>
      <c r="C4" s="1563"/>
      <c r="D4" s="1563"/>
      <c r="E4" s="1563"/>
      <c r="F4" s="1563"/>
      <c r="G4" s="1563"/>
      <c r="H4" s="1563"/>
    </row>
    <row r="5" spans="1:8" ht="15.75">
      <c r="A5" s="1563" t="s">
        <v>3587</v>
      </c>
      <c r="B5" s="1563"/>
      <c r="C5" s="1563"/>
      <c r="D5" s="1563"/>
      <c r="E5" s="1563"/>
      <c r="F5" s="1563"/>
      <c r="G5" s="1563"/>
      <c r="H5" s="1563"/>
    </row>
    <row r="6" spans="1:8" ht="15.75">
      <c r="A6" s="1563" t="s">
        <v>3588</v>
      </c>
      <c r="B6" s="1563"/>
      <c r="C6" s="1563"/>
      <c r="D6" s="1563"/>
      <c r="E6" s="1563"/>
      <c r="F6" s="1563"/>
      <c r="G6" s="1563"/>
      <c r="H6" s="1563"/>
    </row>
    <row r="7" spans="1:8" ht="15.75">
      <c r="A7" s="1563" t="s">
        <v>3589</v>
      </c>
      <c r="B7" s="1563"/>
      <c r="C7" s="1563"/>
      <c r="D7" s="1563"/>
      <c r="E7" s="1563"/>
      <c r="F7" s="1563"/>
      <c r="G7" s="1563"/>
      <c r="H7" s="1563"/>
    </row>
    <row r="8" spans="1:8">
      <c r="A8" s="1721" t="s">
        <v>3707</v>
      </c>
      <c r="B8" s="1722"/>
      <c r="C8" s="1722"/>
      <c r="D8" s="1722"/>
      <c r="E8" s="1722"/>
      <c r="F8" s="1722"/>
      <c r="G8" s="1722"/>
      <c r="H8" s="1722"/>
    </row>
    <row r="9" spans="1:8">
      <c r="A9" s="560"/>
      <c r="B9" s="1209"/>
      <c r="C9" s="1209"/>
      <c r="D9" s="1209"/>
      <c r="E9" s="1209"/>
      <c r="F9" s="1209"/>
      <c r="G9" s="1209"/>
      <c r="H9" s="1209"/>
    </row>
    <row r="10" spans="1:8">
      <c r="B10" s="1686" t="s">
        <v>3591</v>
      </c>
      <c r="C10" s="1687"/>
      <c r="D10" s="1687"/>
      <c r="E10" s="1688"/>
      <c r="F10" s="1013">
        <v>2017</v>
      </c>
      <c r="G10" s="1013">
        <v>2016</v>
      </c>
      <c r="H10" s="1013">
        <v>2015</v>
      </c>
    </row>
    <row r="11" spans="1:8">
      <c r="B11" s="1697" t="s">
        <v>3592</v>
      </c>
      <c r="C11" s="1698"/>
      <c r="D11" s="1698"/>
      <c r="E11" s="1699"/>
      <c r="F11" s="1229">
        <v>2016</v>
      </c>
      <c r="G11" s="1229">
        <v>2015</v>
      </c>
      <c r="H11" s="1229">
        <v>2014</v>
      </c>
    </row>
    <row r="12" spans="1:8" ht="24.75" customHeight="1">
      <c r="A12" s="1221"/>
      <c r="B12" s="1700" t="s">
        <v>3593</v>
      </c>
      <c r="C12" s="1690"/>
      <c r="D12" s="1690"/>
      <c r="E12" s="1691"/>
      <c r="F12" s="1297"/>
      <c r="G12" s="1297"/>
      <c r="H12" s="1297"/>
    </row>
    <row r="13" spans="1:8" ht="25.5" customHeight="1">
      <c r="B13" s="1689" t="s">
        <v>3594</v>
      </c>
      <c r="C13" s="1690"/>
      <c r="D13" s="1690"/>
      <c r="E13" s="1691"/>
      <c r="F13" s="1298"/>
      <c r="G13" s="1298"/>
      <c r="H13" s="1298"/>
    </row>
    <row r="14" spans="1:8" ht="25.5" customHeight="1">
      <c r="B14" s="1701" t="s">
        <v>1058</v>
      </c>
      <c r="C14" s="1695"/>
      <c r="D14" s="1695"/>
      <c r="E14" s="1696"/>
      <c r="F14" s="1235">
        <f>F13</f>
        <v>0</v>
      </c>
      <c r="G14" s="1235">
        <f t="shared" ref="G14:H14" si="0">G13</f>
        <v>0</v>
      </c>
      <c r="H14" s="1235">
        <f t="shared" si="0"/>
        <v>0</v>
      </c>
    </row>
    <row r="15" spans="1:8">
      <c r="F15" s="254"/>
      <c r="G15" s="254"/>
      <c r="H15" s="254"/>
    </row>
    <row r="16" spans="1:8" ht="24.75" customHeight="1">
      <c r="B16" s="1694" t="s">
        <v>3596</v>
      </c>
      <c r="C16" s="1702"/>
      <c r="D16" s="1702"/>
      <c r="E16" s="1703"/>
      <c r="F16" s="1298"/>
      <c r="G16" s="1298"/>
      <c r="H16" s="1298"/>
    </row>
    <row r="17" spans="1:8" ht="31.5" customHeight="1">
      <c r="B17" s="1689" t="s">
        <v>3597</v>
      </c>
      <c r="C17" s="1690"/>
      <c r="D17" s="1690"/>
      <c r="E17" s="1691"/>
      <c r="F17" s="1299"/>
      <c r="G17" s="1299"/>
      <c r="H17" s="1299"/>
    </row>
    <row r="18" spans="1:8" ht="32.25" customHeight="1">
      <c r="B18" s="1689" t="s">
        <v>3598</v>
      </c>
      <c r="C18" s="1690"/>
      <c r="D18" s="1690"/>
      <c r="E18" s="1691"/>
      <c r="F18" s="1299"/>
      <c r="G18" s="1299"/>
      <c r="H18" s="1299"/>
    </row>
    <row r="20" spans="1:8">
      <c r="B20" s="1675" t="s">
        <v>3599</v>
      </c>
      <c r="C20" s="1675"/>
      <c r="D20" s="1675"/>
      <c r="E20" s="1675"/>
      <c r="F20" s="1675"/>
      <c r="G20" s="1675"/>
      <c r="H20" s="1675"/>
    </row>
    <row r="21" spans="1:8">
      <c r="B21" s="1675" t="s">
        <v>3608</v>
      </c>
      <c r="C21" s="1675"/>
      <c r="D21" s="1675"/>
      <c r="E21" s="1675"/>
      <c r="F21" s="1675"/>
      <c r="G21" s="1675"/>
      <c r="H21" s="1675"/>
    </row>
    <row r="22" spans="1:8">
      <c r="B22" s="1230"/>
    </row>
    <row r="25" spans="1:8" ht="15.75">
      <c r="A25" s="1563" t="str">
        <f>A1</f>
        <v>TOWN OF BROADUS</v>
      </c>
      <c r="B25" s="1563"/>
      <c r="C25" s="1563"/>
      <c r="D25" s="1563"/>
      <c r="E25" s="1563"/>
      <c r="F25" s="1563"/>
      <c r="G25" s="1563"/>
      <c r="H25" s="1563"/>
    </row>
    <row r="26" spans="1:8" ht="15.75">
      <c r="A26" s="1563" t="s">
        <v>3587</v>
      </c>
      <c r="B26" s="1563"/>
      <c r="C26" s="1563"/>
      <c r="D26" s="1563"/>
      <c r="E26" s="1563"/>
      <c r="F26" s="1563"/>
      <c r="G26" s="1563"/>
      <c r="H26" s="1563"/>
    </row>
    <row r="27" spans="1:8" ht="15.75">
      <c r="A27" s="1563" t="s">
        <v>3600</v>
      </c>
      <c r="B27" s="1563"/>
      <c r="C27" s="1563"/>
      <c r="D27" s="1563"/>
      <c r="E27" s="1563"/>
      <c r="F27" s="1563"/>
      <c r="G27" s="1563"/>
      <c r="H27" s="1563"/>
    </row>
    <row r="28" spans="1:8" ht="15.75">
      <c r="A28" s="1563" t="s">
        <v>3589</v>
      </c>
      <c r="B28" s="1563"/>
      <c r="C28" s="1563"/>
      <c r="D28" s="1563"/>
      <c r="E28" s="1563"/>
      <c r="F28" s="1563"/>
      <c r="G28" s="1563"/>
      <c r="H28" s="1563"/>
    </row>
    <row r="29" spans="1:8">
      <c r="A29" s="1685" t="s">
        <v>3601</v>
      </c>
      <c r="B29" s="1434"/>
      <c r="C29" s="1434"/>
      <c r="D29" s="1434"/>
      <c r="E29" s="1434"/>
      <c r="F29" s="1434"/>
      <c r="G29" s="1434"/>
      <c r="H29" s="1434"/>
    </row>
    <row r="31" spans="1:8">
      <c r="B31" s="1686" t="s">
        <v>3602</v>
      </c>
      <c r="C31" s="1687"/>
      <c r="D31" s="1687"/>
      <c r="E31" s="1688"/>
      <c r="F31" s="1013">
        <v>2017</v>
      </c>
      <c r="G31" s="1013">
        <v>2016</v>
      </c>
      <c r="H31" s="1013">
        <v>2015</v>
      </c>
    </row>
    <row r="32" spans="1:8" ht="24.75" customHeight="1">
      <c r="B32" s="1689" t="s">
        <v>3612</v>
      </c>
      <c r="C32" s="1690"/>
      <c r="D32" s="1690"/>
      <c r="E32" s="1691"/>
      <c r="F32" s="1231"/>
      <c r="G32" s="1231"/>
      <c r="H32" s="1231"/>
    </row>
    <row r="33" spans="1:8" ht="26.25" customHeight="1">
      <c r="B33" s="1689" t="s">
        <v>3605</v>
      </c>
      <c r="C33" s="1690"/>
      <c r="D33" s="1690"/>
      <c r="E33" s="1691"/>
      <c r="F33" s="1231"/>
      <c r="G33" s="1231"/>
      <c r="H33" s="1231"/>
    </row>
    <row r="34" spans="1:8" ht="25.5" customHeight="1">
      <c r="B34" s="1689" t="s">
        <v>3606</v>
      </c>
      <c r="C34" s="1692"/>
      <c r="D34" s="1692"/>
      <c r="E34" s="1693"/>
      <c r="F34" s="1231"/>
      <c r="G34" s="1231"/>
      <c r="H34" s="1231"/>
    </row>
    <row r="35" spans="1:8" ht="25.5" customHeight="1">
      <c r="B35" s="1694" t="s">
        <v>3596</v>
      </c>
      <c r="C35" s="1695"/>
      <c r="D35" s="1695"/>
      <c r="E35" s="1696"/>
      <c r="F35" s="1231"/>
      <c r="G35" s="1231"/>
      <c r="H35" s="1231"/>
    </row>
    <row r="36" spans="1:8" ht="24" customHeight="1">
      <c r="B36" s="1694" t="s">
        <v>3607</v>
      </c>
      <c r="C36" s="1681"/>
      <c r="D36" s="1681"/>
      <c r="E36" s="1682"/>
      <c r="F36" s="1233"/>
      <c r="G36" s="1233"/>
      <c r="H36" s="1233"/>
    </row>
    <row r="38" spans="1:8">
      <c r="B38" s="1675" t="s">
        <v>3599</v>
      </c>
      <c r="C38" s="1675"/>
      <c r="D38" s="1675"/>
      <c r="E38" s="1675"/>
      <c r="F38" s="1675"/>
      <c r="G38" s="1675"/>
      <c r="H38" s="1675"/>
    </row>
    <row r="39" spans="1:8">
      <c r="B39" s="1675" t="s">
        <v>3608</v>
      </c>
      <c r="C39" s="1675"/>
      <c r="D39" s="1675"/>
      <c r="E39" s="1675"/>
      <c r="F39" s="1675"/>
      <c r="G39" s="1675"/>
      <c r="H39" s="1675"/>
    </row>
    <row r="40" spans="1:8">
      <c r="B40" s="1230"/>
    </row>
    <row r="44" spans="1:8">
      <c r="A44" s="1676" t="s">
        <v>3637</v>
      </c>
      <c r="B44" s="1433"/>
      <c r="C44" s="1433"/>
      <c r="D44" s="1433"/>
      <c r="E44" s="1433"/>
      <c r="F44" s="1433"/>
      <c r="G44" s="1433"/>
      <c r="H44" s="1433"/>
    </row>
    <row r="47" spans="1:8">
      <c r="A47" s="1719" t="str">
        <f>A4</f>
        <v>Sheriffs' Retirement System (SRS)</v>
      </c>
      <c r="B47" s="1719"/>
      <c r="C47" s="1719"/>
      <c r="D47" s="1719"/>
      <c r="E47" s="1719"/>
      <c r="F47" s="1719"/>
      <c r="G47" s="1719"/>
      <c r="H47" s="1719"/>
    </row>
    <row r="48" spans="1:8">
      <c r="A48" s="1719" t="s">
        <v>3530</v>
      </c>
      <c r="B48" s="1719"/>
      <c r="C48" s="1719"/>
      <c r="D48" s="1719"/>
      <c r="E48" s="1719"/>
      <c r="F48" s="1719"/>
      <c r="G48" s="1719"/>
      <c r="H48" s="1719"/>
    </row>
    <row r="49" spans="1:8">
      <c r="A49" s="1719" t="s">
        <v>3531</v>
      </c>
      <c r="B49" s="1719"/>
      <c r="C49" s="1719"/>
      <c r="D49" s="1719"/>
      <c r="E49" s="1719"/>
      <c r="F49" s="1719"/>
      <c r="G49" s="1719"/>
      <c r="H49" s="1719"/>
    </row>
    <row r="50" spans="1:8">
      <c r="A50" s="1720">
        <v>82</v>
      </c>
      <c r="B50" s="1720"/>
      <c r="C50" s="1720"/>
      <c r="D50" s="1720"/>
      <c r="E50" s="1720"/>
      <c r="F50" s="1720"/>
      <c r="G50" s="1720"/>
      <c r="H50" s="1720"/>
    </row>
    <row r="51" spans="1:8">
      <c r="A51" s="1211"/>
      <c r="B51" s="1211"/>
      <c r="C51" s="1211"/>
      <c r="D51" s="1211"/>
      <c r="E51" s="1211"/>
      <c r="F51" s="1211"/>
      <c r="G51" s="1211"/>
      <c r="H51" s="1211"/>
    </row>
    <row r="52" spans="1:8" ht="15">
      <c r="A52" s="1128" t="s">
        <v>3532</v>
      </c>
      <c r="B52" s="1211"/>
      <c r="C52" s="1211"/>
      <c r="D52" s="1211"/>
      <c r="E52" s="1211"/>
      <c r="F52" s="1211"/>
      <c r="G52" s="1211"/>
      <c r="H52" s="1211"/>
    </row>
    <row r="53" spans="1:8">
      <c r="A53" s="1211" t="s">
        <v>3533</v>
      </c>
      <c r="B53" s="1211"/>
      <c r="C53" s="1211"/>
      <c r="D53" s="1211"/>
      <c r="E53" s="1211"/>
      <c r="F53" s="1211"/>
      <c r="G53" s="1211"/>
      <c r="H53" s="1211"/>
    </row>
    <row r="54" spans="1:8">
      <c r="A54" s="1211"/>
      <c r="B54" s="1211"/>
      <c r="C54" s="1211"/>
      <c r="D54" s="1211"/>
      <c r="E54" s="1211"/>
      <c r="F54" s="1211"/>
      <c r="G54" s="1211"/>
      <c r="H54" s="1211"/>
    </row>
    <row r="55" spans="1:8">
      <c r="A55" s="907" t="s">
        <v>3618</v>
      </c>
      <c r="B55" s="1211"/>
      <c r="C55" s="1211"/>
      <c r="D55" s="1211"/>
      <c r="E55" s="1211"/>
      <c r="F55" s="1211"/>
      <c r="G55" s="1211"/>
      <c r="H55" s="1211"/>
    </row>
    <row r="56" spans="1:8">
      <c r="A56" s="907"/>
      <c r="B56" s="1211"/>
      <c r="C56" s="1211"/>
      <c r="D56" s="1211"/>
      <c r="E56" s="1211"/>
      <c r="F56" s="1211"/>
      <c r="G56" s="1211"/>
      <c r="H56" s="1211"/>
    </row>
    <row r="57" spans="1:8">
      <c r="A57" s="1211"/>
      <c r="B57" s="1211"/>
      <c r="C57" s="1211"/>
      <c r="D57" s="1211"/>
      <c r="E57" s="1211"/>
      <c r="F57" s="1211"/>
      <c r="G57" s="1211"/>
      <c r="H57" s="1211"/>
    </row>
    <row r="58" spans="1:8" ht="15">
      <c r="A58" s="1717" t="s">
        <v>3568</v>
      </c>
      <c r="B58" s="1717"/>
      <c r="C58" s="1717"/>
      <c r="D58" s="1717"/>
      <c r="E58" s="1717"/>
      <c r="F58" s="1717"/>
      <c r="G58" s="1717"/>
      <c r="H58" s="1717"/>
    </row>
    <row r="59" spans="1:8" ht="21" customHeight="1">
      <c r="A59" s="1236"/>
      <c r="B59" s="933"/>
      <c r="C59" s="1211"/>
      <c r="D59" s="1211"/>
      <c r="E59" s="1211"/>
      <c r="F59" s="1211"/>
      <c r="G59" s="1211"/>
      <c r="H59" s="1211"/>
    </row>
    <row r="60" spans="1:8" ht="20.85" customHeight="1">
      <c r="A60" s="1236" t="s">
        <v>3569</v>
      </c>
      <c r="B60" s="933"/>
      <c r="C60" s="1211"/>
      <c r="D60" s="1211"/>
      <c r="E60" s="1211"/>
      <c r="F60" s="1211"/>
      <c r="G60" s="1211"/>
      <c r="H60" s="1211"/>
    </row>
    <row r="61" spans="1:8" ht="12" customHeight="1">
      <c r="A61" s="1236"/>
      <c r="B61" s="933"/>
      <c r="C61" s="1211"/>
      <c r="D61" s="1211"/>
      <c r="E61" s="1211"/>
      <c r="F61" s="1211"/>
      <c r="G61" s="1211"/>
      <c r="H61" s="1211"/>
    </row>
    <row r="62" spans="1:8" ht="25.5" customHeight="1">
      <c r="A62" s="887" t="s">
        <v>3623</v>
      </c>
      <c r="B62" s="933"/>
      <c r="C62" s="1211"/>
      <c r="D62" s="1211"/>
      <c r="E62" s="1211"/>
      <c r="F62" s="1211"/>
      <c r="G62" s="1211"/>
      <c r="H62" s="1211"/>
    </row>
    <row r="63" spans="1:8" ht="7.5" customHeight="1">
      <c r="A63" s="1236"/>
      <c r="B63" s="933"/>
      <c r="C63" s="1211"/>
      <c r="D63" s="1211"/>
      <c r="E63" s="1211"/>
      <c r="F63" s="1211"/>
      <c r="G63" s="1211"/>
      <c r="H63" s="1211"/>
    </row>
    <row r="64" spans="1:8" ht="42" customHeight="1">
      <c r="A64" s="1236"/>
      <c r="B64" s="1705" t="s">
        <v>3620</v>
      </c>
      <c r="C64" s="1706"/>
      <c r="D64" s="1707"/>
      <c r="E64" s="1705" t="s">
        <v>3624</v>
      </c>
      <c r="F64" s="1706"/>
      <c r="G64" s="1706"/>
      <c r="H64" s="1707"/>
    </row>
    <row r="65" spans="1:8" ht="15.75" customHeight="1">
      <c r="A65" s="1238"/>
      <c r="B65" s="933"/>
      <c r="C65" s="1211"/>
      <c r="D65" s="1211"/>
      <c r="E65" s="1211"/>
      <c r="F65" s="1211"/>
      <c r="G65" s="1211"/>
      <c r="H65" s="1211"/>
    </row>
    <row r="66" spans="1:8" ht="25.5" customHeight="1">
      <c r="A66" s="1242" t="s">
        <v>3619</v>
      </c>
      <c r="B66" s="933"/>
      <c r="C66" s="1211"/>
      <c r="D66" s="1211"/>
      <c r="E66" s="1211"/>
      <c r="F66" s="1211"/>
      <c r="G66" s="1211"/>
      <c r="H66" s="1211"/>
    </row>
    <row r="67" spans="1:8" ht="44.25" customHeight="1">
      <c r="A67" s="1238"/>
      <c r="B67" s="1705" t="s">
        <v>3620</v>
      </c>
      <c r="C67" s="1706"/>
      <c r="D67" s="1707"/>
      <c r="E67" s="1705" t="s">
        <v>3625</v>
      </c>
      <c r="F67" s="1706"/>
      <c r="G67" s="1706"/>
      <c r="H67" s="1707"/>
    </row>
    <row r="68" spans="1:8" ht="15.75" customHeight="1">
      <c r="A68" s="1238"/>
      <c r="B68" s="933"/>
      <c r="C68" s="1211"/>
      <c r="D68" s="1211"/>
      <c r="E68" s="1211"/>
      <c r="F68" s="1211"/>
      <c r="G68" s="1211"/>
      <c r="H68" s="1211"/>
    </row>
    <row r="69" spans="1:8" ht="26.25" customHeight="1">
      <c r="A69" s="1718" t="s">
        <v>3626</v>
      </c>
      <c r="B69" s="1718"/>
      <c r="C69" s="1718"/>
      <c r="D69" s="1718"/>
      <c r="E69" s="1718"/>
      <c r="F69" s="1718"/>
      <c r="G69" s="1718"/>
      <c r="H69" s="1718"/>
    </row>
    <row r="70" spans="1:8">
      <c r="A70" s="1238"/>
      <c r="B70" s="933"/>
      <c r="C70" s="1211"/>
      <c r="D70" s="1211"/>
      <c r="E70" s="1211"/>
      <c r="F70" s="1211"/>
      <c r="G70" s="1211"/>
      <c r="H70" s="1211"/>
    </row>
    <row r="71" spans="1:8" ht="18.75" customHeight="1">
      <c r="A71" s="1239"/>
      <c r="B71" s="1711" t="s">
        <v>3571</v>
      </c>
      <c r="C71" s="1712"/>
      <c r="D71" s="1713"/>
      <c r="E71" s="1714">
        <v>1.6999999999999999E-3</v>
      </c>
      <c r="F71" s="1715"/>
      <c r="G71" s="1715"/>
      <c r="H71" s="1716"/>
    </row>
    <row r="72" spans="1:8" ht="34.5" customHeight="1">
      <c r="A72" s="1239"/>
      <c r="B72" s="1711" t="s">
        <v>3620</v>
      </c>
      <c r="C72" s="1712"/>
      <c r="D72" s="1713"/>
      <c r="E72" s="1714" t="s">
        <v>3627</v>
      </c>
      <c r="F72" s="1715"/>
      <c r="G72" s="1715"/>
      <c r="H72" s="1716"/>
    </row>
    <row r="73" spans="1:8">
      <c r="A73" s="1238"/>
      <c r="B73" s="933"/>
      <c r="C73" s="1211"/>
      <c r="D73" s="1211"/>
      <c r="E73" s="1211"/>
      <c r="F73" s="1211"/>
      <c r="G73" s="1211"/>
      <c r="H73" s="1211"/>
    </row>
    <row r="74" spans="1:8">
      <c r="A74" s="1238" t="s">
        <v>3621</v>
      </c>
      <c r="B74" s="933"/>
      <c r="C74" s="1211"/>
      <c r="D74" s="1211"/>
      <c r="E74" s="1211"/>
      <c r="F74" s="1211"/>
      <c r="G74" s="1211"/>
      <c r="H74" s="1211"/>
    </row>
    <row r="75" spans="1:8">
      <c r="A75" s="1238"/>
      <c r="B75" s="933"/>
      <c r="C75" s="1211"/>
      <c r="D75" s="1211"/>
      <c r="E75" s="1211"/>
      <c r="F75" s="1211"/>
      <c r="G75" s="1211"/>
      <c r="H75" s="1211"/>
    </row>
    <row r="76" spans="1:8" ht="45" customHeight="1">
      <c r="A76" s="1238"/>
      <c r="B76" s="1711" t="s">
        <v>3620</v>
      </c>
      <c r="C76" s="1712"/>
      <c r="D76" s="1713"/>
      <c r="E76" s="1705" t="s">
        <v>3628</v>
      </c>
      <c r="F76" s="1706"/>
      <c r="G76" s="1706"/>
      <c r="H76" s="1707"/>
    </row>
    <row r="77" spans="1:8">
      <c r="A77" s="1238"/>
      <c r="B77" s="933"/>
      <c r="C77" s="1211"/>
      <c r="D77" s="1211"/>
      <c r="E77" s="1211"/>
      <c r="F77" s="1211"/>
      <c r="G77" s="1211"/>
      <c r="H77" s="1211"/>
    </row>
    <row r="78" spans="1:8">
      <c r="A78" s="1238"/>
      <c r="B78" s="933"/>
      <c r="C78" s="1211"/>
      <c r="D78" s="1211"/>
      <c r="E78" s="1211"/>
      <c r="F78" s="1211"/>
      <c r="G78" s="1211"/>
      <c r="H78" s="1211"/>
    </row>
    <row r="79" spans="1:8">
      <c r="A79" s="1238" t="s">
        <v>3609</v>
      </c>
      <c r="B79" s="933"/>
      <c r="C79" s="1211"/>
      <c r="D79" s="1211"/>
      <c r="E79" s="1211"/>
      <c r="F79" s="1211"/>
      <c r="G79" s="1211"/>
      <c r="H79" s="1211"/>
    </row>
    <row r="80" spans="1:8">
      <c r="A80" s="1241"/>
      <c r="B80" s="933"/>
      <c r="C80" s="1211"/>
      <c r="D80" s="1211"/>
      <c r="E80" s="1211"/>
      <c r="F80" s="1211"/>
      <c r="G80" s="1211"/>
      <c r="H80" s="1211"/>
    </row>
    <row r="81" spans="1:8">
      <c r="A81" s="1238" t="s">
        <v>3577</v>
      </c>
      <c r="B81" s="933"/>
      <c r="C81" s="1211"/>
      <c r="D81" s="1211"/>
      <c r="E81" s="1211"/>
      <c r="F81" s="1211"/>
      <c r="G81" s="1211"/>
      <c r="H81" s="1211"/>
    </row>
    <row r="82" spans="1:8">
      <c r="A82" s="1237"/>
      <c r="B82" s="933"/>
      <c r="C82" s="1211"/>
      <c r="D82" s="1211"/>
      <c r="E82" s="1211"/>
      <c r="F82" s="1211"/>
      <c r="G82" s="1211"/>
      <c r="H82" s="1211"/>
    </row>
    <row r="83" spans="1:8">
      <c r="A83" s="1240"/>
      <c r="B83" s="1711" t="s">
        <v>3573</v>
      </c>
      <c r="C83" s="1712"/>
      <c r="D83" s="1713"/>
      <c r="E83" s="1708">
        <v>0.04</v>
      </c>
      <c r="F83" s="1709"/>
      <c r="G83" s="1709"/>
      <c r="H83" s="1710"/>
    </row>
    <row r="84" spans="1:8" ht="15" customHeight="1">
      <c r="A84" s="1240"/>
      <c r="B84" s="1705" t="s">
        <v>3574</v>
      </c>
      <c r="C84" s="1706"/>
      <c r="D84" s="1707"/>
      <c r="E84" s="1708">
        <v>0.03</v>
      </c>
      <c r="F84" s="1709"/>
      <c r="G84" s="1709"/>
      <c r="H84" s="1710"/>
    </row>
    <row r="85" spans="1:8" ht="15" customHeight="1">
      <c r="A85" s="1240"/>
      <c r="B85" s="1705" t="s">
        <v>3578</v>
      </c>
      <c r="C85" s="1706"/>
      <c r="D85" s="1707"/>
      <c r="E85" s="1705" t="s">
        <v>3579</v>
      </c>
      <c r="F85" s="1706"/>
      <c r="G85" s="1706"/>
      <c r="H85" s="1707"/>
    </row>
    <row r="86" spans="1:8" ht="25.5" customHeight="1">
      <c r="A86" s="1240"/>
      <c r="B86" s="1705" t="s">
        <v>3575</v>
      </c>
      <c r="C86" s="1706"/>
      <c r="D86" s="1707"/>
      <c r="E86" s="1705" t="s">
        <v>3576</v>
      </c>
      <c r="F86" s="1706"/>
      <c r="G86" s="1706"/>
      <c r="H86" s="1707"/>
    </row>
    <row r="87" spans="1:8" ht="15" customHeight="1">
      <c r="A87" s="1240"/>
      <c r="B87" s="1705" t="s">
        <v>3580</v>
      </c>
      <c r="C87" s="1706"/>
      <c r="D87" s="1707"/>
      <c r="E87" s="1705" t="s">
        <v>3581</v>
      </c>
      <c r="F87" s="1706"/>
      <c r="G87" s="1706"/>
      <c r="H87" s="1707"/>
    </row>
    <row r="88" spans="1:8" ht="15" customHeight="1">
      <c r="A88" s="1240"/>
      <c r="B88" s="1705" t="s">
        <v>3582</v>
      </c>
      <c r="C88" s="1706"/>
      <c r="D88" s="1707"/>
      <c r="E88" s="1705" t="s">
        <v>3583</v>
      </c>
      <c r="F88" s="1706"/>
      <c r="G88" s="1706"/>
      <c r="H88" s="1707"/>
    </row>
    <row r="89" spans="1:8" ht="15" customHeight="1">
      <c r="A89" s="1240"/>
      <c r="B89" s="1705" t="s">
        <v>3584</v>
      </c>
      <c r="C89" s="1706"/>
      <c r="D89" s="1707"/>
      <c r="E89" s="1705" t="s">
        <v>3585</v>
      </c>
      <c r="F89" s="1706"/>
      <c r="G89" s="1706"/>
      <c r="H89" s="1707"/>
    </row>
  </sheetData>
  <mergeCells count="61">
    <mergeCell ref="A7:H7"/>
    <mergeCell ref="A1:H1"/>
    <mergeCell ref="A2:H2"/>
    <mergeCell ref="A4:H4"/>
    <mergeCell ref="A5:H5"/>
    <mergeCell ref="A6:H6"/>
    <mergeCell ref="B21:H21"/>
    <mergeCell ref="A8:H8"/>
    <mergeCell ref="B10:E10"/>
    <mergeCell ref="B11:E11"/>
    <mergeCell ref="B12:E12"/>
    <mergeCell ref="B13:E13"/>
    <mergeCell ref="B14:E14"/>
    <mergeCell ref="B16:E16"/>
    <mergeCell ref="B17:E17"/>
    <mergeCell ref="B18:E18"/>
    <mergeCell ref="B20:H20"/>
    <mergeCell ref="B38:H38"/>
    <mergeCell ref="A25:H25"/>
    <mergeCell ref="A26:H26"/>
    <mergeCell ref="A27:H27"/>
    <mergeCell ref="A28:H28"/>
    <mergeCell ref="A29:H29"/>
    <mergeCell ref="B31:E31"/>
    <mergeCell ref="B32:E32"/>
    <mergeCell ref="B33:E33"/>
    <mergeCell ref="B34:E34"/>
    <mergeCell ref="B35:E35"/>
    <mergeCell ref="B36:E36"/>
    <mergeCell ref="B39:H39"/>
    <mergeCell ref="A47:H47"/>
    <mergeCell ref="A48:H48"/>
    <mergeCell ref="A49:H49"/>
    <mergeCell ref="A50:H50"/>
    <mergeCell ref="A44:H44"/>
    <mergeCell ref="A58:H58"/>
    <mergeCell ref="A69:H69"/>
    <mergeCell ref="B71:D71"/>
    <mergeCell ref="E64:H64"/>
    <mergeCell ref="B67:D67"/>
    <mergeCell ref="E67:H67"/>
    <mergeCell ref="B64:D64"/>
    <mergeCell ref="E71:H71"/>
    <mergeCell ref="B83:D83"/>
    <mergeCell ref="E83:H83"/>
    <mergeCell ref="B72:D72"/>
    <mergeCell ref="B76:D76"/>
    <mergeCell ref="E72:H72"/>
    <mergeCell ref="E76:H76"/>
    <mergeCell ref="B84:D84"/>
    <mergeCell ref="B85:D85"/>
    <mergeCell ref="B86:D86"/>
    <mergeCell ref="E84:H84"/>
    <mergeCell ref="E85:H85"/>
    <mergeCell ref="E86:H86"/>
    <mergeCell ref="B87:D87"/>
    <mergeCell ref="B88:D88"/>
    <mergeCell ref="B89:D89"/>
    <mergeCell ref="E87:H87"/>
    <mergeCell ref="E88:H88"/>
    <mergeCell ref="E89:H89"/>
  </mergeCells>
  <pageMargins left="0.25" right="0.25" top="0.25" bottom="0" header="0" footer="0"/>
  <pageSetup orientation="portrait" r:id="rId1"/>
  <rowBreaks count="1" manualBreakCount="1">
    <brk id="45"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20"/>
  <sheetViews>
    <sheetView workbookViewId="0">
      <selection activeCell="D14" sqref="D14"/>
    </sheetView>
  </sheetViews>
  <sheetFormatPr defaultRowHeight="12.75"/>
  <cols>
    <col min="1" max="1" width="7.7109375" style="1207" customWidth="1"/>
    <col min="2" max="4" width="11.28515625" style="1207" customWidth="1"/>
    <col min="5" max="5" width="10.85546875" style="1207" customWidth="1"/>
    <col min="6" max="6" width="15.85546875" style="1207" customWidth="1"/>
    <col min="7" max="7" width="15.28515625" style="1207" customWidth="1"/>
    <col min="8" max="8" width="17" style="1207" customWidth="1"/>
    <col min="9" max="16384" width="9.140625" style="1207"/>
  </cols>
  <sheetData>
    <row r="1" spans="1:8" ht="18">
      <c r="A1" s="1462" t="str">
        <f>'GENERAL FUND-OPERATING(48-53)'!A1</f>
        <v>TOWN OF BROADUS</v>
      </c>
      <c r="B1" s="1462"/>
      <c r="C1" s="1462"/>
      <c r="D1" s="1462"/>
      <c r="E1" s="1462"/>
      <c r="F1" s="1462"/>
      <c r="G1" s="1462"/>
      <c r="H1" s="1462"/>
    </row>
    <row r="2" spans="1:8" ht="18">
      <c r="A2" s="1462" t="str">
        <f>'GENERAL FUND-OPERATING(48-53)'!A5</f>
        <v>FISCAL YEAR ENDING JUNE 30, 2017</v>
      </c>
      <c r="B2" s="1462"/>
      <c r="C2" s="1462"/>
      <c r="D2" s="1462"/>
      <c r="E2" s="1462"/>
      <c r="F2" s="1462"/>
      <c r="G2" s="1462"/>
      <c r="H2" s="1462"/>
    </row>
    <row r="3" spans="1:8" ht="18">
      <c r="A3" s="1210"/>
      <c r="B3" s="1210"/>
      <c r="C3" s="1210"/>
      <c r="D3" s="1210"/>
      <c r="E3" s="1210"/>
      <c r="F3" s="1210"/>
      <c r="G3" s="1210"/>
      <c r="H3" s="1210"/>
    </row>
    <row r="4" spans="1:8" ht="15.75">
      <c r="A4" s="1563" t="s">
        <v>3629</v>
      </c>
      <c r="B4" s="1563"/>
      <c r="C4" s="1563"/>
      <c r="D4" s="1563"/>
      <c r="E4" s="1563"/>
      <c r="F4" s="1563"/>
      <c r="G4" s="1563"/>
      <c r="H4" s="1563"/>
    </row>
    <row r="5" spans="1:8" ht="15.75">
      <c r="A5" s="1563" t="s">
        <v>3630</v>
      </c>
      <c r="B5" s="1563"/>
      <c r="C5" s="1563"/>
      <c r="D5" s="1563"/>
      <c r="E5" s="1563"/>
      <c r="F5" s="1563"/>
      <c r="G5" s="1563"/>
      <c r="H5" s="1563"/>
    </row>
    <row r="6" spans="1:8" ht="15.75">
      <c r="A6" s="1563" t="s">
        <v>3588</v>
      </c>
      <c r="B6" s="1563"/>
      <c r="C6" s="1563"/>
      <c r="D6" s="1563"/>
      <c r="E6" s="1563"/>
      <c r="F6" s="1563"/>
      <c r="G6" s="1563"/>
      <c r="H6" s="1563"/>
    </row>
    <row r="7" spans="1:8" ht="15.75">
      <c r="A7" s="1563" t="s">
        <v>3589</v>
      </c>
      <c r="B7" s="1563"/>
      <c r="C7" s="1563"/>
      <c r="D7" s="1563"/>
      <c r="E7" s="1563"/>
      <c r="F7" s="1563"/>
      <c r="G7" s="1563"/>
      <c r="H7" s="1563"/>
    </row>
    <row r="8" spans="1:8">
      <c r="A8" s="1721" t="s">
        <v>3707</v>
      </c>
      <c r="B8" s="1722"/>
      <c r="C8" s="1722"/>
      <c r="D8" s="1722"/>
      <c r="E8" s="1722"/>
      <c r="F8" s="1722"/>
      <c r="G8" s="1722"/>
      <c r="H8" s="1722"/>
    </row>
    <row r="9" spans="1:8">
      <c r="B9" s="1686" t="s">
        <v>3591</v>
      </c>
      <c r="C9" s="1687"/>
      <c r="D9" s="1687"/>
      <c r="E9" s="1688"/>
      <c r="F9" s="1013">
        <v>2017</v>
      </c>
      <c r="G9" s="1013">
        <v>2016</v>
      </c>
      <c r="H9" s="1013">
        <v>2015</v>
      </c>
    </row>
    <row r="10" spans="1:8" ht="24.75" customHeight="1">
      <c r="A10" s="1221"/>
      <c r="B10" s="1700" t="s">
        <v>3593</v>
      </c>
      <c r="C10" s="1690"/>
      <c r="D10" s="1690"/>
      <c r="E10" s="1691"/>
      <c r="F10" s="1297"/>
      <c r="G10" s="1297"/>
      <c r="H10" s="1297"/>
    </row>
    <row r="11" spans="1:8" ht="25.5" customHeight="1">
      <c r="B11" s="1689" t="s">
        <v>3594</v>
      </c>
      <c r="C11" s="1690"/>
      <c r="D11" s="1690"/>
      <c r="E11" s="1691"/>
      <c r="F11" s="1298"/>
      <c r="G11" s="1298"/>
      <c r="H11" s="1298"/>
    </row>
    <row r="12" spans="1:8" ht="25.5" customHeight="1">
      <c r="B12" s="1689" t="s">
        <v>3595</v>
      </c>
      <c r="C12" s="1692"/>
      <c r="D12" s="1692"/>
      <c r="E12" s="1693"/>
      <c r="F12" s="1298"/>
      <c r="G12" s="1298"/>
      <c r="H12" s="1298"/>
    </row>
    <row r="13" spans="1:8" ht="25.5" customHeight="1">
      <c r="B13" s="1701" t="s">
        <v>1058</v>
      </c>
      <c r="C13" s="1695"/>
      <c r="D13" s="1695"/>
      <c r="E13" s="1696"/>
      <c r="F13" s="1235">
        <f>F12+F11</f>
        <v>0</v>
      </c>
      <c r="G13" s="1235">
        <f>G12+G11</f>
        <v>0</v>
      </c>
      <c r="H13" s="1235">
        <f>H12+H11</f>
        <v>0</v>
      </c>
    </row>
    <row r="14" spans="1:8">
      <c r="F14" s="254"/>
      <c r="G14" s="254"/>
      <c r="H14" s="254"/>
    </row>
    <row r="15" spans="1:8" ht="24.75" customHeight="1">
      <c r="B15" s="1694" t="s">
        <v>3596</v>
      </c>
      <c r="C15" s="1702"/>
      <c r="D15" s="1702"/>
      <c r="E15" s="1703"/>
      <c r="F15" s="1298"/>
      <c r="G15" s="1298"/>
      <c r="H15" s="1298"/>
    </row>
    <row r="16" spans="1:8" ht="26.25" customHeight="1">
      <c r="B16" s="1689" t="s">
        <v>3597</v>
      </c>
      <c r="C16" s="1690"/>
      <c r="D16" s="1690"/>
      <c r="E16" s="1691"/>
      <c r="F16" s="1299"/>
      <c r="G16" s="1299"/>
      <c r="H16" s="1299"/>
    </row>
    <row r="17" spans="1:8" ht="26.25" customHeight="1">
      <c r="B17" s="1689" t="s">
        <v>3598</v>
      </c>
      <c r="C17" s="1690"/>
      <c r="D17" s="1690"/>
      <c r="E17" s="1691"/>
      <c r="F17" s="1299"/>
      <c r="G17" s="1299"/>
      <c r="H17" s="1299"/>
    </row>
    <row r="19" spans="1:8">
      <c r="B19" s="1675" t="s">
        <v>3599</v>
      </c>
      <c r="C19" s="1675"/>
      <c r="D19" s="1675"/>
      <c r="E19" s="1675"/>
      <c r="F19" s="1675"/>
      <c r="G19" s="1675"/>
      <c r="H19" s="1675"/>
    </row>
    <row r="20" spans="1:8">
      <c r="B20" s="1675" t="s">
        <v>3608</v>
      </c>
      <c r="C20" s="1675"/>
      <c r="D20" s="1675"/>
      <c r="E20" s="1675"/>
      <c r="F20" s="1675"/>
      <c r="G20" s="1675"/>
      <c r="H20" s="1675"/>
    </row>
    <row r="21" spans="1:8">
      <c r="B21" s="1230"/>
    </row>
    <row r="24" spans="1:8" ht="15.75">
      <c r="A24" s="1563" t="str">
        <f>A1</f>
        <v>TOWN OF BROADUS</v>
      </c>
      <c r="B24" s="1563"/>
      <c r="C24" s="1563"/>
      <c r="D24" s="1563"/>
      <c r="E24" s="1563"/>
      <c r="F24" s="1563"/>
      <c r="G24" s="1563"/>
      <c r="H24" s="1563"/>
    </row>
    <row r="25" spans="1:8" ht="15.75">
      <c r="A25" s="1563" t="s">
        <v>3587</v>
      </c>
      <c r="B25" s="1563"/>
      <c r="C25" s="1563"/>
      <c r="D25" s="1563"/>
      <c r="E25" s="1563"/>
      <c r="F25" s="1563"/>
      <c r="G25" s="1563"/>
      <c r="H25" s="1563"/>
    </row>
    <row r="26" spans="1:8" ht="15.75">
      <c r="A26" s="1563" t="s">
        <v>3600</v>
      </c>
      <c r="B26" s="1563"/>
      <c r="C26" s="1563"/>
      <c r="D26" s="1563"/>
      <c r="E26" s="1563"/>
      <c r="F26" s="1563"/>
      <c r="G26" s="1563"/>
      <c r="H26" s="1563"/>
    </row>
    <row r="27" spans="1:8" ht="15.75">
      <c r="A27" s="1563" t="s">
        <v>3589</v>
      </c>
      <c r="B27" s="1563"/>
      <c r="C27" s="1563"/>
      <c r="D27" s="1563"/>
      <c r="E27" s="1563"/>
      <c r="F27" s="1563"/>
      <c r="G27" s="1563"/>
      <c r="H27" s="1563"/>
    </row>
    <row r="28" spans="1:8">
      <c r="A28" s="1685" t="s">
        <v>3601</v>
      </c>
      <c r="B28" s="1434"/>
      <c r="C28" s="1434"/>
      <c r="D28" s="1434"/>
      <c r="E28" s="1434"/>
      <c r="F28" s="1434"/>
      <c r="G28" s="1434"/>
      <c r="H28" s="1434"/>
    </row>
    <row r="30" spans="1:8">
      <c r="B30" s="1686" t="s">
        <v>3602</v>
      </c>
      <c r="C30" s="1687"/>
      <c r="D30" s="1687"/>
      <c r="E30" s="1688"/>
      <c r="F30" s="1013">
        <v>2017</v>
      </c>
      <c r="G30" s="1013">
        <v>2016</v>
      </c>
      <c r="H30" s="1013">
        <v>2015</v>
      </c>
    </row>
    <row r="31" spans="1:8" ht="24.75" customHeight="1">
      <c r="B31" s="1689" t="s">
        <v>3603</v>
      </c>
      <c r="C31" s="1690"/>
      <c r="D31" s="1690"/>
      <c r="E31" s="1691"/>
      <c r="F31" s="1298"/>
      <c r="G31" s="1298"/>
      <c r="H31" s="1298"/>
    </row>
    <row r="32" spans="1:8" ht="26.25" customHeight="1">
      <c r="B32" s="1689" t="s">
        <v>3605</v>
      </c>
      <c r="C32" s="1690"/>
      <c r="D32" s="1690"/>
      <c r="E32" s="1691"/>
      <c r="F32" s="1298"/>
      <c r="G32" s="1298"/>
      <c r="H32" s="1298"/>
    </row>
    <row r="33" spans="1:8" ht="25.5" customHeight="1">
      <c r="B33" s="1689" t="s">
        <v>3606</v>
      </c>
      <c r="C33" s="1692"/>
      <c r="D33" s="1692"/>
      <c r="E33" s="1693"/>
      <c r="F33" s="1298"/>
      <c r="G33" s="1298"/>
      <c r="H33" s="1298"/>
    </row>
    <row r="34" spans="1:8" ht="25.5" customHeight="1">
      <c r="B34" s="1694" t="s">
        <v>3631</v>
      </c>
      <c r="C34" s="1695"/>
      <c r="D34" s="1695"/>
      <c r="E34" s="1696"/>
      <c r="F34" s="1298"/>
      <c r="G34" s="1298"/>
      <c r="H34" s="1298"/>
    </row>
    <row r="35" spans="1:8" ht="24" customHeight="1">
      <c r="B35" s="1694" t="s">
        <v>3607</v>
      </c>
      <c r="C35" s="1681"/>
      <c r="D35" s="1681"/>
      <c r="E35" s="1682"/>
      <c r="F35" s="1300"/>
      <c r="G35" s="1300"/>
      <c r="H35" s="1300"/>
    </row>
    <row r="37" spans="1:8">
      <c r="B37" s="1675" t="s">
        <v>3599</v>
      </c>
      <c r="C37" s="1675"/>
      <c r="D37" s="1675"/>
      <c r="E37" s="1675"/>
      <c r="F37" s="1675"/>
      <c r="G37" s="1675"/>
      <c r="H37" s="1675"/>
    </row>
    <row r="38" spans="1:8">
      <c r="B38" s="1675" t="s">
        <v>3608</v>
      </c>
      <c r="C38" s="1675"/>
      <c r="D38" s="1675"/>
      <c r="E38" s="1675"/>
      <c r="F38" s="1675"/>
      <c r="G38" s="1675"/>
      <c r="H38" s="1675"/>
    </row>
    <row r="39" spans="1:8">
      <c r="B39" s="1230"/>
    </row>
    <row r="45" spans="1:8">
      <c r="A45" s="1676" t="s">
        <v>3636</v>
      </c>
      <c r="B45" s="1433"/>
      <c r="C45" s="1433"/>
      <c r="D45" s="1433"/>
      <c r="E45" s="1433"/>
      <c r="F45" s="1433"/>
      <c r="G45" s="1433"/>
      <c r="H45" s="1433"/>
    </row>
    <row r="48" spans="1:8">
      <c r="A48" s="1433" t="str">
        <f>A1</f>
        <v>TOWN OF BROADUS</v>
      </c>
      <c r="B48" s="1433"/>
      <c r="C48" s="1433"/>
      <c r="D48" s="1433"/>
      <c r="E48" s="1433"/>
      <c r="F48" s="1433"/>
      <c r="G48" s="1433"/>
      <c r="H48" s="1433"/>
    </row>
    <row r="49" spans="1:8">
      <c r="A49" s="1433" t="s">
        <v>3530</v>
      </c>
      <c r="B49" s="1433"/>
      <c r="C49" s="1433"/>
      <c r="D49" s="1433"/>
      <c r="E49" s="1433"/>
      <c r="F49" s="1433"/>
      <c r="G49" s="1433"/>
      <c r="H49" s="1433"/>
    </row>
    <row r="50" spans="1:8">
      <c r="A50" s="1433" t="s">
        <v>3632</v>
      </c>
      <c r="B50" s="1433"/>
      <c r="C50" s="1433"/>
      <c r="D50" s="1433"/>
      <c r="E50" s="1433"/>
      <c r="F50" s="1433"/>
      <c r="G50" s="1433"/>
      <c r="H50" s="1433"/>
    </row>
    <row r="51" spans="1:8">
      <c r="A51" s="1434"/>
      <c r="B51" s="1434"/>
      <c r="C51" s="1434"/>
      <c r="D51" s="1434"/>
      <c r="E51" s="1434"/>
      <c r="F51" s="1434"/>
      <c r="G51" s="1434"/>
      <c r="H51" s="1434"/>
    </row>
    <row r="52" spans="1:8">
      <c r="A52" s="236" t="s">
        <v>3633</v>
      </c>
    </row>
    <row r="53" spans="1:8" ht="15">
      <c r="A53" s="592"/>
    </row>
    <row r="56" spans="1:8">
      <c r="A56" s="19"/>
    </row>
    <row r="58" spans="1:8">
      <c r="A58" s="787"/>
    </row>
    <row r="60" spans="1:8" ht="27.75" customHeight="1">
      <c r="A60" s="1564"/>
      <c r="B60" s="1564"/>
      <c r="C60" s="1564"/>
      <c r="D60" s="1564"/>
      <c r="E60" s="1564"/>
      <c r="F60" s="1564"/>
      <c r="G60" s="1564"/>
      <c r="H60" s="1564"/>
    </row>
    <row r="61" spans="1:8">
      <c r="A61" s="254"/>
    </row>
    <row r="62" spans="1:8">
      <c r="A62" s="254"/>
    </row>
    <row r="63" spans="1:8">
      <c r="A63" s="254"/>
    </row>
    <row r="68" spans="1:8">
      <c r="A68" s="19"/>
    </row>
    <row r="70" spans="1:8">
      <c r="A70" s="787"/>
    </row>
    <row r="72" spans="1:8">
      <c r="A72" s="787"/>
    </row>
    <row r="73" spans="1:8" ht="38.25" customHeight="1">
      <c r="A73" s="1564"/>
      <c r="B73" s="1564"/>
      <c r="C73" s="1564"/>
      <c r="D73" s="1564"/>
      <c r="E73" s="1564"/>
      <c r="F73" s="1564"/>
      <c r="G73" s="1564"/>
      <c r="H73" s="1564"/>
    </row>
    <row r="74" spans="1:8" ht="12.75" customHeight="1">
      <c r="A74" s="1220"/>
      <c r="B74" s="1564"/>
      <c r="C74" s="1564"/>
      <c r="D74" s="1564"/>
      <c r="E74" s="1564"/>
      <c r="F74" s="1564"/>
      <c r="G74" s="1564"/>
      <c r="H74" s="1564"/>
    </row>
    <row r="75" spans="1:8">
      <c r="A75" s="254"/>
      <c r="B75" s="1221"/>
    </row>
    <row r="76" spans="1:8">
      <c r="A76" s="254"/>
    </row>
    <row r="77" spans="1:8">
      <c r="A77" s="254"/>
    </row>
    <row r="79" spans="1:8" ht="27" customHeight="1">
      <c r="A79" s="1623"/>
      <c r="B79" s="1564"/>
      <c r="C79" s="1564"/>
      <c r="D79" s="1564"/>
      <c r="E79" s="1564"/>
      <c r="F79" s="1564"/>
      <c r="G79" s="1564"/>
      <c r="H79" s="1564"/>
    </row>
    <row r="80" spans="1:8" ht="12" customHeight="1">
      <c r="A80" s="1222"/>
      <c r="B80" s="1564"/>
      <c r="C80" s="1564"/>
      <c r="D80" s="1564"/>
      <c r="E80" s="1564"/>
      <c r="F80" s="1564"/>
      <c r="G80" s="1564"/>
      <c r="H80" s="1564"/>
    </row>
    <row r="81" spans="1:8">
      <c r="A81" s="254"/>
    </row>
    <row r="83" spans="1:8" ht="25.5" customHeight="1">
      <c r="A83" s="1623"/>
      <c r="B83" s="1564"/>
      <c r="C83" s="1564"/>
      <c r="D83" s="1564"/>
      <c r="E83" s="1564"/>
      <c r="F83" s="1564"/>
      <c r="G83" s="1564"/>
      <c r="H83" s="1564"/>
    </row>
    <row r="84" spans="1:8" ht="13.5" customHeight="1">
      <c r="A84" s="1222"/>
      <c r="B84" s="1564"/>
      <c r="C84" s="1564"/>
      <c r="D84" s="1564"/>
      <c r="E84" s="1564"/>
      <c r="F84" s="1564"/>
      <c r="G84" s="1564"/>
      <c r="H84" s="1564"/>
    </row>
    <row r="85" spans="1:8">
      <c r="A85" s="1222"/>
    </row>
    <row r="86" spans="1:8">
      <c r="A86" s="1222"/>
    </row>
    <row r="87" spans="1:8">
      <c r="A87" s="1222"/>
    </row>
    <row r="89" spans="1:8" ht="25.5" customHeight="1">
      <c r="A89" s="1623"/>
      <c r="B89" s="1564"/>
      <c r="C89" s="1564"/>
      <c r="D89" s="1564"/>
      <c r="E89" s="1564"/>
      <c r="F89" s="1564"/>
      <c r="G89" s="1564"/>
      <c r="H89" s="1564"/>
    </row>
    <row r="90" spans="1:8">
      <c r="A90" s="1222"/>
    </row>
    <row r="91" spans="1:8" ht="25.5" customHeight="1">
      <c r="A91" s="1222"/>
      <c r="B91" s="1564"/>
      <c r="C91" s="1564"/>
      <c r="D91" s="1564"/>
      <c r="E91" s="1564"/>
      <c r="F91" s="1564"/>
      <c r="G91" s="1564"/>
      <c r="H91" s="1564"/>
    </row>
    <row r="92" spans="1:8" ht="15" customHeight="1">
      <c r="A92" s="1222"/>
      <c r="B92" s="1564"/>
      <c r="C92" s="1564"/>
      <c r="D92" s="1564"/>
      <c r="E92" s="1564"/>
      <c r="F92" s="1564"/>
      <c r="G92" s="1564"/>
      <c r="H92" s="1564"/>
    </row>
    <row r="94" spans="1:8">
      <c r="A94" s="787"/>
    </row>
    <row r="95" spans="1:8">
      <c r="A95" s="787"/>
    </row>
    <row r="97" spans="1:8" ht="24" customHeight="1">
      <c r="A97" s="1564"/>
      <c r="B97" s="1564"/>
      <c r="C97" s="1564"/>
      <c r="D97" s="1564"/>
      <c r="E97" s="1564"/>
      <c r="F97" s="1564"/>
      <c r="G97" s="1564"/>
      <c r="H97" s="1564"/>
    </row>
    <row r="98" spans="1:8" ht="24" customHeight="1">
      <c r="A98" s="1212"/>
      <c r="B98" s="1212"/>
      <c r="C98" s="1212"/>
      <c r="D98" s="1212"/>
      <c r="E98" s="1212"/>
      <c r="F98" s="1212"/>
      <c r="G98" s="1212"/>
      <c r="H98" s="1212"/>
    </row>
    <row r="101" spans="1:8" ht="15">
      <c r="A101" s="1684"/>
      <c r="B101" s="1684"/>
      <c r="C101" s="1684"/>
      <c r="D101" s="1684"/>
      <c r="E101" s="1684"/>
      <c r="F101" s="1684"/>
      <c r="G101" s="1684"/>
      <c r="H101" s="1684"/>
    </row>
    <row r="102" spans="1:8">
      <c r="A102" s="1223"/>
      <c r="B102" s="787"/>
    </row>
    <row r="103" spans="1:8">
      <c r="A103" s="1223"/>
      <c r="B103" s="787"/>
    </row>
    <row r="104" spans="1:8">
      <c r="A104" s="1224"/>
      <c r="B104" s="787"/>
    </row>
    <row r="105" spans="1:8" ht="26.25" customHeight="1">
      <c r="A105" s="1683"/>
      <c r="B105" s="1683"/>
      <c r="C105" s="1683"/>
      <c r="D105" s="1683"/>
      <c r="E105" s="1683"/>
      <c r="F105" s="1683"/>
      <c r="G105" s="1683"/>
      <c r="H105" s="1683"/>
    </row>
    <row r="106" spans="1:8">
      <c r="A106" s="1224"/>
      <c r="B106" s="787"/>
    </row>
    <row r="107" spans="1:8" ht="18.75" customHeight="1">
      <c r="A107" s="1225"/>
      <c r="B107" s="1677"/>
      <c r="C107" s="1678"/>
      <c r="D107" s="1679"/>
      <c r="E107" s="1677"/>
      <c r="F107" s="1678"/>
      <c r="G107" s="1679"/>
    </row>
    <row r="108" spans="1:8">
      <c r="A108" s="1224"/>
      <c r="B108" s="787"/>
    </row>
    <row r="109" spans="1:8">
      <c r="A109" s="1224"/>
      <c r="B109" s="787"/>
    </row>
    <row r="110" spans="1:8">
      <c r="A110" s="1228"/>
      <c r="B110" s="787"/>
    </row>
    <row r="111" spans="1:8">
      <c r="A111" s="1224"/>
      <c r="B111" s="787"/>
    </row>
    <row r="112" spans="1:8">
      <c r="A112" s="1226"/>
      <c r="B112" s="787"/>
    </row>
    <row r="113" spans="1:7" ht="21" customHeight="1">
      <c r="A113" s="1227"/>
      <c r="B113" s="1677"/>
      <c r="C113" s="1678"/>
      <c r="D113" s="1679"/>
      <c r="E113" s="1680"/>
      <c r="F113" s="1681"/>
      <c r="G113" s="1682"/>
    </row>
    <row r="114" spans="1:7" ht="20.85" customHeight="1">
      <c r="A114" s="1227"/>
      <c r="B114" s="1672"/>
      <c r="C114" s="1673"/>
      <c r="D114" s="1674"/>
      <c r="E114" s="1680"/>
      <c r="F114" s="1681"/>
      <c r="G114" s="1682"/>
    </row>
    <row r="115" spans="1:7" ht="20.85" customHeight="1">
      <c r="A115" s="1227"/>
      <c r="B115" s="1672"/>
      <c r="C115" s="1673"/>
      <c r="D115" s="1674"/>
      <c r="E115" s="1672"/>
      <c r="F115" s="1673"/>
      <c r="G115" s="1674"/>
    </row>
    <row r="116" spans="1:7" ht="39.75" customHeight="1">
      <c r="A116" s="1227"/>
      <c r="B116" s="1672"/>
      <c r="C116" s="1673"/>
      <c r="D116" s="1674"/>
      <c r="E116" s="1672"/>
      <c r="F116" s="1673"/>
      <c r="G116" s="1674"/>
    </row>
    <row r="117" spans="1:7" ht="20.85" customHeight="1">
      <c r="A117" s="1227"/>
      <c r="B117" s="1672"/>
      <c r="C117" s="1673"/>
      <c r="D117" s="1674"/>
      <c r="E117" s="1672"/>
      <c r="F117" s="1673"/>
      <c r="G117" s="1674"/>
    </row>
    <row r="118" spans="1:7" ht="20.85" customHeight="1">
      <c r="A118" s="1227"/>
      <c r="B118" s="1672"/>
      <c r="C118" s="1673"/>
      <c r="D118" s="1674"/>
      <c r="E118" s="1672"/>
      <c r="F118" s="1673"/>
      <c r="G118" s="1674"/>
    </row>
    <row r="119" spans="1:7" ht="20.85" customHeight="1">
      <c r="A119" s="1227"/>
      <c r="B119" s="1672"/>
      <c r="C119" s="1673"/>
      <c r="D119" s="1674"/>
      <c r="E119" s="1672"/>
      <c r="F119" s="1673"/>
      <c r="G119" s="1674"/>
    </row>
    <row r="120" spans="1:7">
      <c r="A120" s="1226"/>
      <c r="B120" s="787"/>
    </row>
  </sheetData>
  <mergeCells count="64">
    <mergeCell ref="A8:H8"/>
    <mergeCell ref="A1:H1"/>
    <mergeCell ref="A2:H2"/>
    <mergeCell ref="A5:H5"/>
    <mergeCell ref="A6:H6"/>
    <mergeCell ref="A7:H7"/>
    <mergeCell ref="B9:E9"/>
    <mergeCell ref="B10:E10"/>
    <mergeCell ref="B11:E11"/>
    <mergeCell ref="B12:E12"/>
    <mergeCell ref="B13:E13"/>
    <mergeCell ref="B31:E31"/>
    <mergeCell ref="B15:E15"/>
    <mergeCell ref="B16:E16"/>
    <mergeCell ref="B17:E17"/>
    <mergeCell ref="B19:H19"/>
    <mergeCell ref="B20:H20"/>
    <mergeCell ref="A24:H24"/>
    <mergeCell ref="A25:H25"/>
    <mergeCell ref="A26:H26"/>
    <mergeCell ref="A27:H27"/>
    <mergeCell ref="A28:H28"/>
    <mergeCell ref="B30:E30"/>
    <mergeCell ref="B32:E32"/>
    <mergeCell ref="B33:E33"/>
    <mergeCell ref="B34:E34"/>
    <mergeCell ref="B35:E35"/>
    <mergeCell ref="B37:H37"/>
    <mergeCell ref="B84:H84"/>
    <mergeCell ref="B38:H38"/>
    <mergeCell ref="A48:H48"/>
    <mergeCell ref="A49:H49"/>
    <mergeCell ref="A50:H50"/>
    <mergeCell ref="A51:H51"/>
    <mergeCell ref="A60:H60"/>
    <mergeCell ref="A73:H73"/>
    <mergeCell ref="B74:H74"/>
    <mergeCell ref="A79:H79"/>
    <mergeCell ref="B80:H80"/>
    <mergeCell ref="A83:H83"/>
    <mergeCell ref="B114:D114"/>
    <mergeCell ref="E114:G114"/>
    <mergeCell ref="A89:H89"/>
    <mergeCell ref="B91:H91"/>
    <mergeCell ref="B92:H92"/>
    <mergeCell ref="A97:H97"/>
    <mergeCell ref="A101:H101"/>
    <mergeCell ref="A105:H105"/>
    <mergeCell ref="B118:D118"/>
    <mergeCell ref="E118:G118"/>
    <mergeCell ref="B119:D119"/>
    <mergeCell ref="E119:G119"/>
    <mergeCell ref="A4:H4"/>
    <mergeCell ref="A45:H45"/>
    <mergeCell ref="B115:D115"/>
    <mergeCell ref="E115:G115"/>
    <mergeCell ref="B116:D116"/>
    <mergeCell ref="E116:G116"/>
    <mergeCell ref="B117:D117"/>
    <mergeCell ref="E117:G117"/>
    <mergeCell ref="B107:D107"/>
    <mergeCell ref="E107:G107"/>
    <mergeCell ref="B113:D113"/>
    <mergeCell ref="E113:G113"/>
  </mergeCells>
  <pageMargins left="0.25" right="0.25" top="0.25" bottom="0" header="0" footer="0"/>
  <pageSetup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62"/>
  <sheetViews>
    <sheetView topLeftCell="A6" zoomScaleNormal="100" workbookViewId="0">
      <selection activeCell="A6" sqref="A6:XFD6"/>
    </sheetView>
  </sheetViews>
  <sheetFormatPr defaultRowHeight="12.75"/>
  <cols>
    <col min="1" max="1" width="38.28515625" style="1121" customWidth="1"/>
    <col min="2" max="2" width="12.85546875" style="1121" customWidth="1"/>
    <col min="3" max="3" width="9.42578125" style="1121" customWidth="1"/>
    <col min="4" max="5" width="9.140625" style="1121"/>
    <col min="6" max="6" width="9.140625" style="1121" customWidth="1"/>
    <col min="7" max="7" width="9.42578125" style="1121" customWidth="1"/>
    <col min="8" max="8" width="9.140625" style="1121" customWidth="1"/>
    <col min="9" max="10" width="10.7109375" style="1121" customWidth="1"/>
    <col min="11" max="11" width="9.5703125" style="1121" customWidth="1"/>
    <col min="12" max="16384" width="9.140625" style="1121"/>
  </cols>
  <sheetData>
    <row r="1" spans="1:11" ht="18">
      <c r="A1" s="1568" t="str">
        <f>'GENERAL FUND-OPERATING(48-53)'!A1</f>
        <v>TOWN OF BROADUS</v>
      </c>
      <c r="B1" s="1568"/>
      <c r="C1" s="1568"/>
      <c r="D1" s="1568"/>
      <c r="E1" s="1568"/>
      <c r="F1" s="1568"/>
      <c r="G1" s="1568"/>
      <c r="H1" s="1568"/>
      <c r="I1" s="1568"/>
      <c r="J1" s="1568"/>
      <c r="K1" s="1568"/>
    </row>
    <row r="2" spans="1:11" ht="18">
      <c r="A2" s="1568" t="s">
        <v>1528</v>
      </c>
      <c r="B2" s="1568"/>
      <c r="C2" s="1568"/>
      <c r="D2" s="1568"/>
      <c r="E2" s="1568"/>
      <c r="F2" s="1568"/>
      <c r="G2" s="1568"/>
      <c r="H2" s="1568"/>
      <c r="I2" s="1568"/>
      <c r="J2" s="1568"/>
      <c r="K2" s="1568"/>
    </row>
    <row r="3" spans="1:11" ht="18">
      <c r="A3" s="1569" t="str">
        <f>'GENERAL FUND-OPERATING(48-53)'!A5</f>
        <v>FISCAL YEAR ENDING JUNE 30, 2017</v>
      </c>
      <c r="B3" s="1569"/>
      <c r="C3" s="1569"/>
      <c r="D3" s="1569"/>
      <c r="E3" s="1569"/>
      <c r="F3" s="1569"/>
      <c r="G3" s="1569"/>
      <c r="H3" s="1569"/>
      <c r="I3" s="1569"/>
      <c r="J3" s="1569"/>
      <c r="K3" s="1569"/>
    </row>
    <row r="4" spans="1:11">
      <c r="A4" s="1720"/>
      <c r="B4" s="1720"/>
      <c r="C4" s="1720"/>
      <c r="D4" s="1720"/>
      <c r="E4" s="1720"/>
      <c r="F4" s="1720"/>
      <c r="G4" s="1720"/>
      <c r="H4" s="1720"/>
      <c r="I4" s="1720"/>
      <c r="J4" s="1720"/>
      <c r="K4" s="1720"/>
    </row>
    <row r="5" spans="1:11" ht="18">
      <c r="A5" s="1585" t="s">
        <v>3278</v>
      </c>
      <c r="B5" s="1735"/>
      <c r="C5" s="1735"/>
      <c r="D5" s="1735"/>
      <c r="E5" s="1735"/>
      <c r="F5" s="1735"/>
      <c r="G5" s="1735"/>
      <c r="H5" s="1735"/>
      <c r="I5" s="1735"/>
      <c r="J5" s="1735"/>
      <c r="K5" s="1735"/>
    </row>
    <row r="6" spans="1:11" ht="27.75" customHeight="1">
      <c r="A6" s="1733" t="s">
        <v>3742</v>
      </c>
      <c r="B6" s="1734"/>
      <c r="C6" s="1734"/>
      <c r="D6" s="1734"/>
      <c r="E6" s="1734"/>
      <c r="F6" s="1734"/>
      <c r="G6" s="1734"/>
      <c r="H6" s="1734"/>
      <c r="I6" s="1734"/>
      <c r="J6" s="1734"/>
      <c r="K6" s="1734"/>
    </row>
    <row r="7" spans="1:11" ht="45" customHeight="1">
      <c r="A7" s="1723" t="s">
        <v>3405</v>
      </c>
      <c r="B7" s="1723"/>
      <c r="C7" s="1723"/>
      <c r="D7" s="1723"/>
      <c r="E7" s="1723"/>
      <c r="F7" s="1723"/>
      <c r="G7" s="1723"/>
      <c r="H7" s="1723"/>
      <c r="I7" s="1723"/>
      <c r="J7" s="1723"/>
      <c r="K7" s="1723"/>
    </row>
    <row r="8" spans="1:11">
      <c r="B8" s="1022"/>
      <c r="C8" s="1022"/>
      <c r="D8" s="1022"/>
      <c r="E8" s="1022"/>
      <c r="F8" s="1022"/>
      <c r="G8" s="1022"/>
      <c r="H8" s="1022"/>
      <c r="I8" s="1022"/>
      <c r="J8" s="1022"/>
      <c r="K8" s="1022"/>
    </row>
    <row r="9" spans="1:11" ht="15.75">
      <c r="A9" s="1125" t="s">
        <v>3279</v>
      </c>
      <c r="B9" s="1126" t="s">
        <v>3280</v>
      </c>
      <c r="C9" s="1126"/>
      <c r="D9" s="1127"/>
      <c r="E9" s="1127"/>
      <c r="F9" s="1022"/>
      <c r="G9" s="1022"/>
      <c r="H9" s="1022"/>
      <c r="I9" s="1022"/>
      <c r="J9" s="1022"/>
      <c r="K9" s="1022"/>
    </row>
    <row r="10" spans="1:11" ht="15">
      <c r="A10" s="1128"/>
      <c r="B10" s="1129"/>
      <c r="C10" s="1022"/>
      <c r="D10" s="1022"/>
      <c r="E10" s="1022"/>
      <c r="F10" s="1022"/>
      <c r="G10" s="1022"/>
      <c r="H10" s="1022"/>
      <c r="I10" s="1022"/>
      <c r="J10" s="1022"/>
      <c r="K10" s="1022"/>
    </row>
    <row r="11" spans="1:11" ht="27" customHeight="1">
      <c r="A11" s="1204" t="s">
        <v>3507</v>
      </c>
      <c r="B11" s="1257">
        <v>2017</v>
      </c>
      <c r="C11" s="1258"/>
      <c r="D11" s="1258"/>
      <c r="E11" s="1258"/>
      <c r="F11" s="1258"/>
      <c r="G11" s="1259"/>
      <c r="H11" s="1259"/>
      <c r="I11" s="1259"/>
      <c r="J11" s="1259"/>
      <c r="K11" s="1259"/>
    </row>
    <row r="12" spans="1:11" ht="20.25" customHeight="1">
      <c r="A12" s="1276" t="s">
        <v>3281</v>
      </c>
      <c r="B12" s="1260"/>
      <c r="C12" s="1261"/>
      <c r="D12" s="1261"/>
      <c r="E12" s="1261"/>
      <c r="F12" s="1261"/>
      <c r="G12" s="1262"/>
      <c r="H12" s="1262"/>
      <c r="I12" s="1262"/>
      <c r="J12" s="1262"/>
      <c r="K12" s="1263"/>
    </row>
    <row r="13" spans="1:11" ht="25.5" customHeight="1">
      <c r="A13" s="1295" t="s">
        <v>3496</v>
      </c>
      <c r="B13" s="1260"/>
      <c r="C13" s="1261"/>
      <c r="D13" s="1261"/>
      <c r="E13" s="1261"/>
      <c r="F13" s="1261"/>
      <c r="G13" s="1262"/>
      <c r="H13" s="1262"/>
      <c r="I13" s="1262"/>
      <c r="J13" s="1262"/>
      <c r="K13" s="1263"/>
    </row>
    <row r="14" spans="1:11" ht="26.25" customHeight="1">
      <c r="A14" s="1198" t="s">
        <v>3500</v>
      </c>
      <c r="B14" s="1205" t="e">
        <f>B13/B12</f>
        <v>#DIV/0!</v>
      </c>
      <c r="C14" s="1205">
        <f t="shared" ref="C14:K14" si="0">IFERROR(C13/C12,0)</f>
        <v>0</v>
      </c>
      <c r="D14" s="1205">
        <f t="shared" si="0"/>
        <v>0</v>
      </c>
      <c r="E14" s="1205">
        <f t="shared" si="0"/>
        <v>0</v>
      </c>
      <c r="F14" s="1205">
        <f t="shared" si="0"/>
        <v>0</v>
      </c>
      <c r="G14" s="1205">
        <f t="shared" si="0"/>
        <v>0</v>
      </c>
      <c r="H14" s="1205">
        <f t="shared" si="0"/>
        <v>0</v>
      </c>
      <c r="I14" s="1205">
        <f t="shared" si="0"/>
        <v>0</v>
      </c>
      <c r="J14" s="1205">
        <f t="shared" si="0"/>
        <v>0</v>
      </c>
      <c r="K14" s="1205">
        <f t="shared" si="0"/>
        <v>0</v>
      </c>
    </row>
    <row r="15" spans="1:11" ht="30" customHeight="1">
      <c r="A15" s="1199" t="s">
        <v>3499</v>
      </c>
      <c r="B15" s="1293">
        <v>2017</v>
      </c>
      <c r="C15" s="1294"/>
      <c r="D15" s="1294"/>
      <c r="E15" s="1294"/>
      <c r="F15" s="1294"/>
      <c r="G15" s="1294"/>
      <c r="H15" s="1294"/>
      <c r="I15" s="1294"/>
      <c r="J15" s="1294"/>
      <c r="K15" s="1294"/>
    </row>
    <row r="16" spans="1:11" s="1196" customFormat="1" ht="18" customHeight="1">
      <c r="A16" s="1295" t="s">
        <v>3506</v>
      </c>
      <c r="B16" s="1264"/>
      <c r="C16" s="1265"/>
      <c r="D16" s="1265"/>
      <c r="E16" s="1265"/>
      <c r="F16" s="1265"/>
      <c r="G16" s="1266"/>
      <c r="H16" s="1266"/>
      <c r="I16" s="1266"/>
      <c r="J16" s="1266"/>
      <c r="K16" s="1266"/>
    </row>
    <row r="17" spans="1:11" ht="21" customHeight="1">
      <c r="A17" s="1296" t="s">
        <v>3495</v>
      </c>
      <c r="B17" s="1267"/>
      <c r="C17" s="1268"/>
      <c r="D17" s="1268"/>
      <c r="E17" s="1268"/>
      <c r="F17" s="1268"/>
      <c r="G17" s="1269"/>
      <c r="H17" s="1269"/>
      <c r="I17" s="1269"/>
      <c r="J17" s="1269"/>
      <c r="K17" s="1269"/>
    </row>
    <row r="18" spans="1:11" ht="20.25" customHeight="1">
      <c r="A18" s="1276" t="s">
        <v>3497</v>
      </c>
      <c r="B18" s="1270"/>
      <c r="C18" s="1271"/>
      <c r="D18" s="1271"/>
      <c r="E18" s="1271"/>
      <c r="F18" s="1271"/>
      <c r="G18" s="1272"/>
      <c r="H18" s="1272"/>
      <c r="I18" s="1272"/>
      <c r="J18" s="1272"/>
      <c r="K18" s="1272"/>
    </row>
    <row r="19" spans="1:11" ht="25.5">
      <c r="A19" s="1286" t="s">
        <v>3498</v>
      </c>
      <c r="B19" s="1273"/>
      <c r="C19" s="1274"/>
      <c r="D19" s="1274"/>
      <c r="E19" s="1274"/>
      <c r="F19" s="1274"/>
      <c r="G19" s="1275"/>
      <c r="H19" s="1275"/>
      <c r="I19" s="1275"/>
      <c r="J19" s="1275"/>
      <c r="K19" s="1275"/>
    </row>
    <row r="20" spans="1:11" s="1196" customFormat="1" ht="21" customHeight="1">
      <c r="A20" s="1286" t="s">
        <v>1010</v>
      </c>
      <c r="B20" s="1273"/>
      <c r="C20" s="1274"/>
      <c r="D20" s="1274"/>
      <c r="E20" s="1274"/>
      <c r="F20" s="1274"/>
      <c r="G20" s="1275"/>
      <c r="H20" s="1275"/>
      <c r="I20" s="1275"/>
      <c r="J20" s="1275"/>
      <c r="K20" s="1275"/>
    </row>
    <row r="21" spans="1:11" s="1196" customFormat="1" ht="21" customHeight="1">
      <c r="A21" s="1286" t="s">
        <v>3504</v>
      </c>
      <c r="B21" s="1273"/>
      <c r="C21" s="1274"/>
      <c r="D21" s="1274"/>
      <c r="E21" s="1274"/>
      <c r="F21" s="1274"/>
      <c r="G21" s="1275"/>
      <c r="H21" s="1275"/>
      <c r="I21" s="1275"/>
      <c r="J21" s="1275"/>
      <c r="K21" s="1275"/>
    </row>
    <row r="22" spans="1:11" ht="20.25" customHeight="1">
      <c r="A22" s="1200" t="s">
        <v>3505</v>
      </c>
      <c r="B22" s="1203">
        <f>SUM(B17:B21)</f>
        <v>0</v>
      </c>
      <c r="C22" s="1203">
        <f t="shared" ref="C22:K22" si="1">SUM(C17:C21)</f>
        <v>0</v>
      </c>
      <c r="D22" s="1203">
        <f t="shared" si="1"/>
        <v>0</v>
      </c>
      <c r="E22" s="1203">
        <f t="shared" si="1"/>
        <v>0</v>
      </c>
      <c r="F22" s="1203">
        <f t="shared" si="1"/>
        <v>0</v>
      </c>
      <c r="G22" s="1203">
        <f t="shared" si="1"/>
        <v>0</v>
      </c>
      <c r="H22" s="1203">
        <f t="shared" si="1"/>
        <v>0</v>
      </c>
      <c r="I22" s="1203">
        <f t="shared" si="1"/>
        <v>0</v>
      </c>
      <c r="J22" s="1203">
        <f t="shared" si="1"/>
        <v>0</v>
      </c>
      <c r="K22" s="1203">
        <f t="shared" si="1"/>
        <v>0</v>
      </c>
    </row>
    <row r="23" spans="1:11">
      <c r="A23" s="1201" t="s">
        <v>3052</v>
      </c>
      <c r="B23" s="1132"/>
      <c r="C23" s="934"/>
      <c r="D23" s="934"/>
      <c r="E23" s="934"/>
      <c r="F23" s="934"/>
      <c r="G23" s="934"/>
      <c r="H23" s="934"/>
      <c r="I23" s="934"/>
      <c r="J23" s="934"/>
      <c r="K23" s="934"/>
    </row>
    <row r="24" spans="1:11">
      <c r="A24" s="933"/>
      <c r="B24" s="934"/>
      <c r="C24" s="934"/>
      <c r="D24" s="934"/>
      <c r="E24" s="934"/>
      <c r="F24" s="934"/>
      <c r="G24" s="934"/>
      <c r="H24" s="934"/>
      <c r="I24" s="934"/>
      <c r="J24" s="934"/>
      <c r="K24" s="934"/>
    </row>
    <row r="25" spans="1:11">
      <c r="A25" s="1148" t="s">
        <v>3282</v>
      </c>
      <c r="B25" s="1154"/>
      <c r="C25" s="1154"/>
      <c r="D25" s="1154"/>
      <c r="E25" s="1154"/>
      <c r="F25" s="1154"/>
      <c r="G25" s="1154"/>
      <c r="H25" s="1154"/>
      <c r="I25" s="1154"/>
      <c r="J25" s="1154"/>
      <c r="K25" s="1154"/>
    </row>
    <row r="26" spans="1:11">
      <c r="A26" s="1730" t="s">
        <v>3502</v>
      </c>
      <c r="B26" s="1730"/>
      <c r="C26" s="1730"/>
      <c r="D26" s="1730"/>
      <c r="E26" s="1730"/>
      <c r="F26" s="1730"/>
      <c r="G26" s="1730"/>
      <c r="H26" s="1730"/>
      <c r="I26" s="1730"/>
      <c r="J26" s="1730"/>
      <c r="K26" s="1730"/>
    </row>
    <row r="27" spans="1:11">
      <c r="A27" s="934" t="s">
        <v>3501</v>
      </c>
      <c r="B27" s="934"/>
      <c r="C27" s="934"/>
      <c r="D27" s="934"/>
      <c r="E27" s="934"/>
      <c r="F27" s="934"/>
      <c r="G27" s="934"/>
      <c r="H27" s="934"/>
      <c r="I27" s="934"/>
      <c r="J27" s="934"/>
      <c r="K27" s="934"/>
    </row>
    <row r="28" spans="1:11">
      <c r="A28" s="1202"/>
      <c r="B28" s="934"/>
      <c r="C28" s="934"/>
      <c r="D28" s="934"/>
      <c r="E28" s="934"/>
      <c r="F28" s="934"/>
      <c r="G28" s="934"/>
      <c r="H28" s="934"/>
      <c r="I28" s="934"/>
      <c r="J28" s="934"/>
      <c r="K28" s="934"/>
    </row>
    <row r="29" spans="1:11" ht="19.5" customHeight="1">
      <c r="A29" s="1729" t="s">
        <v>3503</v>
      </c>
      <c r="B29" s="1729"/>
      <c r="C29" s="1729"/>
      <c r="D29" s="1729"/>
      <c r="E29" s="1729"/>
      <c r="F29" s="1729"/>
      <c r="G29" s="1729"/>
      <c r="H29" s="1729"/>
      <c r="I29" s="1729"/>
      <c r="J29" s="1729"/>
      <c r="K29" s="1729"/>
    </row>
    <row r="30" spans="1:11" ht="18" customHeight="1">
      <c r="A30" s="1724" t="s">
        <v>3508</v>
      </c>
      <c r="B30" s="1724"/>
      <c r="C30" s="1724"/>
      <c r="D30" s="1724"/>
      <c r="E30" s="1724"/>
      <c r="F30" s="1724"/>
      <c r="G30" s="1724"/>
      <c r="H30" s="1724"/>
      <c r="I30" s="1724"/>
      <c r="J30" s="1724"/>
      <c r="K30" s="1724"/>
    </row>
    <row r="31" spans="1:11" s="1139" customFormat="1" ht="12.75" customHeight="1">
      <c r="A31" s="1291"/>
      <c r="B31" s="1291"/>
      <c r="C31" s="1291"/>
      <c r="D31" s="1291"/>
      <c r="E31" s="1291"/>
      <c r="F31" s="1291"/>
      <c r="G31" s="1291"/>
      <c r="H31" s="1291"/>
      <c r="I31" s="1291"/>
      <c r="J31" s="1291"/>
      <c r="K31" s="1291"/>
    </row>
    <row r="32" spans="1:11" s="1139" customFormat="1" ht="12.75" customHeight="1">
      <c r="A32" s="1291"/>
      <c r="B32" s="1291"/>
      <c r="C32" s="1291"/>
      <c r="D32" s="1291"/>
      <c r="E32" s="1291"/>
      <c r="F32" s="1291"/>
      <c r="G32" s="1291"/>
      <c r="H32" s="1291"/>
      <c r="I32" s="1291"/>
      <c r="J32" s="1291"/>
      <c r="K32" s="1291"/>
    </row>
    <row r="33" spans="1:12" s="1139" customFormat="1" ht="12.75" customHeight="1">
      <c r="A33" s="1291"/>
      <c r="B33" s="1291"/>
      <c r="C33" s="1291"/>
      <c r="D33" s="1291"/>
      <c r="E33" s="1291"/>
      <c r="F33" s="1291"/>
      <c r="G33" s="1291"/>
      <c r="H33" s="1291"/>
      <c r="I33" s="1291"/>
      <c r="J33" s="1291"/>
      <c r="K33" s="1291"/>
    </row>
    <row r="34" spans="1:12" s="1139" customFormat="1" ht="12.75" customHeight="1">
      <c r="A34" s="1291"/>
      <c r="B34" s="1291"/>
      <c r="C34" s="1291"/>
      <c r="D34" s="1291"/>
      <c r="E34" s="1291"/>
      <c r="F34" s="1291"/>
      <c r="G34" s="1291"/>
      <c r="H34" s="1291"/>
      <c r="I34" s="1291"/>
      <c r="J34" s="1291"/>
      <c r="K34" s="1291"/>
    </row>
    <row r="35" spans="1:12" ht="12.75" customHeight="1" thickBot="1">
      <c r="A35" s="1292"/>
      <c r="B35" s="1292"/>
      <c r="C35" s="1292"/>
      <c r="D35" s="1292"/>
      <c r="E35" s="1292"/>
      <c r="F35" s="1292"/>
      <c r="G35" s="1292"/>
      <c r="H35" s="1292"/>
      <c r="I35" s="1292"/>
      <c r="J35" s="1292"/>
      <c r="K35" s="1292"/>
    </row>
    <row r="36" spans="1:12" s="1243" customFormat="1" ht="12.75" customHeight="1">
      <c r="A36" s="1244"/>
      <c r="B36" s="1244"/>
      <c r="C36" s="1244"/>
      <c r="D36" s="1244"/>
      <c r="E36" s="1244"/>
      <c r="F36" s="1244"/>
      <c r="G36" s="1244"/>
      <c r="H36" s="1244"/>
      <c r="I36" s="1244"/>
      <c r="J36" s="1244"/>
      <c r="K36" s="1244"/>
    </row>
    <row r="37" spans="1:12" ht="18">
      <c r="A37" s="1731" t="s">
        <v>3642</v>
      </c>
      <c r="B37" s="1732"/>
      <c r="C37" s="1732"/>
      <c r="D37" s="1732"/>
      <c r="E37" s="1732"/>
      <c r="F37" s="1732"/>
      <c r="G37" s="1732"/>
      <c r="H37" s="1732"/>
      <c r="I37" s="1732"/>
      <c r="J37" s="1732"/>
      <c r="K37" s="1732"/>
      <c r="L37" s="1071"/>
    </row>
    <row r="38" spans="1:12" ht="61.5" customHeight="1">
      <c r="A38" s="1727" t="s">
        <v>3635</v>
      </c>
      <c r="B38" s="1727"/>
      <c r="C38" s="1727"/>
      <c r="D38" s="1727"/>
      <c r="E38" s="1727"/>
      <c r="F38" s="1727"/>
      <c r="G38" s="1727"/>
      <c r="H38" s="1727"/>
      <c r="I38" s="1727"/>
      <c r="J38" s="1727"/>
      <c r="K38" s="1727"/>
      <c r="L38" s="1071"/>
    </row>
    <row r="39" spans="1:12" s="1139" customFormat="1" ht="16.5" customHeight="1">
      <c r="A39" s="1197"/>
      <c r="B39" s="1197"/>
      <c r="C39" s="1197"/>
      <c r="D39" s="1197"/>
      <c r="E39" s="1197"/>
      <c r="F39" s="1197"/>
      <c r="G39" s="1197"/>
      <c r="H39" s="1197"/>
      <c r="I39" s="1197"/>
      <c r="J39" s="1197"/>
      <c r="K39" s="1197"/>
      <c r="L39" s="1071"/>
    </row>
    <row r="40" spans="1:12" s="1139" customFormat="1" ht="32.25" customHeight="1">
      <c r="A40" s="1724" t="s">
        <v>3378</v>
      </c>
      <c r="B40" s="1724"/>
      <c r="C40" s="1724"/>
      <c r="D40" s="1724"/>
      <c r="E40" s="1724"/>
      <c r="F40" s="1724"/>
      <c r="G40" s="1724"/>
      <c r="H40" s="1724"/>
      <c r="I40" s="1724"/>
      <c r="J40" s="1724"/>
      <c r="K40" s="1724"/>
      <c r="L40" s="1071"/>
    </row>
    <row r="41" spans="1:12" ht="13.5" customHeight="1">
      <c r="A41" s="1084"/>
      <c r="B41" s="1134"/>
      <c r="C41" s="1134"/>
      <c r="D41" s="1134"/>
      <c r="E41" s="1134"/>
      <c r="F41" s="1134"/>
      <c r="G41" s="1134"/>
      <c r="H41" s="1134"/>
      <c r="I41" s="1134"/>
      <c r="J41" s="1134"/>
      <c r="K41" s="1134"/>
      <c r="L41" s="1071"/>
    </row>
    <row r="42" spans="1:12" ht="18.75" customHeight="1">
      <c r="A42" s="1726" t="s">
        <v>3377</v>
      </c>
      <c r="B42" s="1726"/>
      <c r="C42" s="1726"/>
      <c r="D42" s="1726"/>
      <c r="E42" s="1726"/>
      <c r="F42" s="1726"/>
      <c r="G42" s="1726"/>
      <c r="H42" s="1726"/>
      <c r="I42" s="1726"/>
      <c r="J42" s="1726"/>
      <c r="K42" s="1726"/>
      <c r="L42" s="1071"/>
    </row>
    <row r="43" spans="1:12">
      <c r="A43" s="907"/>
      <c r="B43" s="1129"/>
      <c r="C43" s="934"/>
      <c r="D43" s="934"/>
      <c r="E43" s="934"/>
      <c r="F43" s="934"/>
      <c r="G43" s="934"/>
      <c r="H43" s="934"/>
      <c r="I43" s="934"/>
      <c r="J43" s="934"/>
      <c r="K43" s="934"/>
      <c r="L43" s="1071"/>
    </row>
    <row r="44" spans="1:12">
      <c r="A44" s="1131"/>
      <c r="B44" s="1276">
        <v>2017</v>
      </c>
      <c r="C44" s="1277"/>
      <c r="D44" s="1277"/>
      <c r="E44" s="1277"/>
      <c r="F44" s="1277"/>
      <c r="G44" s="1278"/>
      <c r="H44" s="1278"/>
      <c r="I44" s="1278"/>
      <c r="J44" s="1278"/>
      <c r="K44" s="1278"/>
      <c r="L44" s="1071"/>
    </row>
    <row r="45" spans="1:12">
      <c r="A45" s="1276" t="s">
        <v>3376</v>
      </c>
      <c r="B45" s="1279"/>
      <c r="C45" s="1280"/>
      <c r="D45" s="1280"/>
      <c r="E45" s="1280"/>
      <c r="F45" s="1280"/>
      <c r="G45" s="1281"/>
      <c r="H45" s="1281"/>
      <c r="I45" s="1281"/>
      <c r="J45" s="1281"/>
      <c r="K45" s="1281"/>
      <c r="L45" s="1071"/>
    </row>
    <row r="46" spans="1:12">
      <c r="A46" s="1276"/>
      <c r="B46" s="1282"/>
      <c r="C46" s="1283"/>
      <c r="D46" s="1283"/>
      <c r="E46" s="1283"/>
      <c r="F46" s="1283"/>
      <c r="G46" s="1284"/>
      <c r="H46" s="1284"/>
      <c r="I46" s="1284"/>
      <c r="J46" s="1284"/>
      <c r="K46" s="1284"/>
      <c r="L46" s="1071"/>
    </row>
    <row r="47" spans="1:12" s="1139" customFormat="1">
      <c r="A47" s="1276"/>
      <c r="B47" s="1282"/>
      <c r="C47" s="1283"/>
      <c r="D47" s="1283"/>
      <c r="E47" s="1283"/>
      <c r="F47" s="1283"/>
      <c r="G47" s="1284"/>
      <c r="H47" s="1284"/>
      <c r="I47" s="1284"/>
      <c r="J47" s="1284"/>
      <c r="K47" s="1284"/>
      <c r="L47" s="1071"/>
    </row>
    <row r="48" spans="1:12">
      <c r="A48" s="1286"/>
      <c r="B48" s="1276"/>
      <c r="C48" s="1276"/>
      <c r="D48" s="1276"/>
      <c r="E48" s="1276"/>
      <c r="F48" s="1276"/>
      <c r="G48" s="1285"/>
      <c r="H48" s="1285"/>
      <c r="I48" s="1285"/>
      <c r="J48" s="1285"/>
      <c r="K48" s="1285"/>
      <c r="L48" s="1071"/>
    </row>
    <row r="49" spans="1:12">
      <c r="A49" s="1201" t="s">
        <v>3052</v>
      </c>
      <c r="B49" s="1132"/>
      <c r="C49" s="934"/>
      <c r="D49" s="934"/>
      <c r="E49" s="934"/>
      <c r="F49" s="934"/>
      <c r="G49" s="934"/>
      <c r="H49" s="934"/>
      <c r="I49" s="934"/>
      <c r="J49" s="934"/>
      <c r="K49" s="934"/>
      <c r="L49" s="1071"/>
    </row>
    <row r="50" spans="1:12">
      <c r="A50" s="1084"/>
      <c r="B50" s="1133"/>
      <c r="C50" s="1133"/>
      <c r="D50" s="1133"/>
      <c r="E50" s="1133"/>
      <c r="F50" s="1133"/>
      <c r="G50" s="1133"/>
      <c r="H50" s="1133"/>
      <c r="I50" s="1133"/>
      <c r="J50" s="1133"/>
      <c r="K50" s="1133"/>
      <c r="L50" s="1071"/>
    </row>
    <row r="51" spans="1:12">
      <c r="A51" s="1148" t="s">
        <v>3381</v>
      </c>
      <c r="B51" s="1154"/>
      <c r="C51" s="1154"/>
      <c r="D51" s="1154"/>
      <c r="E51" s="1154"/>
      <c r="F51" s="1154"/>
      <c r="G51" s="1154"/>
      <c r="H51" s="1154"/>
      <c r="I51" s="1154"/>
      <c r="J51" s="1154"/>
      <c r="K51" s="1154"/>
      <c r="L51" s="1071"/>
    </row>
    <row r="52" spans="1:12">
      <c r="A52" s="934" t="s">
        <v>3379</v>
      </c>
      <c r="B52" s="934"/>
      <c r="C52" s="934"/>
      <c r="D52" s="934"/>
      <c r="E52" s="934"/>
      <c r="F52" s="934"/>
      <c r="G52" s="934"/>
      <c r="H52" s="934"/>
      <c r="I52" s="934"/>
      <c r="J52" s="934"/>
      <c r="K52" s="934"/>
      <c r="L52" s="1071"/>
    </row>
    <row r="53" spans="1:12">
      <c r="A53" s="934" t="s">
        <v>3380</v>
      </c>
      <c r="B53" s="934"/>
      <c r="C53" s="934"/>
      <c r="D53" s="934"/>
      <c r="E53" s="934"/>
      <c r="F53" s="934"/>
      <c r="G53" s="934"/>
      <c r="H53" s="934"/>
      <c r="I53" s="934"/>
      <c r="J53" s="934"/>
      <c r="K53" s="934"/>
      <c r="L53" s="1071"/>
    </row>
    <row r="54" spans="1:12">
      <c r="A54" s="1287"/>
      <c r="B54" s="1288"/>
      <c r="C54" s="1288"/>
      <c r="D54" s="1288"/>
      <c r="E54" s="1288"/>
      <c r="F54" s="1288"/>
      <c r="G54" s="1288"/>
      <c r="H54" s="1288"/>
      <c r="I54" s="1288"/>
      <c r="J54" s="1288"/>
      <c r="K54" s="1288"/>
      <c r="L54" s="1071"/>
    </row>
    <row r="55" spans="1:12" ht="12.75" customHeight="1">
      <c r="A55" s="1289"/>
      <c r="B55" s="1288"/>
      <c r="C55" s="1288"/>
      <c r="D55" s="1288"/>
      <c r="E55" s="1288"/>
      <c r="F55" s="1288"/>
      <c r="G55" s="1288"/>
      <c r="H55" s="1288"/>
      <c r="I55" s="1288"/>
      <c r="J55" s="1288"/>
      <c r="K55" s="1288"/>
      <c r="L55" s="1071"/>
    </row>
    <row r="56" spans="1:12" ht="14.25">
      <c r="A56" s="1728"/>
      <c r="B56" s="1728"/>
      <c r="C56" s="1728"/>
      <c r="D56" s="1728"/>
      <c r="E56" s="1728"/>
      <c r="F56" s="1728"/>
      <c r="G56" s="1728"/>
      <c r="H56" s="1728"/>
      <c r="I56" s="1728"/>
      <c r="J56" s="1728"/>
      <c r="K56" s="1728"/>
      <c r="L56" s="1071"/>
    </row>
    <row r="57" spans="1:12">
      <c r="A57" s="1725"/>
      <c r="B57" s="1725"/>
      <c r="C57" s="1725"/>
      <c r="D57" s="1725"/>
      <c r="E57" s="1725"/>
      <c r="F57" s="1725"/>
      <c r="G57" s="1725"/>
      <c r="H57" s="1725"/>
      <c r="I57" s="1725"/>
      <c r="J57" s="1725"/>
      <c r="K57" s="1725"/>
      <c r="L57" s="1071"/>
    </row>
    <row r="58" spans="1:12">
      <c r="A58" s="1290"/>
      <c r="B58" s="1290"/>
      <c r="C58" s="1290"/>
      <c r="D58" s="1290"/>
      <c r="E58" s="1290"/>
      <c r="F58" s="1290"/>
      <c r="G58" s="1290"/>
      <c r="H58" s="1290"/>
      <c r="I58" s="1290"/>
      <c r="J58" s="1290"/>
      <c r="K58" s="1290"/>
    </row>
    <row r="59" spans="1:12">
      <c r="A59" s="1290"/>
      <c r="B59" s="1290"/>
      <c r="C59" s="1290"/>
      <c r="D59" s="1290"/>
      <c r="E59" s="1290"/>
      <c r="F59" s="1290"/>
      <c r="G59" s="1290"/>
      <c r="H59" s="1290"/>
      <c r="I59" s="1290"/>
      <c r="J59" s="1290"/>
      <c r="K59" s="1290"/>
    </row>
    <row r="60" spans="1:12">
      <c r="A60" s="1290"/>
      <c r="B60" s="1290"/>
      <c r="C60" s="1290"/>
      <c r="D60" s="1290"/>
      <c r="E60" s="1290"/>
      <c r="F60" s="1290"/>
      <c r="G60" s="1290"/>
      <c r="H60" s="1290"/>
      <c r="I60" s="1290"/>
      <c r="J60" s="1290"/>
      <c r="K60" s="1290"/>
    </row>
    <row r="62" spans="1:12" ht="15.75">
      <c r="A62" s="1566" t="s">
        <v>1336</v>
      </c>
      <c r="B62" s="1567"/>
      <c r="C62" s="1567"/>
      <c r="D62" s="1567"/>
      <c r="E62" s="1567"/>
      <c r="F62" s="1567"/>
      <c r="G62" s="1567"/>
      <c r="H62" s="1567"/>
      <c r="I62" s="1567"/>
      <c r="J62" s="1567"/>
      <c r="K62" s="1567"/>
      <c r="L62" s="1567"/>
    </row>
  </sheetData>
  <mergeCells count="17">
    <mergeCell ref="A6:K6"/>
    <mergeCell ref="A1:K1"/>
    <mergeCell ref="A2:K2"/>
    <mergeCell ref="A3:K3"/>
    <mergeCell ref="A4:K4"/>
    <mergeCell ref="A5:K5"/>
    <mergeCell ref="A7:K7"/>
    <mergeCell ref="A30:K30"/>
    <mergeCell ref="A57:K57"/>
    <mergeCell ref="A62:L62"/>
    <mergeCell ref="A42:K42"/>
    <mergeCell ref="A38:K38"/>
    <mergeCell ref="A40:K40"/>
    <mergeCell ref="A56:K56"/>
    <mergeCell ref="A29:K29"/>
    <mergeCell ref="A26:K26"/>
    <mergeCell ref="A37:K37"/>
  </mergeCells>
  <pageMargins left="0.25" right="0.25" top="0.75" bottom="0.75" header="0.3" footer="0.3"/>
  <pageSetup scale="64"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election activeCell="A5" sqref="A5"/>
    </sheetView>
  </sheetViews>
  <sheetFormatPr defaultRowHeight="12.75"/>
  <cols>
    <col min="1" max="1" width="120.7109375" customWidth="1"/>
  </cols>
  <sheetData>
    <row r="3" spans="1:1" ht="18">
      <c r="A3" s="7" t="s">
        <v>707</v>
      </c>
    </row>
    <row r="5" spans="1:1" ht="408.95" customHeight="1"/>
    <row r="6" spans="1:1" ht="12.75" customHeight="1"/>
    <row r="16" spans="1:1" ht="15.75">
      <c r="A16" s="124" t="s">
        <v>708</v>
      </c>
    </row>
    <row r="20" spans="1:1" ht="18">
      <c r="A20" s="7" t="s">
        <v>709</v>
      </c>
    </row>
    <row r="22" spans="1:1" ht="408.95" customHeight="1"/>
    <row r="34" spans="1:1" ht="15.75">
      <c r="A34" s="124" t="s">
        <v>710</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2.75"/>
  <sheetData>
    <row r="1" spans="1:10" ht="60">
      <c r="A1" s="1432" t="s">
        <v>992</v>
      </c>
      <c r="B1" s="1433"/>
      <c r="C1" s="1433"/>
      <c r="D1" s="1433"/>
      <c r="E1" s="1433"/>
      <c r="F1" s="1433"/>
      <c r="G1" s="1433"/>
      <c r="H1" s="1433"/>
      <c r="I1" s="1433"/>
      <c r="J1" s="1433"/>
    </row>
    <row r="6" spans="1:10" ht="60">
      <c r="A6" s="1432" t="s">
        <v>990</v>
      </c>
      <c r="B6" s="1434"/>
      <c r="C6" s="1434"/>
      <c r="D6" s="1434"/>
      <c r="E6" s="1434"/>
      <c r="F6" s="1434"/>
      <c r="G6" s="1434"/>
      <c r="H6" s="1434"/>
      <c r="I6" s="1434"/>
      <c r="J6" s="1434"/>
    </row>
    <row r="11" spans="1:10" ht="60">
      <c r="A11" s="1432" t="s">
        <v>991</v>
      </c>
      <c r="B11" s="1434"/>
      <c r="C11" s="1434"/>
      <c r="D11" s="1434"/>
      <c r="E11" s="1434"/>
      <c r="F11" s="1434"/>
      <c r="G11" s="1434"/>
      <c r="H11" s="1434"/>
      <c r="I11" s="1434"/>
      <c r="J11" s="1434"/>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3"/>
  <sheetViews>
    <sheetView topLeftCell="A3" zoomScaleNormal="100" workbookViewId="0">
      <pane xSplit="2" ySplit="5" topLeftCell="C8" activePane="bottomRight" state="frozen"/>
      <selection activeCell="A3" sqref="A3"/>
      <selection pane="topRight" activeCell="C3" sqref="C3"/>
      <selection pane="bottomLeft" activeCell="A8" sqref="A8"/>
      <selection pane="bottomRight" activeCell="F3" sqref="F1:BL1048576"/>
    </sheetView>
  </sheetViews>
  <sheetFormatPr defaultColWidth="8.85546875" defaultRowHeight="12.75"/>
  <cols>
    <col min="1" max="1" width="13.7109375" style="261" customWidth="1"/>
    <col min="2" max="2" width="45.7109375" style="261" customWidth="1"/>
    <col min="3" max="5" width="18.7109375" style="261" customWidth="1"/>
    <col min="6" max="65" width="18.7109375" style="261" hidden="1" customWidth="1"/>
    <col min="66" max="66" width="18.7109375" style="261" customWidth="1"/>
    <col min="67" max="16384" width="8.85546875" style="261"/>
  </cols>
  <sheetData>
    <row r="1" spans="1:71" ht="6.75" hidden="1" customHeight="1"/>
    <row r="2" spans="1:71" ht="6.75" hidden="1" customHeight="1">
      <c r="A2" s="425"/>
      <c r="B2" s="276"/>
      <c r="C2" s="413"/>
      <c r="D2" s="276"/>
      <c r="E2" s="276"/>
      <c r="F2" s="426"/>
      <c r="I2" s="426"/>
      <c r="M2" s="426"/>
      <c r="Q2" s="426"/>
      <c r="U2" s="426"/>
      <c r="Y2" s="426"/>
      <c r="AC2" s="426"/>
      <c r="AG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266" t="s">
        <v>1030</v>
      </c>
    </row>
    <row r="3" spans="1:71" ht="18" customHeight="1">
      <c r="A3" s="282"/>
      <c r="B3" s="282"/>
      <c r="C3" s="659" t="s">
        <v>3687</v>
      </c>
      <c r="D3" s="266" t="s">
        <v>3689</v>
      </c>
      <c r="E3" s="266" t="s">
        <v>3691</v>
      </c>
      <c r="F3" s="266" t="s">
        <v>1016</v>
      </c>
      <c r="G3" s="266" t="s">
        <v>1016</v>
      </c>
      <c r="H3" s="266" t="s">
        <v>1016</v>
      </c>
      <c r="I3" s="266" t="s">
        <v>1016</v>
      </c>
      <c r="J3" s="266" t="s">
        <v>1016</v>
      </c>
      <c r="K3" s="266" t="s">
        <v>1016</v>
      </c>
      <c r="L3" s="266" t="s">
        <v>1016</v>
      </c>
      <c r="M3" s="266" t="s">
        <v>1016</v>
      </c>
      <c r="N3" s="266" t="s">
        <v>1016</v>
      </c>
      <c r="O3" s="266" t="s">
        <v>1016</v>
      </c>
      <c r="P3" s="266" t="s">
        <v>1016</v>
      </c>
      <c r="Q3" s="266" t="s">
        <v>1016</v>
      </c>
      <c r="R3" s="266" t="s">
        <v>1016</v>
      </c>
      <c r="S3" s="266" t="s">
        <v>1016</v>
      </c>
      <c r="T3" s="266" t="s">
        <v>1016</v>
      </c>
      <c r="U3" s="266" t="s">
        <v>1016</v>
      </c>
      <c r="V3" s="266" t="s">
        <v>1016</v>
      </c>
      <c r="W3" s="266" t="s">
        <v>1016</v>
      </c>
      <c r="X3" s="266" t="s">
        <v>1016</v>
      </c>
      <c r="Y3" s="266" t="s">
        <v>1016</v>
      </c>
      <c r="Z3" s="266" t="s">
        <v>1016</v>
      </c>
      <c r="AA3" s="266" t="s">
        <v>1016</v>
      </c>
      <c r="AB3" s="266" t="s">
        <v>1016</v>
      </c>
      <c r="AC3" s="266" t="s">
        <v>1016</v>
      </c>
      <c r="AD3" s="266" t="s">
        <v>1016</v>
      </c>
      <c r="AE3" s="266" t="s">
        <v>1016</v>
      </c>
      <c r="AF3" s="266" t="s">
        <v>1016</v>
      </c>
      <c r="AG3" s="266" t="s">
        <v>1016</v>
      </c>
      <c r="AH3" s="266" t="s">
        <v>1016</v>
      </c>
      <c r="AI3" s="266" t="s">
        <v>1016</v>
      </c>
      <c r="AJ3" s="266" t="s">
        <v>1016</v>
      </c>
      <c r="AK3" s="266" t="s">
        <v>1016</v>
      </c>
      <c r="AL3" s="266" t="s">
        <v>1016</v>
      </c>
      <c r="AM3" s="266" t="s">
        <v>1016</v>
      </c>
      <c r="AN3" s="266" t="s">
        <v>1016</v>
      </c>
      <c r="AO3" s="266" t="s">
        <v>1016</v>
      </c>
      <c r="AP3" s="266" t="s">
        <v>1016</v>
      </c>
      <c r="AQ3" s="266" t="s">
        <v>1016</v>
      </c>
      <c r="AR3" s="266" t="s">
        <v>1016</v>
      </c>
      <c r="AS3" s="266" t="s">
        <v>1016</v>
      </c>
      <c r="AT3" s="266" t="s">
        <v>1016</v>
      </c>
      <c r="AU3" s="266" t="s">
        <v>1016</v>
      </c>
      <c r="AV3" s="266" t="s">
        <v>1016</v>
      </c>
      <c r="AW3" s="266" t="s">
        <v>1016</v>
      </c>
      <c r="AX3" s="266" t="s">
        <v>1016</v>
      </c>
      <c r="AY3" s="266" t="s">
        <v>1016</v>
      </c>
      <c r="AZ3" s="266" t="s">
        <v>1016</v>
      </c>
      <c r="BA3" s="266" t="s">
        <v>1016</v>
      </c>
      <c r="BB3" s="266" t="s">
        <v>1016</v>
      </c>
      <c r="BC3" s="266" t="s">
        <v>1016</v>
      </c>
      <c r="BD3" s="266" t="s">
        <v>1016</v>
      </c>
      <c r="BE3" s="266" t="s">
        <v>1016</v>
      </c>
      <c r="BF3" s="266" t="s">
        <v>1016</v>
      </c>
      <c r="BG3" s="266" t="s">
        <v>1016</v>
      </c>
      <c r="BH3" s="266" t="s">
        <v>1016</v>
      </c>
      <c r="BI3" s="266" t="s">
        <v>1016</v>
      </c>
      <c r="BJ3" s="266" t="s">
        <v>1016</v>
      </c>
      <c r="BK3" s="266" t="s">
        <v>1016</v>
      </c>
      <c r="BL3" s="266" t="s">
        <v>1016</v>
      </c>
      <c r="BM3" s="266" t="s">
        <v>1016</v>
      </c>
      <c r="BN3" s="430" t="s">
        <v>1031</v>
      </c>
      <c r="BO3" s="266"/>
      <c r="BP3" s="263"/>
      <c r="BQ3" s="263"/>
      <c r="BR3" s="263"/>
      <c r="BS3" s="263"/>
    </row>
    <row r="4" spans="1:71" ht="18.95" customHeight="1">
      <c r="A4" s="263"/>
      <c r="B4" s="263"/>
      <c r="C4" s="1738" t="s">
        <v>3688</v>
      </c>
      <c r="D4" s="1736" t="s">
        <v>3690</v>
      </c>
      <c r="E4" s="1736" t="s">
        <v>3692</v>
      </c>
      <c r="F4" s="1736" t="s">
        <v>1017</v>
      </c>
      <c r="G4" s="1736" t="s">
        <v>1017</v>
      </c>
      <c r="H4" s="1736" t="s">
        <v>1017</v>
      </c>
      <c r="I4" s="1736" t="s">
        <v>1017</v>
      </c>
      <c r="J4" s="1736" t="s">
        <v>1017</v>
      </c>
      <c r="K4" s="1736" t="s">
        <v>1017</v>
      </c>
      <c r="L4" s="1736" t="s">
        <v>1017</v>
      </c>
      <c r="M4" s="1736" t="s">
        <v>1017</v>
      </c>
      <c r="N4" s="1736" t="s">
        <v>1017</v>
      </c>
      <c r="O4" s="1736" t="s">
        <v>1017</v>
      </c>
      <c r="P4" s="1736" t="s">
        <v>1017</v>
      </c>
      <c r="Q4" s="1736" t="s">
        <v>1017</v>
      </c>
      <c r="R4" s="1736" t="s">
        <v>1017</v>
      </c>
      <c r="S4" s="1736" t="s">
        <v>1017</v>
      </c>
      <c r="T4" s="1736" t="s">
        <v>1017</v>
      </c>
      <c r="U4" s="1736" t="s">
        <v>1017</v>
      </c>
      <c r="V4" s="1736" t="s">
        <v>1017</v>
      </c>
      <c r="W4" s="1736" t="s">
        <v>1017</v>
      </c>
      <c r="X4" s="1736" t="s">
        <v>1017</v>
      </c>
      <c r="Y4" s="1736" t="s">
        <v>1017</v>
      </c>
      <c r="Z4" s="1736" t="s">
        <v>1017</v>
      </c>
      <c r="AA4" s="1736" t="s">
        <v>1017</v>
      </c>
      <c r="AB4" s="1736" t="s">
        <v>1017</v>
      </c>
      <c r="AC4" s="1736" t="s">
        <v>1017</v>
      </c>
      <c r="AD4" s="1736" t="s">
        <v>1017</v>
      </c>
      <c r="AE4" s="1736" t="s">
        <v>1017</v>
      </c>
      <c r="AF4" s="1736" t="s">
        <v>1017</v>
      </c>
      <c r="AG4" s="1736" t="s">
        <v>1017</v>
      </c>
      <c r="AH4" s="1736" t="s">
        <v>1017</v>
      </c>
      <c r="AI4" s="1736" t="s">
        <v>1017</v>
      </c>
      <c r="AJ4" s="1736" t="s">
        <v>1017</v>
      </c>
      <c r="AK4" s="1736" t="s">
        <v>1017</v>
      </c>
      <c r="AL4" s="1736" t="s">
        <v>1017</v>
      </c>
      <c r="AM4" s="1736" t="s">
        <v>1017</v>
      </c>
      <c r="AN4" s="1736" t="s">
        <v>1017</v>
      </c>
      <c r="AO4" s="1736" t="s">
        <v>1017</v>
      </c>
      <c r="AP4" s="1736" t="s">
        <v>1017</v>
      </c>
      <c r="AQ4" s="1736" t="s">
        <v>1017</v>
      </c>
      <c r="AR4" s="1736" t="s">
        <v>1017</v>
      </c>
      <c r="AS4" s="1736" t="s">
        <v>1017</v>
      </c>
      <c r="AT4" s="1736" t="s">
        <v>1017</v>
      </c>
      <c r="AU4" s="1736" t="s">
        <v>1017</v>
      </c>
      <c r="AV4" s="1736" t="s">
        <v>1017</v>
      </c>
      <c r="AW4" s="1736" t="s">
        <v>1017</v>
      </c>
      <c r="AX4" s="1736" t="s">
        <v>1017</v>
      </c>
      <c r="AY4" s="1736" t="s">
        <v>1017</v>
      </c>
      <c r="AZ4" s="1736" t="s">
        <v>1017</v>
      </c>
      <c r="BA4" s="1736" t="s">
        <v>1017</v>
      </c>
      <c r="BB4" s="1736" t="s">
        <v>1017</v>
      </c>
      <c r="BC4" s="1736" t="s">
        <v>1017</v>
      </c>
      <c r="BD4" s="1736" t="s">
        <v>1017</v>
      </c>
      <c r="BE4" s="1736" t="s">
        <v>1017</v>
      </c>
      <c r="BF4" s="1736" t="s">
        <v>1017</v>
      </c>
      <c r="BG4" s="1736" t="s">
        <v>1017</v>
      </c>
      <c r="BH4" s="1736" t="s">
        <v>1017</v>
      </c>
      <c r="BI4" s="1736" t="s">
        <v>1017</v>
      </c>
      <c r="BJ4" s="1736" t="s">
        <v>1017</v>
      </c>
      <c r="BK4" s="1736" t="s">
        <v>1017</v>
      </c>
      <c r="BL4" s="1736" t="s">
        <v>1017</v>
      </c>
      <c r="BM4" s="266" t="s">
        <v>1017</v>
      </c>
      <c r="BN4" s="430" t="s">
        <v>1033</v>
      </c>
      <c r="BO4" s="266"/>
      <c r="BP4" s="263"/>
      <c r="BQ4" s="263"/>
      <c r="BR4" s="263"/>
      <c r="BS4" s="263"/>
    </row>
    <row r="5" spans="1:71" ht="18.95" customHeight="1">
      <c r="A5" s="266" t="s">
        <v>1013</v>
      </c>
      <c r="B5" s="266"/>
      <c r="C5" s="1738"/>
      <c r="D5" s="1736"/>
      <c r="E5" s="1736"/>
      <c r="F5" s="1736"/>
      <c r="G5" s="1736"/>
      <c r="H5" s="1736"/>
      <c r="I5" s="1736"/>
      <c r="J5" s="1736"/>
      <c r="K5" s="1736"/>
      <c r="L5" s="1736"/>
      <c r="M5" s="1736"/>
      <c r="N5" s="1736"/>
      <c r="O5" s="1736"/>
      <c r="P5" s="1736"/>
      <c r="Q5" s="1736"/>
      <c r="R5" s="1736"/>
      <c r="S5" s="1736"/>
      <c r="T5" s="1736"/>
      <c r="U5" s="1736"/>
      <c r="V5" s="1736"/>
      <c r="W5" s="1736"/>
      <c r="X5" s="1736"/>
      <c r="Y5" s="1736"/>
      <c r="Z5" s="1736"/>
      <c r="AA5" s="1736"/>
      <c r="AB5" s="1736"/>
      <c r="AC5" s="1736"/>
      <c r="AD5" s="1736"/>
      <c r="AE5" s="1736"/>
      <c r="AF5" s="1736"/>
      <c r="AG5" s="1736"/>
      <c r="AH5" s="1736"/>
      <c r="AI5" s="1736"/>
      <c r="AJ5" s="1736"/>
      <c r="AK5" s="1736"/>
      <c r="AL5" s="1736"/>
      <c r="AM5" s="1736"/>
      <c r="AN5" s="1736"/>
      <c r="AO5" s="1736"/>
      <c r="AP5" s="1736"/>
      <c r="AQ5" s="1736"/>
      <c r="AR5" s="1736"/>
      <c r="AS5" s="1736"/>
      <c r="AT5" s="1736"/>
      <c r="AU5" s="1736"/>
      <c r="AV5" s="1736"/>
      <c r="AW5" s="1736"/>
      <c r="AX5" s="1736"/>
      <c r="AY5" s="1736"/>
      <c r="AZ5" s="1736"/>
      <c r="BA5" s="1736"/>
      <c r="BB5" s="1736"/>
      <c r="BC5" s="1736"/>
      <c r="BD5" s="1736"/>
      <c r="BE5" s="1736"/>
      <c r="BF5" s="1736"/>
      <c r="BG5" s="1736"/>
      <c r="BH5" s="1736"/>
      <c r="BI5" s="1736"/>
      <c r="BJ5" s="1736"/>
      <c r="BK5" s="1736"/>
      <c r="BL5" s="1736"/>
      <c r="BM5" s="300"/>
      <c r="BN5" s="430" t="s">
        <v>1034</v>
      </c>
      <c r="BO5" s="263"/>
      <c r="BP5" s="263"/>
      <c r="BQ5" s="263"/>
      <c r="BR5" s="263"/>
      <c r="BS5" s="263"/>
    </row>
    <row r="6" spans="1:71" ht="18.95" customHeight="1" thickBot="1">
      <c r="A6" s="267" t="s">
        <v>1014</v>
      </c>
      <c r="B6" s="267" t="s">
        <v>1015</v>
      </c>
      <c r="C6" s="1739"/>
      <c r="D6" s="1737"/>
      <c r="E6" s="1737"/>
      <c r="F6" s="1737"/>
      <c r="G6" s="1737"/>
      <c r="H6" s="1737"/>
      <c r="I6" s="1737"/>
      <c r="J6" s="1737"/>
      <c r="K6" s="1737"/>
      <c r="L6" s="1737"/>
      <c r="M6" s="1737"/>
      <c r="N6" s="1737"/>
      <c r="O6" s="1737"/>
      <c r="P6" s="1737"/>
      <c r="Q6" s="1737"/>
      <c r="R6" s="1737"/>
      <c r="S6" s="1737"/>
      <c r="T6" s="1737"/>
      <c r="U6" s="1737"/>
      <c r="V6" s="1737"/>
      <c r="W6" s="1737"/>
      <c r="X6" s="1737"/>
      <c r="Y6" s="1737"/>
      <c r="Z6" s="1737"/>
      <c r="AA6" s="1737"/>
      <c r="AB6" s="1737"/>
      <c r="AC6" s="1737"/>
      <c r="AD6" s="1737"/>
      <c r="AE6" s="1737"/>
      <c r="AF6" s="1737"/>
      <c r="AG6" s="1737"/>
      <c r="AH6" s="1737"/>
      <c r="AI6" s="1737"/>
      <c r="AJ6" s="1737"/>
      <c r="AK6" s="1737"/>
      <c r="AL6" s="1737"/>
      <c r="AM6" s="1737"/>
      <c r="AN6" s="1737"/>
      <c r="AO6" s="1737"/>
      <c r="AP6" s="1737"/>
      <c r="AQ6" s="1737"/>
      <c r="AR6" s="1737"/>
      <c r="AS6" s="1737"/>
      <c r="AT6" s="1737"/>
      <c r="AU6" s="1737"/>
      <c r="AV6" s="1737"/>
      <c r="AW6" s="1737"/>
      <c r="AX6" s="1737"/>
      <c r="AY6" s="1737"/>
      <c r="AZ6" s="1737"/>
      <c r="BA6" s="1737"/>
      <c r="BB6" s="1737"/>
      <c r="BC6" s="1737"/>
      <c r="BD6" s="1737"/>
      <c r="BE6" s="1737"/>
      <c r="BF6" s="1737"/>
      <c r="BG6" s="1737"/>
      <c r="BH6" s="1737"/>
      <c r="BI6" s="1737"/>
      <c r="BJ6" s="1737"/>
      <c r="BK6" s="1737"/>
      <c r="BL6" s="1737"/>
      <c r="BM6" s="331"/>
      <c r="BN6" s="676" t="s">
        <v>1032</v>
      </c>
      <c r="BO6" s="263"/>
      <c r="BP6" s="263"/>
      <c r="BQ6" s="263"/>
      <c r="BR6" s="263"/>
      <c r="BS6" s="263"/>
    </row>
    <row r="7" spans="1:71" ht="18.95" customHeight="1">
      <c r="A7" s="428"/>
      <c r="B7" s="677" t="s">
        <v>1060</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263"/>
      <c r="BP7" s="263"/>
      <c r="BQ7" s="263"/>
      <c r="BR7" s="263"/>
      <c r="BS7" s="263"/>
    </row>
    <row r="8" spans="1:71" ht="18.95" customHeight="1">
      <c r="A8" s="428">
        <v>101000</v>
      </c>
      <c r="B8" s="411" t="s">
        <v>1061</v>
      </c>
      <c r="C8" s="269">
        <v>3093.08</v>
      </c>
      <c r="D8" s="269">
        <v>20866.45</v>
      </c>
      <c r="E8" s="269">
        <v>6062.84</v>
      </c>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77">
        <f t="shared" ref="BN8:BN13" si="0">SUM(C8:BM8)</f>
        <v>30022.37</v>
      </c>
      <c r="BO8" s="263"/>
      <c r="BP8" s="263"/>
      <c r="BQ8" s="263"/>
      <c r="BR8" s="263"/>
      <c r="BS8" s="263"/>
    </row>
    <row r="9" spans="1:71" ht="18.95" customHeight="1">
      <c r="A9" s="428">
        <v>103000</v>
      </c>
      <c r="B9" s="411" t="s">
        <v>1205</v>
      </c>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77">
        <f t="shared" si="0"/>
        <v>0</v>
      </c>
      <c r="BO9" s="263"/>
      <c r="BP9" s="263"/>
      <c r="BQ9" s="263"/>
      <c r="BR9" s="263"/>
      <c r="BS9" s="263"/>
    </row>
    <row r="10" spans="1:71" ht="18.95" customHeight="1">
      <c r="A10" s="428">
        <v>101100</v>
      </c>
      <c r="B10" s="411" t="s">
        <v>1062</v>
      </c>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69"/>
      <c r="BM10" s="269"/>
      <c r="BN10" s="277">
        <f t="shared" si="0"/>
        <v>0</v>
      </c>
      <c r="BO10" s="263"/>
      <c r="BP10" s="263"/>
      <c r="BQ10" s="263"/>
      <c r="BR10" s="263"/>
      <c r="BS10" s="263"/>
    </row>
    <row r="11" spans="1:71" ht="18.95" customHeight="1">
      <c r="A11" s="428">
        <v>102000</v>
      </c>
      <c r="B11" s="411" t="s">
        <v>1018</v>
      </c>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77">
        <f t="shared" si="0"/>
        <v>0</v>
      </c>
      <c r="BO11" s="263"/>
      <c r="BP11" s="263"/>
      <c r="BQ11" s="263"/>
      <c r="BR11" s="263"/>
      <c r="BS11" s="263"/>
    </row>
    <row r="12" spans="1:71" ht="18.95" customHeight="1">
      <c r="A12" s="428">
        <v>102300</v>
      </c>
      <c r="B12" s="411" t="s">
        <v>1019</v>
      </c>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77">
        <f t="shared" si="0"/>
        <v>0</v>
      </c>
      <c r="BO12" s="263"/>
      <c r="BP12" s="263"/>
      <c r="BQ12" s="263"/>
      <c r="BR12" s="263"/>
      <c r="BS12" s="263"/>
    </row>
    <row r="13" spans="1:71" ht="18.95" customHeight="1">
      <c r="A13" s="428">
        <v>106000</v>
      </c>
      <c r="B13" s="411" t="s">
        <v>1020</v>
      </c>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77">
        <f t="shared" si="0"/>
        <v>0</v>
      </c>
      <c r="BO13" s="263"/>
      <c r="BP13" s="263"/>
      <c r="BQ13" s="263"/>
      <c r="BR13" s="263"/>
      <c r="BS13" s="263"/>
    </row>
    <row r="14" spans="1:71" ht="18.95" customHeight="1">
      <c r="A14" s="428"/>
      <c r="B14" s="411" t="s">
        <v>1021</v>
      </c>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77"/>
      <c r="BO14" s="263"/>
      <c r="BP14" s="263"/>
      <c r="BQ14" s="263"/>
      <c r="BR14" s="263"/>
      <c r="BS14" s="263"/>
    </row>
    <row r="15" spans="1:71" ht="18.95" customHeight="1">
      <c r="A15" s="428">
        <v>111000</v>
      </c>
      <c r="B15" s="411" t="s">
        <v>1022</v>
      </c>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77">
        <f t="shared" ref="BN15:BN26" si="1">SUM(C15:BM15)</f>
        <v>0</v>
      </c>
      <c r="BO15" s="263"/>
      <c r="BP15" s="263"/>
      <c r="BQ15" s="263"/>
      <c r="BR15" s="263"/>
      <c r="BS15" s="263"/>
    </row>
    <row r="16" spans="1:71" ht="18.95" customHeight="1">
      <c r="A16" s="428">
        <v>113000</v>
      </c>
      <c r="B16" s="411" t="s">
        <v>1023</v>
      </c>
      <c r="C16" s="269">
        <v>446.53</v>
      </c>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77">
        <f t="shared" si="1"/>
        <v>446.53</v>
      </c>
      <c r="BO16" s="263"/>
      <c r="BP16" s="263"/>
      <c r="BQ16" s="263"/>
      <c r="BR16" s="263"/>
      <c r="BS16" s="263"/>
    </row>
    <row r="17" spans="1:71" ht="18.95" customHeight="1">
      <c r="A17" s="428">
        <v>114000</v>
      </c>
      <c r="B17" s="411" t="s">
        <v>1024</v>
      </c>
      <c r="C17" s="269">
        <v>4.12</v>
      </c>
      <c r="D17" s="269"/>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77">
        <f t="shared" si="1"/>
        <v>4.12</v>
      </c>
      <c r="BO17" s="263"/>
      <c r="BP17" s="263"/>
      <c r="BQ17" s="263"/>
      <c r="BR17" s="263"/>
      <c r="BS17" s="263"/>
    </row>
    <row r="18" spans="1:71" ht="18.95" customHeight="1">
      <c r="A18" s="428">
        <v>115000</v>
      </c>
      <c r="B18" s="411" t="s">
        <v>1025</v>
      </c>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77">
        <f t="shared" si="1"/>
        <v>0</v>
      </c>
      <c r="BO18" s="263"/>
      <c r="BP18" s="263"/>
      <c r="BQ18" s="263"/>
      <c r="BR18" s="263"/>
      <c r="BS18" s="263"/>
    </row>
    <row r="19" spans="1:71" ht="18.95" customHeight="1">
      <c r="A19" s="428">
        <v>116000</v>
      </c>
      <c r="B19" s="411" t="s">
        <v>1026</v>
      </c>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77">
        <f t="shared" si="1"/>
        <v>0</v>
      </c>
      <c r="BO19" s="263"/>
      <c r="BP19" s="263"/>
      <c r="BQ19" s="263"/>
      <c r="BR19" s="263"/>
      <c r="BS19" s="263"/>
    </row>
    <row r="20" spans="1:71" ht="18.95" customHeight="1">
      <c r="A20" s="428">
        <v>118000</v>
      </c>
      <c r="B20" s="411" t="s">
        <v>825</v>
      </c>
      <c r="C20" s="269"/>
      <c r="D20" s="269">
        <v>1095.44</v>
      </c>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77">
        <f t="shared" si="1"/>
        <v>1095.44</v>
      </c>
      <c r="BO20" s="263"/>
      <c r="BP20" s="263"/>
      <c r="BQ20" s="263"/>
      <c r="BR20" s="263"/>
      <c r="BS20" s="263"/>
    </row>
    <row r="21" spans="1:71" ht="30" customHeight="1">
      <c r="A21" s="428">
        <v>120000</v>
      </c>
      <c r="B21" s="678" t="s">
        <v>666</v>
      </c>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69"/>
      <c r="AL21" s="269"/>
      <c r="AM21" s="269"/>
      <c r="AN21" s="269"/>
      <c r="AO21" s="269"/>
      <c r="AP21" s="269"/>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77">
        <f t="shared" si="1"/>
        <v>0</v>
      </c>
      <c r="BO21" s="263"/>
      <c r="BP21" s="263"/>
      <c r="BQ21" s="263"/>
      <c r="BR21" s="263"/>
      <c r="BS21" s="263"/>
    </row>
    <row r="22" spans="1:71" ht="18.95" customHeight="1">
      <c r="A22" s="428">
        <v>131000</v>
      </c>
      <c r="B22" s="411" t="s">
        <v>249</v>
      </c>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77">
        <f t="shared" si="1"/>
        <v>0</v>
      </c>
      <c r="BO22" s="263"/>
      <c r="BP22" s="263"/>
      <c r="BQ22" s="263"/>
      <c r="BR22" s="263"/>
      <c r="BS22" s="263"/>
    </row>
    <row r="23" spans="1:71" ht="18.95" customHeight="1">
      <c r="A23" s="428">
        <v>132000</v>
      </c>
      <c r="B23" s="411" t="s">
        <v>250</v>
      </c>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c r="AL23" s="269"/>
      <c r="AM23" s="269"/>
      <c r="AN23" s="269"/>
      <c r="AO23" s="269"/>
      <c r="AP23" s="269"/>
      <c r="AQ23" s="269"/>
      <c r="AR23" s="269"/>
      <c r="AS23" s="269"/>
      <c r="AT23" s="269"/>
      <c r="AU23" s="269"/>
      <c r="AV23" s="269"/>
      <c r="AW23" s="269"/>
      <c r="AX23" s="269"/>
      <c r="AY23" s="269"/>
      <c r="AZ23" s="269"/>
      <c r="BA23" s="269"/>
      <c r="BB23" s="269"/>
      <c r="BC23" s="269"/>
      <c r="BD23" s="269"/>
      <c r="BE23" s="269"/>
      <c r="BF23" s="269"/>
      <c r="BG23" s="269"/>
      <c r="BH23" s="269"/>
      <c r="BI23" s="269"/>
      <c r="BJ23" s="269"/>
      <c r="BK23" s="269"/>
      <c r="BL23" s="269"/>
      <c r="BM23" s="269"/>
      <c r="BN23" s="277">
        <f t="shared" si="1"/>
        <v>0</v>
      </c>
      <c r="BO23" s="263"/>
      <c r="BP23" s="263"/>
      <c r="BQ23" s="263"/>
      <c r="BR23" s="263"/>
      <c r="BS23" s="263"/>
    </row>
    <row r="24" spans="1:71" ht="18.95" customHeight="1">
      <c r="A24" s="428">
        <v>133000</v>
      </c>
      <c r="B24" s="411" t="s">
        <v>1209</v>
      </c>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77">
        <f t="shared" si="1"/>
        <v>0</v>
      </c>
      <c r="BO24" s="263"/>
      <c r="BP24" s="263"/>
      <c r="BQ24" s="263"/>
      <c r="BR24" s="263"/>
      <c r="BS24" s="263"/>
    </row>
    <row r="25" spans="1:71" ht="18.95" customHeight="1">
      <c r="A25" s="428">
        <v>140000</v>
      </c>
      <c r="B25" s="411" t="s">
        <v>202</v>
      </c>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69"/>
      <c r="AJ25" s="269"/>
      <c r="AK25" s="269"/>
      <c r="AL25" s="269"/>
      <c r="AM25" s="269"/>
      <c r="AN25" s="269"/>
      <c r="AO25" s="269"/>
      <c r="AP25" s="269"/>
      <c r="AQ25" s="269"/>
      <c r="AR25" s="269"/>
      <c r="AS25" s="269"/>
      <c r="AT25" s="269"/>
      <c r="AU25" s="269"/>
      <c r="AV25" s="269"/>
      <c r="AW25" s="269"/>
      <c r="AX25" s="269"/>
      <c r="AY25" s="269"/>
      <c r="AZ25" s="269"/>
      <c r="BA25" s="269"/>
      <c r="BB25" s="269"/>
      <c r="BC25" s="269"/>
      <c r="BD25" s="269"/>
      <c r="BE25" s="269"/>
      <c r="BF25" s="269"/>
      <c r="BG25" s="269"/>
      <c r="BH25" s="269"/>
      <c r="BI25" s="269"/>
      <c r="BJ25" s="269"/>
      <c r="BK25" s="269"/>
      <c r="BL25" s="269"/>
      <c r="BM25" s="269"/>
      <c r="BN25" s="277">
        <f t="shared" si="1"/>
        <v>0</v>
      </c>
      <c r="BO25" s="263"/>
      <c r="BP25" s="263"/>
      <c r="BQ25" s="263"/>
      <c r="BR25" s="263"/>
      <c r="BS25" s="263"/>
    </row>
    <row r="26" spans="1:71" ht="18.95" customHeight="1">
      <c r="A26" s="428">
        <v>150000</v>
      </c>
      <c r="B26" s="411" t="s">
        <v>1065</v>
      </c>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77">
        <f t="shared" si="1"/>
        <v>0</v>
      </c>
      <c r="BO26" s="263"/>
      <c r="BP26" s="263"/>
      <c r="BQ26" s="263"/>
      <c r="BR26" s="263"/>
      <c r="BS26" s="263"/>
    </row>
    <row r="27" spans="1:71" ht="18.95" customHeight="1" thickBot="1">
      <c r="A27" s="428">
        <v>170000</v>
      </c>
      <c r="B27" s="411" t="s">
        <v>180</v>
      </c>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8">
        <f>SUM(C27:BM27)</f>
        <v>0</v>
      </c>
      <c r="BO27" s="263"/>
      <c r="BP27" s="263"/>
      <c r="BQ27" s="263"/>
      <c r="BR27" s="263"/>
      <c r="BS27" s="263"/>
    </row>
    <row r="28" spans="1:71" ht="18.95" customHeight="1">
      <c r="A28" s="428"/>
      <c r="B28" s="430" t="s">
        <v>1069</v>
      </c>
      <c r="C28" s="277">
        <f t="shared" ref="C28:AH28" si="2">SUM(C8:C27)</f>
        <v>3543.7299999999996</v>
      </c>
      <c r="D28" s="277">
        <f t="shared" si="2"/>
        <v>21961.89</v>
      </c>
      <c r="E28" s="277">
        <f t="shared" si="2"/>
        <v>6062.84</v>
      </c>
      <c r="F28" s="277">
        <f t="shared" si="2"/>
        <v>0</v>
      </c>
      <c r="G28" s="277">
        <f t="shared" si="2"/>
        <v>0</v>
      </c>
      <c r="H28" s="277">
        <f t="shared" si="2"/>
        <v>0</v>
      </c>
      <c r="I28" s="277">
        <f t="shared" si="2"/>
        <v>0</v>
      </c>
      <c r="J28" s="277">
        <f t="shared" si="2"/>
        <v>0</v>
      </c>
      <c r="K28" s="277">
        <f t="shared" si="2"/>
        <v>0</v>
      </c>
      <c r="L28" s="277">
        <f t="shared" si="2"/>
        <v>0</v>
      </c>
      <c r="M28" s="277">
        <f t="shared" si="2"/>
        <v>0</v>
      </c>
      <c r="N28" s="277">
        <f t="shared" si="2"/>
        <v>0</v>
      </c>
      <c r="O28" s="277">
        <f t="shared" si="2"/>
        <v>0</v>
      </c>
      <c r="P28" s="277">
        <f t="shared" si="2"/>
        <v>0</v>
      </c>
      <c r="Q28" s="277">
        <f t="shared" si="2"/>
        <v>0</v>
      </c>
      <c r="R28" s="277">
        <f t="shared" si="2"/>
        <v>0</v>
      </c>
      <c r="S28" s="277">
        <f t="shared" si="2"/>
        <v>0</v>
      </c>
      <c r="T28" s="277">
        <f t="shared" si="2"/>
        <v>0</v>
      </c>
      <c r="U28" s="277">
        <f t="shared" si="2"/>
        <v>0</v>
      </c>
      <c r="V28" s="277">
        <f t="shared" si="2"/>
        <v>0</v>
      </c>
      <c r="W28" s="277">
        <f t="shared" si="2"/>
        <v>0</v>
      </c>
      <c r="X28" s="277">
        <f t="shared" si="2"/>
        <v>0</v>
      </c>
      <c r="Y28" s="277">
        <f t="shared" si="2"/>
        <v>0</v>
      </c>
      <c r="Z28" s="277">
        <f t="shared" si="2"/>
        <v>0</v>
      </c>
      <c r="AA28" s="277">
        <f t="shared" si="2"/>
        <v>0</v>
      </c>
      <c r="AB28" s="277">
        <f t="shared" si="2"/>
        <v>0</v>
      </c>
      <c r="AC28" s="277">
        <f t="shared" si="2"/>
        <v>0</v>
      </c>
      <c r="AD28" s="277">
        <f t="shared" si="2"/>
        <v>0</v>
      </c>
      <c r="AE28" s="277">
        <f t="shared" si="2"/>
        <v>0</v>
      </c>
      <c r="AF28" s="277">
        <f t="shared" si="2"/>
        <v>0</v>
      </c>
      <c r="AG28" s="277">
        <f t="shared" si="2"/>
        <v>0</v>
      </c>
      <c r="AH28" s="277">
        <f t="shared" si="2"/>
        <v>0</v>
      </c>
      <c r="AI28" s="277">
        <f t="shared" ref="AI28:BN28" si="3">SUM(AI8:AI27)</f>
        <v>0</v>
      </c>
      <c r="AJ28" s="277">
        <f t="shared" si="3"/>
        <v>0</v>
      </c>
      <c r="AK28" s="277">
        <f t="shared" si="3"/>
        <v>0</v>
      </c>
      <c r="AL28" s="277">
        <f t="shared" si="3"/>
        <v>0</v>
      </c>
      <c r="AM28" s="277">
        <f t="shared" si="3"/>
        <v>0</v>
      </c>
      <c r="AN28" s="277">
        <f t="shared" si="3"/>
        <v>0</v>
      </c>
      <c r="AO28" s="277">
        <f t="shared" si="3"/>
        <v>0</v>
      </c>
      <c r="AP28" s="277">
        <f t="shared" si="3"/>
        <v>0</v>
      </c>
      <c r="AQ28" s="277">
        <f t="shared" si="3"/>
        <v>0</v>
      </c>
      <c r="AR28" s="277">
        <f t="shared" si="3"/>
        <v>0</v>
      </c>
      <c r="AS28" s="277">
        <f t="shared" si="3"/>
        <v>0</v>
      </c>
      <c r="AT28" s="277">
        <f t="shared" si="3"/>
        <v>0</v>
      </c>
      <c r="AU28" s="277">
        <f t="shared" si="3"/>
        <v>0</v>
      </c>
      <c r="AV28" s="277">
        <f t="shared" si="3"/>
        <v>0</v>
      </c>
      <c r="AW28" s="277">
        <f t="shared" si="3"/>
        <v>0</v>
      </c>
      <c r="AX28" s="277">
        <f t="shared" si="3"/>
        <v>0</v>
      </c>
      <c r="AY28" s="277">
        <f t="shared" si="3"/>
        <v>0</v>
      </c>
      <c r="AZ28" s="277">
        <f t="shared" si="3"/>
        <v>0</v>
      </c>
      <c r="BA28" s="277">
        <f t="shared" si="3"/>
        <v>0</v>
      </c>
      <c r="BB28" s="277">
        <f t="shared" si="3"/>
        <v>0</v>
      </c>
      <c r="BC28" s="277">
        <f t="shared" si="3"/>
        <v>0</v>
      </c>
      <c r="BD28" s="277">
        <f t="shared" si="3"/>
        <v>0</v>
      </c>
      <c r="BE28" s="277">
        <f t="shared" si="3"/>
        <v>0</v>
      </c>
      <c r="BF28" s="277">
        <f t="shared" si="3"/>
        <v>0</v>
      </c>
      <c r="BG28" s="277">
        <f t="shared" si="3"/>
        <v>0</v>
      </c>
      <c r="BH28" s="277">
        <f t="shared" si="3"/>
        <v>0</v>
      </c>
      <c r="BI28" s="277">
        <f t="shared" si="3"/>
        <v>0</v>
      </c>
      <c r="BJ28" s="277">
        <f t="shared" si="3"/>
        <v>0</v>
      </c>
      <c r="BK28" s="277">
        <f t="shared" si="3"/>
        <v>0</v>
      </c>
      <c r="BL28" s="277">
        <f t="shared" si="3"/>
        <v>0</v>
      </c>
      <c r="BM28" s="277">
        <f t="shared" si="3"/>
        <v>0</v>
      </c>
      <c r="BN28" s="277">
        <f t="shared" si="3"/>
        <v>31568.459999999995</v>
      </c>
      <c r="BO28" s="263"/>
      <c r="BP28" s="263"/>
      <c r="BQ28" s="263"/>
      <c r="BR28" s="263"/>
      <c r="BS28" s="263"/>
    </row>
    <row r="29" spans="1:71" ht="12" customHeight="1">
      <c r="A29" s="428"/>
      <c r="B29" s="430"/>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63"/>
      <c r="BP29" s="263"/>
      <c r="BQ29" s="263"/>
      <c r="BR29" s="263"/>
      <c r="BS29" s="263"/>
    </row>
    <row r="30" spans="1:71" ht="17.25" customHeight="1">
      <c r="A30" s="429"/>
      <c r="B30" s="677" t="s">
        <v>1903</v>
      </c>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63"/>
      <c r="BP30" s="263"/>
      <c r="BQ30" s="263"/>
      <c r="BR30" s="263"/>
      <c r="BS30" s="263"/>
    </row>
    <row r="31" spans="1:71" ht="18.95" customHeight="1">
      <c r="A31" s="300">
        <v>190000</v>
      </c>
      <c r="B31" s="263" t="s">
        <v>1904</v>
      </c>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77">
        <f t="shared" ref="BN31:BN32" si="4">SUM(C31:BM31)</f>
        <v>0</v>
      </c>
      <c r="BO31" s="263"/>
      <c r="BP31" s="263"/>
      <c r="BQ31" s="263"/>
      <c r="BR31" s="263"/>
      <c r="BS31" s="263"/>
    </row>
    <row r="32" spans="1:71" ht="18.95" customHeight="1" thickBot="1">
      <c r="A32" s="300" t="s">
        <v>1957</v>
      </c>
      <c r="B32" s="263" t="s">
        <v>1914</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8">
        <f t="shared" si="4"/>
        <v>0</v>
      </c>
      <c r="BO32" s="263"/>
      <c r="BP32" s="263"/>
      <c r="BQ32" s="263"/>
      <c r="BR32" s="263"/>
      <c r="BS32" s="263"/>
    </row>
    <row r="33" spans="1:71" ht="18.95" customHeight="1">
      <c r="A33" s="429"/>
      <c r="B33" s="430" t="s">
        <v>1905</v>
      </c>
      <c r="C33" s="277">
        <f>SUM(C31:C32)</f>
        <v>0</v>
      </c>
      <c r="D33" s="277">
        <f t="shared" ref="D33:BN33" si="5">SUM(D31:D32)</f>
        <v>0</v>
      </c>
      <c r="E33" s="277">
        <f t="shared" si="5"/>
        <v>0</v>
      </c>
      <c r="F33" s="277">
        <f t="shared" si="5"/>
        <v>0</v>
      </c>
      <c r="G33" s="277">
        <f t="shared" si="5"/>
        <v>0</v>
      </c>
      <c r="H33" s="277">
        <f t="shared" si="5"/>
        <v>0</v>
      </c>
      <c r="I33" s="277">
        <f t="shared" si="5"/>
        <v>0</v>
      </c>
      <c r="J33" s="277">
        <f t="shared" si="5"/>
        <v>0</v>
      </c>
      <c r="K33" s="277">
        <f t="shared" si="5"/>
        <v>0</v>
      </c>
      <c r="L33" s="277">
        <f t="shared" si="5"/>
        <v>0</v>
      </c>
      <c r="M33" s="277">
        <f t="shared" si="5"/>
        <v>0</v>
      </c>
      <c r="N33" s="277">
        <f t="shared" si="5"/>
        <v>0</v>
      </c>
      <c r="O33" s="277">
        <f t="shared" si="5"/>
        <v>0</v>
      </c>
      <c r="P33" s="277">
        <f t="shared" si="5"/>
        <v>0</v>
      </c>
      <c r="Q33" s="277">
        <f t="shared" si="5"/>
        <v>0</v>
      </c>
      <c r="R33" s="277">
        <f t="shared" si="5"/>
        <v>0</v>
      </c>
      <c r="S33" s="277">
        <f t="shared" si="5"/>
        <v>0</v>
      </c>
      <c r="T33" s="277">
        <f t="shared" si="5"/>
        <v>0</v>
      </c>
      <c r="U33" s="277">
        <f t="shared" si="5"/>
        <v>0</v>
      </c>
      <c r="V33" s="277">
        <f t="shared" si="5"/>
        <v>0</v>
      </c>
      <c r="W33" s="277">
        <f t="shared" si="5"/>
        <v>0</v>
      </c>
      <c r="X33" s="277">
        <f t="shared" si="5"/>
        <v>0</v>
      </c>
      <c r="Y33" s="277">
        <f t="shared" si="5"/>
        <v>0</v>
      </c>
      <c r="Z33" s="277">
        <f t="shared" si="5"/>
        <v>0</v>
      </c>
      <c r="AA33" s="277">
        <f t="shared" si="5"/>
        <v>0</v>
      </c>
      <c r="AB33" s="277">
        <f t="shared" si="5"/>
        <v>0</v>
      </c>
      <c r="AC33" s="277">
        <f t="shared" si="5"/>
        <v>0</v>
      </c>
      <c r="AD33" s="277">
        <f t="shared" si="5"/>
        <v>0</v>
      </c>
      <c r="AE33" s="277">
        <f t="shared" si="5"/>
        <v>0</v>
      </c>
      <c r="AF33" s="277">
        <f t="shared" si="5"/>
        <v>0</v>
      </c>
      <c r="AG33" s="277">
        <f t="shared" si="5"/>
        <v>0</v>
      </c>
      <c r="AH33" s="277">
        <f t="shared" si="5"/>
        <v>0</v>
      </c>
      <c r="AI33" s="277">
        <f t="shared" si="5"/>
        <v>0</v>
      </c>
      <c r="AJ33" s="277">
        <f t="shared" si="5"/>
        <v>0</v>
      </c>
      <c r="AK33" s="277">
        <f t="shared" si="5"/>
        <v>0</v>
      </c>
      <c r="AL33" s="277">
        <f t="shared" si="5"/>
        <v>0</v>
      </c>
      <c r="AM33" s="277">
        <f t="shared" si="5"/>
        <v>0</v>
      </c>
      <c r="AN33" s="277">
        <f t="shared" si="5"/>
        <v>0</v>
      </c>
      <c r="AO33" s="277">
        <f t="shared" si="5"/>
        <v>0</v>
      </c>
      <c r="AP33" s="277">
        <f t="shared" si="5"/>
        <v>0</v>
      </c>
      <c r="AQ33" s="277">
        <f t="shared" si="5"/>
        <v>0</v>
      </c>
      <c r="AR33" s="277">
        <f t="shared" si="5"/>
        <v>0</v>
      </c>
      <c r="AS33" s="277">
        <f t="shared" si="5"/>
        <v>0</v>
      </c>
      <c r="AT33" s="277">
        <f t="shared" si="5"/>
        <v>0</v>
      </c>
      <c r="AU33" s="277">
        <f t="shared" si="5"/>
        <v>0</v>
      </c>
      <c r="AV33" s="277">
        <f t="shared" si="5"/>
        <v>0</v>
      </c>
      <c r="AW33" s="277">
        <f t="shared" si="5"/>
        <v>0</v>
      </c>
      <c r="AX33" s="277">
        <f t="shared" si="5"/>
        <v>0</v>
      </c>
      <c r="AY33" s="277">
        <f t="shared" si="5"/>
        <v>0</v>
      </c>
      <c r="AZ33" s="277">
        <f t="shared" si="5"/>
        <v>0</v>
      </c>
      <c r="BA33" s="277">
        <f t="shared" si="5"/>
        <v>0</v>
      </c>
      <c r="BB33" s="277">
        <f t="shared" si="5"/>
        <v>0</v>
      </c>
      <c r="BC33" s="277">
        <f t="shared" si="5"/>
        <v>0</v>
      </c>
      <c r="BD33" s="277">
        <f t="shared" si="5"/>
        <v>0</v>
      </c>
      <c r="BE33" s="277">
        <f t="shared" si="5"/>
        <v>0</v>
      </c>
      <c r="BF33" s="277">
        <f t="shared" si="5"/>
        <v>0</v>
      </c>
      <c r="BG33" s="277">
        <f t="shared" si="5"/>
        <v>0</v>
      </c>
      <c r="BH33" s="277">
        <f t="shared" si="5"/>
        <v>0</v>
      </c>
      <c r="BI33" s="277">
        <f t="shared" si="5"/>
        <v>0</v>
      </c>
      <c r="BJ33" s="277">
        <f t="shared" si="5"/>
        <v>0</v>
      </c>
      <c r="BK33" s="277">
        <f t="shared" si="5"/>
        <v>0</v>
      </c>
      <c r="BL33" s="277">
        <f t="shared" si="5"/>
        <v>0</v>
      </c>
      <c r="BM33" s="277">
        <f t="shared" si="5"/>
        <v>0</v>
      </c>
      <c r="BN33" s="277">
        <f t="shared" si="5"/>
        <v>0</v>
      </c>
      <c r="BO33" s="263"/>
      <c r="BP33" s="263"/>
      <c r="BQ33" s="263"/>
      <c r="BR33" s="263"/>
      <c r="BS33" s="263"/>
    </row>
    <row r="34" spans="1:71" ht="12.75" customHeight="1">
      <c r="A34" s="429"/>
      <c r="B34" s="430"/>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63"/>
      <c r="BP34" s="263"/>
      <c r="BQ34" s="263"/>
      <c r="BR34" s="263"/>
      <c r="BS34" s="263"/>
    </row>
    <row r="35" spans="1:71" ht="18.95" customHeight="1">
      <c r="A35" s="428"/>
      <c r="B35" s="431" t="s">
        <v>1070</v>
      </c>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63"/>
      <c r="BP35" s="263"/>
      <c r="BQ35" s="263"/>
      <c r="BR35" s="263"/>
      <c r="BS35" s="263"/>
    </row>
    <row r="36" spans="1:71" ht="18.95" customHeight="1">
      <c r="A36" s="428">
        <v>201000</v>
      </c>
      <c r="B36" s="411" t="s">
        <v>728</v>
      </c>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77">
        <f t="shared" ref="BN36:BN45" si="6">SUM(C36:BM36)</f>
        <v>0</v>
      </c>
      <c r="BO36" s="263"/>
      <c r="BP36" s="263"/>
      <c r="BQ36" s="263"/>
      <c r="BR36" s="263"/>
      <c r="BS36" s="263"/>
    </row>
    <row r="37" spans="1:71" ht="18.95" customHeight="1">
      <c r="A37" s="428">
        <v>202100</v>
      </c>
      <c r="B37" s="411" t="s">
        <v>205</v>
      </c>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c r="AL37" s="269"/>
      <c r="AM37" s="269"/>
      <c r="AN37" s="269"/>
      <c r="AO37" s="269"/>
      <c r="AP37" s="269"/>
      <c r="AQ37" s="269"/>
      <c r="AR37" s="269"/>
      <c r="AS37" s="269"/>
      <c r="AT37" s="269"/>
      <c r="AU37" s="269"/>
      <c r="AV37" s="269"/>
      <c r="AW37" s="269"/>
      <c r="AX37" s="269"/>
      <c r="AY37" s="269"/>
      <c r="AZ37" s="269"/>
      <c r="BA37" s="269"/>
      <c r="BB37" s="269"/>
      <c r="BC37" s="269"/>
      <c r="BD37" s="269"/>
      <c r="BE37" s="269"/>
      <c r="BF37" s="269"/>
      <c r="BG37" s="269"/>
      <c r="BH37" s="269"/>
      <c r="BI37" s="269"/>
      <c r="BJ37" s="269"/>
      <c r="BK37" s="269"/>
      <c r="BL37" s="269"/>
      <c r="BM37" s="269"/>
      <c r="BN37" s="277">
        <f t="shared" si="6"/>
        <v>0</v>
      </c>
      <c r="BO37" s="263"/>
      <c r="BP37" s="263"/>
      <c r="BQ37" s="263"/>
      <c r="BR37" s="263"/>
      <c r="BS37" s="263"/>
    </row>
    <row r="38" spans="1:71" ht="18.95" customHeight="1">
      <c r="A38" s="428">
        <v>203100</v>
      </c>
      <c r="B38" s="411" t="s">
        <v>288</v>
      </c>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77">
        <f t="shared" si="6"/>
        <v>0</v>
      </c>
      <c r="BO38" s="263"/>
      <c r="BP38" s="263"/>
      <c r="BQ38" s="263"/>
      <c r="BR38" s="263"/>
      <c r="BS38" s="263"/>
    </row>
    <row r="39" spans="1:71" ht="18.95" customHeight="1">
      <c r="A39" s="428">
        <v>204000</v>
      </c>
      <c r="B39" s="411" t="s">
        <v>814</v>
      </c>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69"/>
      <c r="AW39" s="269"/>
      <c r="AX39" s="269"/>
      <c r="AY39" s="269"/>
      <c r="AZ39" s="269"/>
      <c r="BA39" s="269"/>
      <c r="BB39" s="269"/>
      <c r="BC39" s="269"/>
      <c r="BD39" s="269"/>
      <c r="BE39" s="269"/>
      <c r="BF39" s="269"/>
      <c r="BG39" s="269"/>
      <c r="BH39" s="269"/>
      <c r="BI39" s="269"/>
      <c r="BJ39" s="269"/>
      <c r="BK39" s="269"/>
      <c r="BL39" s="269"/>
      <c r="BM39" s="269"/>
      <c r="BN39" s="277">
        <f t="shared" si="6"/>
        <v>0</v>
      </c>
      <c r="BO39" s="263"/>
      <c r="BP39" s="263"/>
      <c r="BQ39" s="263"/>
      <c r="BR39" s="263"/>
      <c r="BS39" s="263"/>
    </row>
    <row r="40" spans="1:71" ht="18.95" customHeight="1">
      <c r="A40" s="428">
        <v>205200</v>
      </c>
      <c r="B40" s="411" t="s">
        <v>287</v>
      </c>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77">
        <f t="shared" si="6"/>
        <v>0</v>
      </c>
      <c r="BO40" s="263"/>
      <c r="BP40" s="263"/>
      <c r="BQ40" s="263"/>
      <c r="BR40" s="263"/>
      <c r="BS40" s="263"/>
    </row>
    <row r="41" spans="1:71" ht="18.95" customHeight="1">
      <c r="A41" s="428">
        <v>206100</v>
      </c>
      <c r="B41" s="411" t="s">
        <v>1180</v>
      </c>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77">
        <f t="shared" si="6"/>
        <v>0</v>
      </c>
      <c r="BO41" s="263"/>
      <c r="BP41" s="263"/>
      <c r="BQ41" s="263"/>
      <c r="BR41" s="263"/>
      <c r="BS41" s="263"/>
    </row>
    <row r="42" spans="1:71" ht="18.95" customHeight="1">
      <c r="A42" s="428">
        <v>211000</v>
      </c>
      <c r="B42" s="411" t="s">
        <v>1182</v>
      </c>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269"/>
      <c r="AJ42" s="269"/>
      <c r="AK42" s="269"/>
      <c r="AL42" s="269"/>
      <c r="AM42" s="269"/>
      <c r="AN42" s="269"/>
      <c r="AO42" s="269"/>
      <c r="AP42" s="269"/>
      <c r="AQ42" s="269"/>
      <c r="AR42" s="269"/>
      <c r="AS42" s="269"/>
      <c r="AT42" s="269"/>
      <c r="AU42" s="269"/>
      <c r="AV42" s="269"/>
      <c r="AW42" s="269"/>
      <c r="AX42" s="269"/>
      <c r="AY42" s="269"/>
      <c r="AZ42" s="269"/>
      <c r="BA42" s="269"/>
      <c r="BB42" s="269"/>
      <c r="BC42" s="269"/>
      <c r="BD42" s="269"/>
      <c r="BE42" s="269"/>
      <c r="BF42" s="269"/>
      <c r="BG42" s="269"/>
      <c r="BH42" s="269"/>
      <c r="BI42" s="269"/>
      <c r="BJ42" s="269"/>
      <c r="BK42" s="269"/>
      <c r="BL42" s="269"/>
      <c r="BM42" s="269"/>
      <c r="BN42" s="277">
        <f t="shared" si="6"/>
        <v>0</v>
      </c>
      <c r="BO42" s="263"/>
      <c r="BP42" s="263"/>
      <c r="BQ42" s="263"/>
      <c r="BR42" s="263"/>
      <c r="BS42" s="263"/>
    </row>
    <row r="43" spans="1:71" ht="18.95" customHeight="1">
      <c r="A43" s="428">
        <v>212000</v>
      </c>
      <c r="B43" s="411" t="s">
        <v>1204</v>
      </c>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c r="AH43" s="269"/>
      <c r="AI43" s="269"/>
      <c r="AJ43" s="269"/>
      <c r="AK43" s="269"/>
      <c r="AL43" s="269"/>
      <c r="AM43" s="269"/>
      <c r="AN43" s="269"/>
      <c r="AO43" s="269"/>
      <c r="AP43" s="269"/>
      <c r="AQ43" s="269"/>
      <c r="AR43" s="269"/>
      <c r="AS43" s="269"/>
      <c r="AT43" s="269"/>
      <c r="AU43" s="269"/>
      <c r="AV43" s="269"/>
      <c r="AW43" s="269"/>
      <c r="AX43" s="269"/>
      <c r="AY43" s="269"/>
      <c r="AZ43" s="269"/>
      <c r="BA43" s="269"/>
      <c r="BB43" s="269"/>
      <c r="BC43" s="269"/>
      <c r="BD43" s="269"/>
      <c r="BE43" s="269"/>
      <c r="BF43" s="269"/>
      <c r="BG43" s="269"/>
      <c r="BH43" s="269"/>
      <c r="BI43" s="269"/>
      <c r="BJ43" s="269"/>
      <c r="BK43" s="269"/>
      <c r="BL43" s="269"/>
      <c r="BM43" s="269"/>
      <c r="BN43" s="277">
        <f t="shared" si="6"/>
        <v>0</v>
      </c>
      <c r="BO43" s="263"/>
      <c r="BP43" s="263"/>
      <c r="BQ43" s="263"/>
      <c r="BR43" s="263"/>
      <c r="BS43" s="263"/>
    </row>
    <row r="44" spans="1:71" ht="18.95" customHeight="1">
      <c r="A44" s="428">
        <v>214000</v>
      </c>
      <c r="B44" s="411" t="s">
        <v>811</v>
      </c>
      <c r="C44" s="269"/>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69"/>
      <c r="AM44" s="269"/>
      <c r="AN44" s="269"/>
      <c r="AO44" s="269"/>
      <c r="AP44" s="269"/>
      <c r="AQ44" s="269"/>
      <c r="AR44" s="269"/>
      <c r="AS44" s="269"/>
      <c r="AT44" s="269"/>
      <c r="AU44" s="269"/>
      <c r="AV44" s="269"/>
      <c r="AW44" s="269"/>
      <c r="AX44" s="269"/>
      <c r="AY44" s="269"/>
      <c r="AZ44" s="269"/>
      <c r="BA44" s="269"/>
      <c r="BB44" s="269"/>
      <c r="BC44" s="269"/>
      <c r="BD44" s="269"/>
      <c r="BE44" s="269"/>
      <c r="BF44" s="269"/>
      <c r="BG44" s="269"/>
      <c r="BH44" s="269"/>
      <c r="BI44" s="269"/>
      <c r="BJ44" s="269"/>
      <c r="BK44" s="269"/>
      <c r="BL44" s="269"/>
      <c r="BM44" s="269"/>
      <c r="BN44" s="277">
        <f t="shared" si="6"/>
        <v>0</v>
      </c>
      <c r="BO44" s="263"/>
      <c r="BP44" s="263"/>
      <c r="BQ44" s="263"/>
      <c r="BR44" s="263"/>
      <c r="BS44" s="263"/>
    </row>
    <row r="45" spans="1:71" ht="18.95" customHeight="1">
      <c r="A45" s="428">
        <v>216000</v>
      </c>
      <c r="B45" s="411" t="s">
        <v>2033</v>
      </c>
      <c r="C45" s="269"/>
      <c r="D45" s="269"/>
      <c r="E45" s="269"/>
      <c r="F45" s="269"/>
      <c r="G45" s="269"/>
      <c r="H45" s="269"/>
      <c r="I45" s="269"/>
      <c r="J45" s="269"/>
      <c r="K45" s="269"/>
      <c r="L45" s="269"/>
      <c r="M45" s="269"/>
      <c r="N45" s="269"/>
      <c r="O45" s="269"/>
      <c r="P45" s="269"/>
      <c r="Q45" s="269"/>
      <c r="R45" s="269"/>
      <c r="S45" s="269"/>
      <c r="T45" s="269"/>
      <c r="U45" s="269"/>
      <c r="V45" s="269"/>
      <c r="W45" s="269"/>
      <c r="X45" s="269"/>
      <c r="Y45" s="269"/>
      <c r="Z45" s="269"/>
      <c r="AA45" s="269"/>
      <c r="AB45" s="269"/>
      <c r="AC45" s="269"/>
      <c r="AD45" s="269"/>
      <c r="AE45" s="269"/>
      <c r="AF45" s="269"/>
      <c r="AG45" s="269"/>
      <c r="AH45" s="269"/>
      <c r="AI45" s="269"/>
      <c r="AJ45" s="269"/>
      <c r="AK45" s="269"/>
      <c r="AL45" s="269"/>
      <c r="AM45" s="269"/>
      <c r="AN45" s="269"/>
      <c r="AO45" s="269"/>
      <c r="AP45" s="269"/>
      <c r="AQ45" s="269"/>
      <c r="AR45" s="269"/>
      <c r="AS45" s="269"/>
      <c r="AT45" s="269"/>
      <c r="AU45" s="269"/>
      <c r="AV45" s="269"/>
      <c r="AW45" s="269"/>
      <c r="AX45" s="269"/>
      <c r="AY45" s="269"/>
      <c r="AZ45" s="269"/>
      <c r="BA45" s="269"/>
      <c r="BB45" s="269"/>
      <c r="BC45" s="269"/>
      <c r="BD45" s="269"/>
      <c r="BE45" s="269"/>
      <c r="BF45" s="269"/>
      <c r="BG45" s="269"/>
      <c r="BH45" s="269"/>
      <c r="BI45" s="269"/>
      <c r="BJ45" s="269"/>
      <c r="BK45" s="269"/>
      <c r="BL45" s="269"/>
      <c r="BM45" s="269"/>
      <c r="BN45" s="277">
        <f t="shared" si="6"/>
        <v>0</v>
      </c>
      <c r="BO45" s="263"/>
      <c r="BP45" s="263"/>
      <c r="BQ45" s="263"/>
      <c r="BR45" s="263"/>
      <c r="BS45" s="263"/>
    </row>
    <row r="46" spans="1:71" ht="18.95" customHeight="1" thickBot="1">
      <c r="A46" s="428">
        <v>233000</v>
      </c>
      <c r="B46" s="411" t="s">
        <v>266</v>
      </c>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271"/>
      <c r="AN46" s="271"/>
      <c r="AO46" s="271"/>
      <c r="AP46" s="271"/>
      <c r="AQ46" s="271"/>
      <c r="AR46" s="271"/>
      <c r="AS46" s="271"/>
      <c r="AT46" s="271"/>
      <c r="AU46" s="271"/>
      <c r="AV46" s="271"/>
      <c r="AW46" s="271"/>
      <c r="AX46" s="271"/>
      <c r="AY46" s="271"/>
      <c r="AZ46" s="271"/>
      <c r="BA46" s="271"/>
      <c r="BB46" s="271"/>
      <c r="BC46" s="271"/>
      <c r="BD46" s="271"/>
      <c r="BE46" s="271"/>
      <c r="BF46" s="271"/>
      <c r="BG46" s="271"/>
      <c r="BH46" s="271"/>
      <c r="BI46" s="271"/>
      <c r="BJ46" s="271"/>
      <c r="BK46" s="271"/>
      <c r="BL46" s="271"/>
      <c r="BM46" s="271"/>
      <c r="BN46" s="278">
        <f>SUM(C46:BM46)</f>
        <v>0</v>
      </c>
      <c r="BO46" s="263"/>
      <c r="BP46" s="263"/>
      <c r="BQ46" s="263"/>
      <c r="BR46" s="263"/>
      <c r="BS46" s="263"/>
    </row>
    <row r="47" spans="1:71" ht="18.95" customHeight="1">
      <c r="A47" s="428"/>
      <c r="B47" s="430" t="s">
        <v>1074</v>
      </c>
      <c r="C47" s="277">
        <f t="shared" ref="C47:AH47" si="7">SUM(C36:C46)</f>
        <v>0</v>
      </c>
      <c r="D47" s="277">
        <f t="shared" si="7"/>
        <v>0</v>
      </c>
      <c r="E47" s="277">
        <f t="shared" si="7"/>
        <v>0</v>
      </c>
      <c r="F47" s="277">
        <f t="shared" si="7"/>
        <v>0</v>
      </c>
      <c r="G47" s="277">
        <f t="shared" si="7"/>
        <v>0</v>
      </c>
      <c r="H47" s="277">
        <f t="shared" si="7"/>
        <v>0</v>
      </c>
      <c r="I47" s="277">
        <f t="shared" si="7"/>
        <v>0</v>
      </c>
      <c r="J47" s="277">
        <f t="shared" si="7"/>
        <v>0</v>
      </c>
      <c r="K47" s="277">
        <f t="shared" si="7"/>
        <v>0</v>
      </c>
      <c r="L47" s="277">
        <f t="shared" si="7"/>
        <v>0</v>
      </c>
      <c r="M47" s="277">
        <f t="shared" si="7"/>
        <v>0</v>
      </c>
      <c r="N47" s="277">
        <f t="shared" si="7"/>
        <v>0</v>
      </c>
      <c r="O47" s="277">
        <f t="shared" si="7"/>
        <v>0</v>
      </c>
      <c r="P47" s="277">
        <f t="shared" si="7"/>
        <v>0</v>
      </c>
      <c r="Q47" s="277">
        <f t="shared" si="7"/>
        <v>0</v>
      </c>
      <c r="R47" s="277">
        <f t="shared" si="7"/>
        <v>0</v>
      </c>
      <c r="S47" s="277">
        <f t="shared" si="7"/>
        <v>0</v>
      </c>
      <c r="T47" s="277">
        <f t="shared" si="7"/>
        <v>0</v>
      </c>
      <c r="U47" s="277">
        <f t="shared" si="7"/>
        <v>0</v>
      </c>
      <c r="V47" s="277">
        <f t="shared" si="7"/>
        <v>0</v>
      </c>
      <c r="W47" s="277">
        <f t="shared" si="7"/>
        <v>0</v>
      </c>
      <c r="X47" s="277">
        <f t="shared" si="7"/>
        <v>0</v>
      </c>
      <c r="Y47" s="277">
        <f t="shared" si="7"/>
        <v>0</v>
      </c>
      <c r="Z47" s="277">
        <f t="shared" si="7"/>
        <v>0</v>
      </c>
      <c r="AA47" s="277">
        <f t="shared" si="7"/>
        <v>0</v>
      </c>
      <c r="AB47" s="277">
        <f t="shared" si="7"/>
        <v>0</v>
      </c>
      <c r="AC47" s="277">
        <f t="shared" si="7"/>
        <v>0</v>
      </c>
      <c r="AD47" s="277">
        <f t="shared" si="7"/>
        <v>0</v>
      </c>
      <c r="AE47" s="277">
        <f t="shared" si="7"/>
        <v>0</v>
      </c>
      <c r="AF47" s="277">
        <f t="shared" si="7"/>
        <v>0</v>
      </c>
      <c r="AG47" s="277">
        <f t="shared" si="7"/>
        <v>0</v>
      </c>
      <c r="AH47" s="277">
        <f t="shared" si="7"/>
        <v>0</v>
      </c>
      <c r="AI47" s="277">
        <f t="shared" ref="AI47:BN47" si="8">SUM(AI36:AI46)</f>
        <v>0</v>
      </c>
      <c r="AJ47" s="277">
        <f t="shared" si="8"/>
        <v>0</v>
      </c>
      <c r="AK47" s="277">
        <f t="shared" si="8"/>
        <v>0</v>
      </c>
      <c r="AL47" s="277">
        <f t="shared" si="8"/>
        <v>0</v>
      </c>
      <c r="AM47" s="277">
        <f t="shared" si="8"/>
        <v>0</v>
      </c>
      <c r="AN47" s="277">
        <f t="shared" si="8"/>
        <v>0</v>
      </c>
      <c r="AO47" s="277">
        <f t="shared" si="8"/>
        <v>0</v>
      </c>
      <c r="AP47" s="277">
        <f t="shared" si="8"/>
        <v>0</v>
      </c>
      <c r="AQ47" s="277">
        <f t="shared" si="8"/>
        <v>0</v>
      </c>
      <c r="AR47" s="277">
        <f t="shared" si="8"/>
        <v>0</v>
      </c>
      <c r="AS47" s="277">
        <f t="shared" si="8"/>
        <v>0</v>
      </c>
      <c r="AT47" s="277">
        <f t="shared" si="8"/>
        <v>0</v>
      </c>
      <c r="AU47" s="277">
        <f t="shared" si="8"/>
        <v>0</v>
      </c>
      <c r="AV47" s="277">
        <f t="shared" si="8"/>
        <v>0</v>
      </c>
      <c r="AW47" s="277">
        <f t="shared" si="8"/>
        <v>0</v>
      </c>
      <c r="AX47" s="277">
        <f t="shared" si="8"/>
        <v>0</v>
      </c>
      <c r="AY47" s="277">
        <f t="shared" si="8"/>
        <v>0</v>
      </c>
      <c r="AZ47" s="277">
        <f t="shared" si="8"/>
        <v>0</v>
      </c>
      <c r="BA47" s="277">
        <f t="shared" si="8"/>
        <v>0</v>
      </c>
      <c r="BB47" s="277">
        <f t="shared" si="8"/>
        <v>0</v>
      </c>
      <c r="BC47" s="277">
        <f t="shared" si="8"/>
        <v>0</v>
      </c>
      <c r="BD47" s="277">
        <f t="shared" si="8"/>
        <v>0</v>
      </c>
      <c r="BE47" s="277">
        <f t="shared" si="8"/>
        <v>0</v>
      </c>
      <c r="BF47" s="277">
        <f t="shared" si="8"/>
        <v>0</v>
      </c>
      <c r="BG47" s="277">
        <f t="shared" si="8"/>
        <v>0</v>
      </c>
      <c r="BH47" s="277">
        <f t="shared" si="8"/>
        <v>0</v>
      </c>
      <c r="BI47" s="277">
        <f t="shared" si="8"/>
        <v>0</v>
      </c>
      <c r="BJ47" s="277">
        <f t="shared" si="8"/>
        <v>0</v>
      </c>
      <c r="BK47" s="277">
        <f t="shared" si="8"/>
        <v>0</v>
      </c>
      <c r="BL47" s="277">
        <f t="shared" si="8"/>
        <v>0</v>
      </c>
      <c r="BM47" s="277">
        <f t="shared" si="8"/>
        <v>0</v>
      </c>
      <c r="BN47" s="277">
        <f t="shared" si="8"/>
        <v>0</v>
      </c>
      <c r="BO47" s="263"/>
      <c r="BP47" s="263"/>
      <c r="BQ47" s="263"/>
      <c r="BR47" s="263"/>
      <c r="BS47" s="263"/>
    </row>
    <row r="48" spans="1:71" ht="12" customHeight="1">
      <c r="A48" s="428"/>
      <c r="B48" s="430"/>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c r="AZ48" s="277"/>
      <c r="BA48" s="277"/>
      <c r="BB48" s="277"/>
      <c r="BC48" s="277"/>
      <c r="BD48" s="277"/>
      <c r="BE48" s="277"/>
      <c r="BF48" s="277"/>
      <c r="BG48" s="277"/>
      <c r="BH48" s="277"/>
      <c r="BI48" s="277"/>
      <c r="BJ48" s="277"/>
      <c r="BK48" s="277"/>
      <c r="BL48" s="277"/>
      <c r="BM48" s="277"/>
      <c r="BN48" s="277"/>
      <c r="BO48" s="263"/>
      <c r="BP48" s="263"/>
      <c r="BQ48" s="263"/>
      <c r="BR48" s="263"/>
      <c r="BS48" s="263"/>
    </row>
    <row r="49" spans="1:71" ht="18.95" customHeight="1">
      <c r="A49" s="429"/>
      <c r="B49" s="677" t="s">
        <v>1906</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63"/>
      <c r="BP49" s="263"/>
      <c r="BQ49" s="263"/>
      <c r="BR49" s="263"/>
      <c r="BS49" s="263"/>
    </row>
    <row r="50" spans="1:71" ht="18.95" customHeight="1">
      <c r="A50" s="300">
        <v>220000</v>
      </c>
      <c r="B50" s="263" t="s">
        <v>1908</v>
      </c>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69"/>
      <c r="AE50" s="269"/>
      <c r="AF50" s="269"/>
      <c r="AG50" s="269"/>
      <c r="AH50" s="269"/>
      <c r="AI50" s="269"/>
      <c r="AJ50" s="269"/>
      <c r="AK50" s="269"/>
      <c r="AL50" s="269"/>
      <c r="AM50" s="269"/>
      <c r="AN50" s="269"/>
      <c r="AO50" s="269"/>
      <c r="AP50" s="269"/>
      <c r="AQ50" s="269"/>
      <c r="AR50" s="269"/>
      <c r="AS50" s="269"/>
      <c r="AT50" s="269"/>
      <c r="AU50" s="269"/>
      <c r="AV50" s="269"/>
      <c r="AW50" s="269"/>
      <c r="AX50" s="269"/>
      <c r="AY50" s="269"/>
      <c r="AZ50" s="269"/>
      <c r="BA50" s="269"/>
      <c r="BB50" s="269"/>
      <c r="BC50" s="269"/>
      <c r="BD50" s="269"/>
      <c r="BE50" s="269"/>
      <c r="BF50" s="269"/>
      <c r="BG50" s="269"/>
      <c r="BH50" s="269"/>
      <c r="BI50" s="269"/>
      <c r="BJ50" s="269"/>
      <c r="BK50" s="269"/>
      <c r="BL50" s="269"/>
      <c r="BM50" s="277"/>
      <c r="BN50" s="277">
        <f t="shared" ref="BN50:BN51" si="9">SUM(C50:BM50)</f>
        <v>0</v>
      </c>
      <c r="BO50" s="263"/>
      <c r="BP50" s="263"/>
      <c r="BQ50" s="263"/>
      <c r="BR50" s="263"/>
      <c r="BS50" s="263"/>
    </row>
    <row r="51" spans="1:71" ht="18.95" customHeight="1" thickBot="1">
      <c r="A51" s="300">
        <v>223000</v>
      </c>
      <c r="B51" s="263" t="s">
        <v>1907</v>
      </c>
      <c r="C51" s="271">
        <v>450.66</v>
      </c>
      <c r="D51" s="271">
        <v>1095.44</v>
      </c>
      <c r="E51" s="271">
        <v>0</v>
      </c>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8"/>
      <c r="BN51" s="278">
        <f t="shared" si="9"/>
        <v>1546.1000000000001</v>
      </c>
      <c r="BO51" s="263"/>
      <c r="BP51" s="263"/>
      <c r="BQ51" s="263"/>
      <c r="BR51" s="263"/>
      <c r="BS51" s="263"/>
    </row>
    <row r="52" spans="1:71" ht="18.95" customHeight="1">
      <c r="A52" s="301"/>
      <c r="B52" s="430" t="s">
        <v>1909</v>
      </c>
      <c r="C52" s="277">
        <f>SUM(C50:C51)</f>
        <v>450.66</v>
      </c>
      <c r="D52" s="277">
        <f t="shared" ref="D52:BN52" si="10">SUM(D50:D51)</f>
        <v>1095.44</v>
      </c>
      <c r="E52" s="277">
        <f t="shared" si="10"/>
        <v>0</v>
      </c>
      <c r="F52" s="277">
        <f t="shared" si="10"/>
        <v>0</v>
      </c>
      <c r="G52" s="277">
        <f t="shared" si="10"/>
        <v>0</v>
      </c>
      <c r="H52" s="277">
        <f t="shared" si="10"/>
        <v>0</v>
      </c>
      <c r="I52" s="277">
        <f t="shared" si="10"/>
        <v>0</v>
      </c>
      <c r="J52" s="277">
        <f t="shared" si="10"/>
        <v>0</v>
      </c>
      <c r="K52" s="277">
        <f t="shared" si="10"/>
        <v>0</v>
      </c>
      <c r="L52" s="277">
        <f t="shared" si="10"/>
        <v>0</v>
      </c>
      <c r="M52" s="277">
        <f t="shared" si="10"/>
        <v>0</v>
      </c>
      <c r="N52" s="277">
        <f t="shared" si="10"/>
        <v>0</v>
      </c>
      <c r="O52" s="277">
        <f t="shared" si="10"/>
        <v>0</v>
      </c>
      <c r="P52" s="277">
        <f t="shared" si="10"/>
        <v>0</v>
      </c>
      <c r="Q52" s="277">
        <f t="shared" si="10"/>
        <v>0</v>
      </c>
      <c r="R52" s="277">
        <f t="shared" si="10"/>
        <v>0</v>
      </c>
      <c r="S52" s="277">
        <f t="shared" si="10"/>
        <v>0</v>
      </c>
      <c r="T52" s="277">
        <f t="shared" si="10"/>
        <v>0</v>
      </c>
      <c r="U52" s="277">
        <f t="shared" si="10"/>
        <v>0</v>
      </c>
      <c r="V52" s="277">
        <f t="shared" si="10"/>
        <v>0</v>
      </c>
      <c r="W52" s="277">
        <f t="shared" si="10"/>
        <v>0</v>
      </c>
      <c r="X52" s="277">
        <f t="shared" si="10"/>
        <v>0</v>
      </c>
      <c r="Y52" s="277">
        <f t="shared" si="10"/>
        <v>0</v>
      </c>
      <c r="Z52" s="277">
        <f t="shared" si="10"/>
        <v>0</v>
      </c>
      <c r="AA52" s="277">
        <f t="shared" si="10"/>
        <v>0</v>
      </c>
      <c r="AB52" s="277">
        <f t="shared" si="10"/>
        <v>0</v>
      </c>
      <c r="AC52" s="277">
        <f t="shared" si="10"/>
        <v>0</v>
      </c>
      <c r="AD52" s="277">
        <f t="shared" si="10"/>
        <v>0</v>
      </c>
      <c r="AE52" s="277">
        <f t="shared" si="10"/>
        <v>0</v>
      </c>
      <c r="AF52" s="277">
        <f t="shared" si="10"/>
        <v>0</v>
      </c>
      <c r="AG52" s="277">
        <f t="shared" si="10"/>
        <v>0</v>
      </c>
      <c r="AH52" s="277">
        <f t="shared" si="10"/>
        <v>0</v>
      </c>
      <c r="AI52" s="277">
        <f t="shared" si="10"/>
        <v>0</v>
      </c>
      <c r="AJ52" s="277">
        <f t="shared" si="10"/>
        <v>0</v>
      </c>
      <c r="AK52" s="277">
        <f t="shared" si="10"/>
        <v>0</v>
      </c>
      <c r="AL52" s="277">
        <f t="shared" si="10"/>
        <v>0</v>
      </c>
      <c r="AM52" s="277">
        <f t="shared" si="10"/>
        <v>0</v>
      </c>
      <c r="AN52" s="277">
        <f t="shared" si="10"/>
        <v>0</v>
      </c>
      <c r="AO52" s="277">
        <f t="shared" si="10"/>
        <v>0</v>
      </c>
      <c r="AP52" s="277">
        <f t="shared" si="10"/>
        <v>0</v>
      </c>
      <c r="AQ52" s="277">
        <f t="shared" si="10"/>
        <v>0</v>
      </c>
      <c r="AR52" s="277">
        <f t="shared" si="10"/>
        <v>0</v>
      </c>
      <c r="AS52" s="277">
        <f t="shared" si="10"/>
        <v>0</v>
      </c>
      <c r="AT52" s="277">
        <f t="shared" si="10"/>
        <v>0</v>
      </c>
      <c r="AU52" s="277">
        <f t="shared" si="10"/>
        <v>0</v>
      </c>
      <c r="AV52" s="277">
        <f t="shared" si="10"/>
        <v>0</v>
      </c>
      <c r="AW52" s="277">
        <f t="shared" si="10"/>
        <v>0</v>
      </c>
      <c r="AX52" s="277">
        <f t="shared" si="10"/>
        <v>0</v>
      </c>
      <c r="AY52" s="277">
        <f t="shared" si="10"/>
        <v>0</v>
      </c>
      <c r="AZ52" s="277">
        <f t="shared" si="10"/>
        <v>0</v>
      </c>
      <c r="BA52" s="277">
        <f t="shared" si="10"/>
        <v>0</v>
      </c>
      <c r="BB52" s="277">
        <f t="shared" si="10"/>
        <v>0</v>
      </c>
      <c r="BC52" s="277">
        <f t="shared" si="10"/>
        <v>0</v>
      </c>
      <c r="BD52" s="277">
        <f t="shared" si="10"/>
        <v>0</v>
      </c>
      <c r="BE52" s="277">
        <f t="shared" si="10"/>
        <v>0</v>
      </c>
      <c r="BF52" s="277">
        <f t="shared" si="10"/>
        <v>0</v>
      </c>
      <c r="BG52" s="277">
        <f t="shared" si="10"/>
        <v>0</v>
      </c>
      <c r="BH52" s="277">
        <f t="shared" si="10"/>
        <v>0</v>
      </c>
      <c r="BI52" s="277">
        <f t="shared" si="10"/>
        <v>0</v>
      </c>
      <c r="BJ52" s="277">
        <f t="shared" si="10"/>
        <v>0</v>
      </c>
      <c r="BK52" s="277">
        <f t="shared" si="10"/>
        <v>0</v>
      </c>
      <c r="BL52" s="277">
        <f t="shared" si="10"/>
        <v>0</v>
      </c>
      <c r="BM52" s="277">
        <f t="shared" si="10"/>
        <v>0</v>
      </c>
      <c r="BN52" s="277">
        <f t="shared" si="10"/>
        <v>1546.1000000000001</v>
      </c>
      <c r="BO52" s="263"/>
      <c r="BP52" s="263"/>
      <c r="BQ52" s="263"/>
      <c r="BR52" s="263"/>
      <c r="BS52" s="263"/>
    </row>
    <row r="53" spans="1:71" ht="11.25" customHeight="1">
      <c r="A53" s="428"/>
      <c r="B53" s="411"/>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63"/>
      <c r="BP53" s="263"/>
      <c r="BQ53" s="263"/>
      <c r="BR53" s="263"/>
      <c r="BS53" s="263"/>
    </row>
    <row r="54" spans="1:71" ht="18.95" customHeight="1">
      <c r="A54" s="428"/>
      <c r="B54" s="431" t="s">
        <v>1566</v>
      </c>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63"/>
      <c r="BP54" s="263"/>
      <c r="BQ54" s="263"/>
      <c r="BR54" s="263"/>
      <c r="BS54" s="263"/>
    </row>
    <row r="55" spans="1:71" ht="18.95" customHeight="1">
      <c r="A55" s="428">
        <v>250100</v>
      </c>
      <c r="B55" s="411" t="s">
        <v>1564</v>
      </c>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BC55" s="269"/>
      <c r="BD55" s="269"/>
      <c r="BE55" s="269"/>
      <c r="BF55" s="269"/>
      <c r="BG55" s="269"/>
      <c r="BH55" s="269"/>
      <c r="BI55" s="269"/>
      <c r="BJ55" s="269"/>
      <c r="BK55" s="269"/>
      <c r="BL55" s="269"/>
      <c r="BM55" s="269"/>
      <c r="BN55" s="277">
        <f t="shared" ref="BN55:BN59" si="11">SUM(C55:BM55)</f>
        <v>0</v>
      </c>
      <c r="BO55" s="263"/>
      <c r="BP55" s="263"/>
      <c r="BQ55" s="263"/>
      <c r="BR55" s="263"/>
      <c r="BS55" s="263"/>
    </row>
    <row r="56" spans="1:71" ht="18.95" customHeight="1">
      <c r="A56" s="428">
        <v>250200</v>
      </c>
      <c r="B56" s="411" t="s">
        <v>1565</v>
      </c>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77">
        <f t="shared" si="11"/>
        <v>0</v>
      </c>
      <c r="BO56" s="263"/>
      <c r="BP56" s="263"/>
      <c r="BQ56" s="263"/>
      <c r="BR56" s="263"/>
      <c r="BS56" s="263"/>
    </row>
    <row r="57" spans="1:71" ht="18.95" customHeight="1">
      <c r="A57" s="428">
        <v>260100</v>
      </c>
      <c r="B57" s="411" t="s">
        <v>1563</v>
      </c>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77">
        <f t="shared" si="11"/>
        <v>0</v>
      </c>
      <c r="BO57" s="263"/>
      <c r="BP57" s="263"/>
      <c r="BQ57" s="263"/>
      <c r="BR57" s="263"/>
      <c r="BS57" s="263"/>
    </row>
    <row r="58" spans="1:71" ht="18.95" customHeight="1">
      <c r="A58" s="428">
        <v>260200</v>
      </c>
      <c r="B58" s="411" t="s">
        <v>1562</v>
      </c>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77">
        <f t="shared" si="11"/>
        <v>0</v>
      </c>
      <c r="BO58" s="263"/>
      <c r="BP58" s="263"/>
      <c r="BQ58" s="263"/>
      <c r="BR58" s="263"/>
      <c r="BS58" s="263"/>
    </row>
    <row r="59" spans="1:71" ht="18.95" customHeight="1" thickBot="1">
      <c r="A59" s="428">
        <v>271000</v>
      </c>
      <c r="B59" s="411" t="s">
        <v>1568</v>
      </c>
      <c r="C59" s="278">
        <f>C28+C33-C47-C52-C55-C56-C57-C58</f>
        <v>3093.0699999999997</v>
      </c>
      <c r="D59" s="278">
        <f t="shared" ref="D59:BL59" si="12">D28+D33-D47-D52-D55-D56-D57-D58</f>
        <v>20866.45</v>
      </c>
      <c r="E59" s="278">
        <f t="shared" si="12"/>
        <v>6062.84</v>
      </c>
      <c r="F59" s="278">
        <f t="shared" si="12"/>
        <v>0</v>
      </c>
      <c r="G59" s="278">
        <f t="shared" si="12"/>
        <v>0</v>
      </c>
      <c r="H59" s="278">
        <f t="shared" si="12"/>
        <v>0</v>
      </c>
      <c r="I59" s="278">
        <f t="shared" si="12"/>
        <v>0</v>
      </c>
      <c r="J59" s="278">
        <f t="shared" si="12"/>
        <v>0</v>
      </c>
      <c r="K59" s="278">
        <f t="shared" si="12"/>
        <v>0</v>
      </c>
      <c r="L59" s="278">
        <f t="shared" si="12"/>
        <v>0</v>
      </c>
      <c r="M59" s="278">
        <f t="shared" si="12"/>
        <v>0</v>
      </c>
      <c r="N59" s="278">
        <f t="shared" si="12"/>
        <v>0</v>
      </c>
      <c r="O59" s="278">
        <f t="shared" si="12"/>
        <v>0</v>
      </c>
      <c r="P59" s="278">
        <f t="shared" si="12"/>
        <v>0</v>
      </c>
      <c r="Q59" s="278">
        <f t="shared" si="12"/>
        <v>0</v>
      </c>
      <c r="R59" s="278">
        <f t="shared" si="12"/>
        <v>0</v>
      </c>
      <c r="S59" s="278">
        <f t="shared" si="12"/>
        <v>0</v>
      </c>
      <c r="T59" s="278">
        <f t="shared" si="12"/>
        <v>0</v>
      </c>
      <c r="U59" s="278">
        <f t="shared" si="12"/>
        <v>0</v>
      </c>
      <c r="V59" s="278">
        <f t="shared" si="12"/>
        <v>0</v>
      </c>
      <c r="W59" s="278">
        <f t="shared" si="12"/>
        <v>0</v>
      </c>
      <c r="X59" s="278">
        <f t="shared" si="12"/>
        <v>0</v>
      </c>
      <c r="Y59" s="278">
        <f t="shared" si="12"/>
        <v>0</v>
      </c>
      <c r="Z59" s="278">
        <f t="shared" si="12"/>
        <v>0</v>
      </c>
      <c r="AA59" s="278">
        <f t="shared" si="12"/>
        <v>0</v>
      </c>
      <c r="AB59" s="278">
        <f t="shared" si="12"/>
        <v>0</v>
      </c>
      <c r="AC59" s="278">
        <f t="shared" si="12"/>
        <v>0</v>
      </c>
      <c r="AD59" s="278">
        <f t="shared" si="12"/>
        <v>0</v>
      </c>
      <c r="AE59" s="278">
        <f t="shared" si="12"/>
        <v>0</v>
      </c>
      <c r="AF59" s="278">
        <f t="shared" si="12"/>
        <v>0</v>
      </c>
      <c r="AG59" s="278">
        <f t="shared" si="12"/>
        <v>0</v>
      </c>
      <c r="AH59" s="278">
        <f t="shared" si="12"/>
        <v>0</v>
      </c>
      <c r="AI59" s="278">
        <f t="shared" si="12"/>
        <v>0</v>
      </c>
      <c r="AJ59" s="278">
        <f t="shared" si="12"/>
        <v>0</v>
      </c>
      <c r="AK59" s="278">
        <f t="shared" si="12"/>
        <v>0</v>
      </c>
      <c r="AL59" s="278">
        <f t="shared" si="12"/>
        <v>0</v>
      </c>
      <c r="AM59" s="278">
        <f t="shared" si="12"/>
        <v>0</v>
      </c>
      <c r="AN59" s="278">
        <f t="shared" si="12"/>
        <v>0</v>
      </c>
      <c r="AO59" s="278">
        <f t="shared" si="12"/>
        <v>0</v>
      </c>
      <c r="AP59" s="278">
        <f t="shared" si="12"/>
        <v>0</v>
      </c>
      <c r="AQ59" s="278">
        <f t="shared" si="12"/>
        <v>0</v>
      </c>
      <c r="AR59" s="278">
        <f t="shared" si="12"/>
        <v>0</v>
      </c>
      <c r="AS59" s="278">
        <f t="shared" si="12"/>
        <v>0</v>
      </c>
      <c r="AT59" s="278">
        <f t="shared" si="12"/>
        <v>0</v>
      </c>
      <c r="AU59" s="278">
        <f t="shared" si="12"/>
        <v>0</v>
      </c>
      <c r="AV59" s="278">
        <f t="shared" si="12"/>
        <v>0</v>
      </c>
      <c r="AW59" s="278">
        <f t="shared" si="12"/>
        <v>0</v>
      </c>
      <c r="AX59" s="278">
        <f t="shared" si="12"/>
        <v>0</v>
      </c>
      <c r="AY59" s="278">
        <f t="shared" si="12"/>
        <v>0</v>
      </c>
      <c r="AZ59" s="278">
        <f t="shared" si="12"/>
        <v>0</v>
      </c>
      <c r="BA59" s="278">
        <f t="shared" si="12"/>
        <v>0</v>
      </c>
      <c r="BB59" s="278">
        <f t="shared" si="12"/>
        <v>0</v>
      </c>
      <c r="BC59" s="278">
        <f t="shared" si="12"/>
        <v>0</v>
      </c>
      <c r="BD59" s="278">
        <f t="shared" si="12"/>
        <v>0</v>
      </c>
      <c r="BE59" s="278">
        <f t="shared" si="12"/>
        <v>0</v>
      </c>
      <c r="BF59" s="278">
        <f t="shared" si="12"/>
        <v>0</v>
      </c>
      <c r="BG59" s="278">
        <f t="shared" si="12"/>
        <v>0</v>
      </c>
      <c r="BH59" s="278">
        <f t="shared" si="12"/>
        <v>0</v>
      </c>
      <c r="BI59" s="278">
        <f t="shared" si="12"/>
        <v>0</v>
      </c>
      <c r="BJ59" s="278">
        <f t="shared" si="12"/>
        <v>0</v>
      </c>
      <c r="BK59" s="278">
        <f t="shared" si="12"/>
        <v>0</v>
      </c>
      <c r="BL59" s="278">
        <f t="shared" si="12"/>
        <v>0</v>
      </c>
      <c r="BM59" s="271"/>
      <c r="BN59" s="278">
        <f t="shared" si="11"/>
        <v>30022.36</v>
      </c>
      <c r="BO59" s="263"/>
      <c r="BP59" s="263"/>
      <c r="BQ59" s="263"/>
      <c r="BR59" s="263"/>
      <c r="BS59" s="263"/>
    </row>
    <row r="60" spans="1:71" ht="18.95" customHeight="1" thickBot="1">
      <c r="A60" s="428"/>
      <c r="B60" s="430" t="s">
        <v>1953</v>
      </c>
      <c r="C60" s="278">
        <f t="shared" ref="C60:AH60" si="13">SUM(C55:C59)</f>
        <v>3093.0699999999997</v>
      </c>
      <c r="D60" s="278">
        <f t="shared" si="13"/>
        <v>20866.45</v>
      </c>
      <c r="E60" s="278">
        <f t="shared" si="13"/>
        <v>6062.84</v>
      </c>
      <c r="F60" s="278">
        <f t="shared" si="13"/>
        <v>0</v>
      </c>
      <c r="G60" s="278">
        <f t="shared" si="13"/>
        <v>0</v>
      </c>
      <c r="H60" s="278">
        <f t="shared" si="13"/>
        <v>0</v>
      </c>
      <c r="I60" s="278">
        <f t="shared" si="13"/>
        <v>0</v>
      </c>
      <c r="J60" s="278">
        <f t="shared" si="13"/>
        <v>0</v>
      </c>
      <c r="K60" s="278">
        <f t="shared" si="13"/>
        <v>0</v>
      </c>
      <c r="L60" s="278">
        <f t="shared" si="13"/>
        <v>0</v>
      </c>
      <c r="M60" s="278">
        <f t="shared" si="13"/>
        <v>0</v>
      </c>
      <c r="N60" s="278">
        <f t="shared" si="13"/>
        <v>0</v>
      </c>
      <c r="O60" s="278">
        <f t="shared" si="13"/>
        <v>0</v>
      </c>
      <c r="P60" s="278">
        <f t="shared" si="13"/>
        <v>0</v>
      </c>
      <c r="Q60" s="278">
        <f t="shared" si="13"/>
        <v>0</v>
      </c>
      <c r="R60" s="278">
        <f t="shared" si="13"/>
        <v>0</v>
      </c>
      <c r="S60" s="278">
        <f t="shared" si="13"/>
        <v>0</v>
      </c>
      <c r="T60" s="278">
        <f t="shared" si="13"/>
        <v>0</v>
      </c>
      <c r="U60" s="278">
        <f t="shared" si="13"/>
        <v>0</v>
      </c>
      <c r="V60" s="278">
        <f t="shared" si="13"/>
        <v>0</v>
      </c>
      <c r="W60" s="278">
        <f t="shared" si="13"/>
        <v>0</v>
      </c>
      <c r="X60" s="278">
        <f t="shared" si="13"/>
        <v>0</v>
      </c>
      <c r="Y60" s="278">
        <f t="shared" si="13"/>
        <v>0</v>
      </c>
      <c r="Z60" s="278">
        <f t="shared" si="13"/>
        <v>0</v>
      </c>
      <c r="AA60" s="278">
        <f t="shared" si="13"/>
        <v>0</v>
      </c>
      <c r="AB60" s="278">
        <f t="shared" si="13"/>
        <v>0</v>
      </c>
      <c r="AC60" s="278">
        <f t="shared" si="13"/>
        <v>0</v>
      </c>
      <c r="AD60" s="278">
        <f t="shared" si="13"/>
        <v>0</v>
      </c>
      <c r="AE60" s="278">
        <f t="shared" si="13"/>
        <v>0</v>
      </c>
      <c r="AF60" s="278">
        <f t="shared" si="13"/>
        <v>0</v>
      </c>
      <c r="AG60" s="278">
        <f t="shared" si="13"/>
        <v>0</v>
      </c>
      <c r="AH60" s="278">
        <f t="shared" si="13"/>
        <v>0</v>
      </c>
      <c r="AI60" s="278">
        <f t="shared" ref="AI60:BN60" si="14">SUM(AI55:AI59)</f>
        <v>0</v>
      </c>
      <c r="AJ60" s="278">
        <f t="shared" si="14"/>
        <v>0</v>
      </c>
      <c r="AK60" s="278">
        <f t="shared" si="14"/>
        <v>0</v>
      </c>
      <c r="AL60" s="278">
        <f t="shared" si="14"/>
        <v>0</v>
      </c>
      <c r="AM60" s="278">
        <f t="shared" si="14"/>
        <v>0</v>
      </c>
      <c r="AN60" s="278">
        <f t="shared" si="14"/>
        <v>0</v>
      </c>
      <c r="AO60" s="278">
        <f t="shared" si="14"/>
        <v>0</v>
      </c>
      <c r="AP60" s="278">
        <f t="shared" si="14"/>
        <v>0</v>
      </c>
      <c r="AQ60" s="278">
        <f t="shared" si="14"/>
        <v>0</v>
      </c>
      <c r="AR60" s="278">
        <f t="shared" si="14"/>
        <v>0</v>
      </c>
      <c r="AS60" s="278">
        <f t="shared" si="14"/>
        <v>0</v>
      </c>
      <c r="AT60" s="278">
        <f t="shared" si="14"/>
        <v>0</v>
      </c>
      <c r="AU60" s="278">
        <f t="shared" si="14"/>
        <v>0</v>
      </c>
      <c r="AV60" s="278">
        <f t="shared" si="14"/>
        <v>0</v>
      </c>
      <c r="AW60" s="278">
        <f t="shared" si="14"/>
        <v>0</v>
      </c>
      <c r="AX60" s="278">
        <f t="shared" si="14"/>
        <v>0</v>
      </c>
      <c r="AY60" s="278">
        <f t="shared" si="14"/>
        <v>0</v>
      </c>
      <c r="AZ60" s="278">
        <f t="shared" si="14"/>
        <v>0</v>
      </c>
      <c r="BA60" s="278">
        <f t="shared" si="14"/>
        <v>0</v>
      </c>
      <c r="BB60" s="278">
        <f t="shared" si="14"/>
        <v>0</v>
      </c>
      <c r="BC60" s="278">
        <f t="shared" si="14"/>
        <v>0</v>
      </c>
      <c r="BD60" s="278">
        <f t="shared" si="14"/>
        <v>0</v>
      </c>
      <c r="BE60" s="278">
        <f t="shared" si="14"/>
        <v>0</v>
      </c>
      <c r="BF60" s="278">
        <f t="shared" si="14"/>
        <v>0</v>
      </c>
      <c r="BG60" s="278">
        <f t="shared" si="14"/>
        <v>0</v>
      </c>
      <c r="BH60" s="278">
        <f t="shared" si="14"/>
        <v>0</v>
      </c>
      <c r="BI60" s="278">
        <f t="shared" si="14"/>
        <v>0</v>
      </c>
      <c r="BJ60" s="278">
        <f t="shared" si="14"/>
        <v>0</v>
      </c>
      <c r="BK60" s="278">
        <f t="shared" si="14"/>
        <v>0</v>
      </c>
      <c r="BL60" s="278">
        <f t="shared" si="14"/>
        <v>0</v>
      </c>
      <c r="BM60" s="278">
        <f t="shared" si="14"/>
        <v>0</v>
      </c>
      <c r="BN60" s="278">
        <f t="shared" si="14"/>
        <v>30022.36</v>
      </c>
      <c r="BO60" s="263"/>
      <c r="BP60" s="263"/>
      <c r="BQ60" s="263"/>
      <c r="BR60" s="263"/>
      <c r="BS60" s="263"/>
    </row>
    <row r="61" spans="1:71" ht="36" customHeight="1" thickBot="1">
      <c r="A61" s="428"/>
      <c r="B61" s="679" t="s">
        <v>1954</v>
      </c>
      <c r="C61" s="280">
        <f>+C47+C60+C52</f>
        <v>3543.7299999999996</v>
      </c>
      <c r="D61" s="280">
        <f t="shared" ref="D61:BL61" si="15">+D47+D60+D52</f>
        <v>21961.89</v>
      </c>
      <c r="E61" s="280">
        <f t="shared" si="15"/>
        <v>6062.84</v>
      </c>
      <c r="F61" s="280">
        <f t="shared" si="15"/>
        <v>0</v>
      </c>
      <c r="G61" s="280">
        <f t="shared" si="15"/>
        <v>0</v>
      </c>
      <c r="H61" s="280">
        <f t="shared" si="15"/>
        <v>0</v>
      </c>
      <c r="I61" s="280">
        <f t="shared" si="15"/>
        <v>0</v>
      </c>
      <c r="J61" s="280">
        <f t="shared" si="15"/>
        <v>0</v>
      </c>
      <c r="K61" s="280">
        <f t="shared" si="15"/>
        <v>0</v>
      </c>
      <c r="L61" s="280">
        <f t="shared" si="15"/>
        <v>0</v>
      </c>
      <c r="M61" s="280">
        <f t="shared" si="15"/>
        <v>0</v>
      </c>
      <c r="N61" s="280">
        <f t="shared" si="15"/>
        <v>0</v>
      </c>
      <c r="O61" s="280">
        <f t="shared" si="15"/>
        <v>0</v>
      </c>
      <c r="P61" s="280">
        <f t="shared" si="15"/>
        <v>0</v>
      </c>
      <c r="Q61" s="280">
        <f t="shared" si="15"/>
        <v>0</v>
      </c>
      <c r="R61" s="280">
        <f t="shared" si="15"/>
        <v>0</v>
      </c>
      <c r="S61" s="280">
        <f t="shared" si="15"/>
        <v>0</v>
      </c>
      <c r="T61" s="280">
        <f t="shared" si="15"/>
        <v>0</v>
      </c>
      <c r="U61" s="280">
        <f t="shared" si="15"/>
        <v>0</v>
      </c>
      <c r="V61" s="280">
        <f t="shared" si="15"/>
        <v>0</v>
      </c>
      <c r="W61" s="280">
        <f t="shared" si="15"/>
        <v>0</v>
      </c>
      <c r="X61" s="280">
        <f t="shared" si="15"/>
        <v>0</v>
      </c>
      <c r="Y61" s="280">
        <f t="shared" si="15"/>
        <v>0</v>
      </c>
      <c r="Z61" s="280">
        <f t="shared" si="15"/>
        <v>0</v>
      </c>
      <c r="AA61" s="280">
        <f t="shared" si="15"/>
        <v>0</v>
      </c>
      <c r="AB61" s="280">
        <f t="shared" si="15"/>
        <v>0</v>
      </c>
      <c r="AC61" s="280">
        <f t="shared" si="15"/>
        <v>0</v>
      </c>
      <c r="AD61" s="280">
        <f t="shared" si="15"/>
        <v>0</v>
      </c>
      <c r="AE61" s="280">
        <f t="shared" si="15"/>
        <v>0</v>
      </c>
      <c r="AF61" s="280">
        <f t="shared" si="15"/>
        <v>0</v>
      </c>
      <c r="AG61" s="280">
        <f t="shared" si="15"/>
        <v>0</v>
      </c>
      <c r="AH61" s="280">
        <f t="shared" si="15"/>
        <v>0</v>
      </c>
      <c r="AI61" s="280">
        <f t="shared" si="15"/>
        <v>0</v>
      </c>
      <c r="AJ61" s="280">
        <f t="shared" si="15"/>
        <v>0</v>
      </c>
      <c r="AK61" s="280">
        <f t="shared" si="15"/>
        <v>0</v>
      </c>
      <c r="AL61" s="280">
        <f t="shared" si="15"/>
        <v>0</v>
      </c>
      <c r="AM61" s="280">
        <f t="shared" si="15"/>
        <v>0</v>
      </c>
      <c r="AN61" s="280">
        <f t="shared" si="15"/>
        <v>0</v>
      </c>
      <c r="AO61" s="280">
        <f t="shared" si="15"/>
        <v>0</v>
      </c>
      <c r="AP61" s="280">
        <f t="shared" si="15"/>
        <v>0</v>
      </c>
      <c r="AQ61" s="280">
        <f t="shared" si="15"/>
        <v>0</v>
      </c>
      <c r="AR61" s="280">
        <f t="shared" si="15"/>
        <v>0</v>
      </c>
      <c r="AS61" s="280">
        <f t="shared" si="15"/>
        <v>0</v>
      </c>
      <c r="AT61" s="280">
        <f t="shared" si="15"/>
        <v>0</v>
      </c>
      <c r="AU61" s="280">
        <f t="shared" si="15"/>
        <v>0</v>
      </c>
      <c r="AV61" s="280">
        <f t="shared" si="15"/>
        <v>0</v>
      </c>
      <c r="AW61" s="280">
        <f t="shared" si="15"/>
        <v>0</v>
      </c>
      <c r="AX61" s="280">
        <f t="shared" si="15"/>
        <v>0</v>
      </c>
      <c r="AY61" s="280">
        <f t="shared" si="15"/>
        <v>0</v>
      </c>
      <c r="AZ61" s="280">
        <f t="shared" si="15"/>
        <v>0</v>
      </c>
      <c r="BA61" s="280">
        <f t="shared" si="15"/>
        <v>0</v>
      </c>
      <c r="BB61" s="280">
        <f t="shared" si="15"/>
        <v>0</v>
      </c>
      <c r="BC61" s="280">
        <f t="shared" si="15"/>
        <v>0</v>
      </c>
      <c r="BD61" s="280">
        <f t="shared" si="15"/>
        <v>0</v>
      </c>
      <c r="BE61" s="280">
        <f t="shared" si="15"/>
        <v>0</v>
      </c>
      <c r="BF61" s="280">
        <f t="shared" si="15"/>
        <v>0</v>
      </c>
      <c r="BG61" s="280">
        <f t="shared" si="15"/>
        <v>0</v>
      </c>
      <c r="BH61" s="280">
        <f t="shared" si="15"/>
        <v>0</v>
      </c>
      <c r="BI61" s="280">
        <f t="shared" si="15"/>
        <v>0</v>
      </c>
      <c r="BJ61" s="280">
        <f t="shared" si="15"/>
        <v>0</v>
      </c>
      <c r="BK61" s="280">
        <f t="shared" si="15"/>
        <v>0</v>
      </c>
      <c r="BL61" s="280">
        <f t="shared" si="15"/>
        <v>0</v>
      </c>
      <c r="BM61" s="280">
        <f>+BM47+BM60+BM52</f>
        <v>0</v>
      </c>
      <c r="BN61" s="280">
        <f>+BN47+BN60+BN52</f>
        <v>31568.46</v>
      </c>
      <c r="BO61" s="263"/>
      <c r="BP61" s="263"/>
      <c r="BQ61" s="263"/>
      <c r="BR61" s="263"/>
      <c r="BS61" s="263"/>
    </row>
    <row r="62" spans="1:71" ht="16.5" thickTop="1">
      <c r="A62" s="300"/>
      <c r="B62" s="263"/>
      <c r="C62" s="422" t="s">
        <v>1337</v>
      </c>
      <c r="D62" s="263"/>
      <c r="E62" s="263"/>
      <c r="F62" s="263"/>
      <c r="G62" s="422" t="s">
        <v>1337</v>
      </c>
      <c r="H62" s="263"/>
      <c r="I62" s="263"/>
      <c r="J62" s="263"/>
      <c r="K62" s="422" t="s">
        <v>1337</v>
      </c>
      <c r="L62" s="263"/>
      <c r="M62" s="263"/>
      <c r="N62" s="263"/>
      <c r="O62" s="422" t="s">
        <v>1337</v>
      </c>
      <c r="P62" s="263"/>
      <c r="Q62" s="263"/>
      <c r="R62" s="263"/>
      <c r="S62" s="422" t="s">
        <v>1337</v>
      </c>
      <c r="T62" s="263"/>
      <c r="U62" s="263"/>
      <c r="V62" s="263"/>
      <c r="W62" s="422" t="s">
        <v>1337</v>
      </c>
      <c r="X62" s="263"/>
      <c r="Y62" s="263"/>
      <c r="Z62" s="263"/>
      <c r="AA62" s="422" t="s">
        <v>1337</v>
      </c>
      <c r="AB62" s="263"/>
      <c r="AC62" s="263"/>
      <c r="AD62" s="263"/>
      <c r="AE62" s="422" t="s">
        <v>1337</v>
      </c>
      <c r="AF62" s="263"/>
      <c r="AG62" s="263"/>
      <c r="AH62" s="263"/>
      <c r="AI62" s="422" t="s">
        <v>1337</v>
      </c>
      <c r="AJ62" s="427"/>
      <c r="AK62" s="427"/>
      <c r="AL62" s="427"/>
      <c r="AM62" s="422" t="s">
        <v>1337</v>
      </c>
      <c r="AN62" s="427"/>
      <c r="AO62" s="427"/>
      <c r="AP62" s="427"/>
      <c r="AQ62" s="422" t="s">
        <v>1337</v>
      </c>
      <c r="AR62" s="427"/>
      <c r="AS62" s="427"/>
      <c r="AT62" s="427"/>
      <c r="AU62" s="422" t="s">
        <v>1337</v>
      </c>
      <c r="AV62" s="427"/>
      <c r="AW62" s="427"/>
      <c r="AX62" s="427"/>
      <c r="AY62" s="422" t="s">
        <v>1337</v>
      </c>
      <c r="AZ62" s="282"/>
      <c r="BA62" s="282"/>
      <c r="BB62" s="282"/>
      <c r="BC62" s="422" t="s">
        <v>1337</v>
      </c>
      <c r="BD62" s="282"/>
      <c r="BE62" s="282"/>
      <c r="BF62" s="282"/>
      <c r="BG62" s="422" t="s">
        <v>1337</v>
      </c>
      <c r="BH62" s="282"/>
      <c r="BI62" s="282"/>
      <c r="BJ62" s="282"/>
      <c r="BK62" s="422" t="s">
        <v>1338</v>
      </c>
      <c r="BL62" s="282"/>
      <c r="BM62" s="282"/>
      <c r="BN62" s="282"/>
      <c r="BO62" s="263"/>
      <c r="BP62" s="263"/>
      <c r="BQ62" s="263"/>
      <c r="BR62" s="263"/>
      <c r="BS62" s="263"/>
    </row>
    <row r="63" spans="1:71" ht="15">
      <c r="A63" s="300"/>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row>
    <row r="64" spans="1:71" ht="15">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row>
    <row r="65" spans="1:71" ht="15">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row>
    <row r="66" spans="1:71" ht="15">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row>
    <row r="67" spans="1:71" ht="15">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row>
    <row r="68" spans="1:71" ht="15">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row>
    <row r="69" spans="1:71" ht="15">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row>
    <row r="70" spans="1:71" ht="15">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row>
    <row r="71" spans="1:71" ht="15">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row>
    <row r="72" spans="1:71" ht="15">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row>
    <row r="73" spans="1:71" ht="15">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row>
    <row r="74" spans="1:71" ht="15">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row>
    <row r="75" spans="1:71" ht="15">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row>
    <row r="76" spans="1:71" ht="15">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row>
    <row r="77" spans="1:71" ht="15">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row>
    <row r="78" spans="1:71" ht="15">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row>
    <row r="79" spans="1:71" ht="15">
      <c r="A79" s="263"/>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row>
    <row r="80" spans="1:71" ht="15">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row>
    <row r="81" spans="1:71" ht="15">
      <c r="A81" s="263"/>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row>
    <row r="82" spans="1:71" ht="15">
      <c r="A82" s="263"/>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row>
    <row r="83" spans="1:71" ht="15">
      <c r="A83" s="263"/>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row>
    <row r="84" spans="1:71" ht="15">
      <c r="A84" s="263"/>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row>
    <row r="85" spans="1:71" ht="15">
      <c r="A85" s="263"/>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row>
    <row r="86" spans="1:71" ht="15">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row>
    <row r="87" spans="1:71" ht="15">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row>
    <row r="88" spans="1:71" ht="15">
      <c r="A88" s="263"/>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row>
    <row r="89" spans="1:71" ht="15">
      <c r="A89" s="263"/>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row>
    <row r="90" spans="1:71" ht="15">
      <c r="A90" s="263"/>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row>
    <row r="91" spans="1:71" ht="15">
      <c r="A91" s="263"/>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row>
    <row r="92" spans="1:71" ht="15">
      <c r="A92" s="263"/>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row>
    <row r="93" spans="1:71" ht="15">
      <c r="A93" s="263"/>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row>
    <row r="94" spans="1:71" ht="15">
      <c r="A94" s="263"/>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row>
    <row r="95" spans="1:71" ht="15">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row>
    <row r="96" spans="1:71" ht="15">
      <c r="A96" s="263"/>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row>
    <row r="97" spans="1:71" ht="15">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row>
    <row r="98" spans="1:71" ht="15">
      <c r="A98" s="263"/>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row>
    <row r="99" spans="1:71" ht="15">
      <c r="A99" s="263"/>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row>
    <row r="100" spans="1:71" ht="15">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row>
    <row r="101" spans="1:71" ht="15">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row>
    <row r="102" spans="1:71" ht="15">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row>
    <row r="103" spans="1:71" ht="15">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row>
    <row r="104" spans="1:71" ht="15">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row>
    <row r="105" spans="1:71" ht="15">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row>
    <row r="106" spans="1:71" ht="15">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row>
    <row r="107" spans="1:71" ht="15">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row>
    <row r="108" spans="1:71" ht="15">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263"/>
      <c r="AS108" s="263"/>
      <c r="AT108" s="263"/>
      <c r="AU108" s="263"/>
      <c r="AV108" s="263"/>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row>
    <row r="109" spans="1:71" ht="15">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row>
    <row r="110" spans="1:71" ht="15">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row>
    <row r="111" spans="1:71" ht="15">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row>
    <row r="112" spans="1:71" ht="15">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row>
    <row r="113" spans="1:71" ht="15">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row>
    <row r="114" spans="1:71" ht="15">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row>
    <row r="115" spans="1:71" ht="15">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row>
    <row r="116" spans="1:71" ht="15">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row>
    <row r="117" spans="1:71" ht="15">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row>
    <row r="118" spans="1:71" ht="15">
      <c r="A118" s="263"/>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row>
    <row r="119" spans="1:71" ht="15">
      <c r="A119" s="263"/>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row>
    <row r="120" spans="1:71" ht="15">
      <c r="A120" s="263"/>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row>
    <row r="121" spans="1:71" ht="15">
      <c r="A121" s="263"/>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row>
    <row r="122" spans="1:71" ht="15">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c r="AU122" s="263"/>
      <c r="AV122" s="263"/>
      <c r="AW122" s="263"/>
      <c r="AX122" s="263"/>
      <c r="AY122" s="263"/>
      <c r="AZ122" s="263"/>
      <c r="BA122" s="263"/>
      <c r="BB122" s="263"/>
      <c r="BC122" s="263"/>
      <c r="BD122" s="263"/>
      <c r="BE122" s="263"/>
      <c r="BF122" s="263"/>
      <c r="BG122" s="263"/>
      <c r="BH122" s="263"/>
      <c r="BI122" s="263"/>
      <c r="BJ122" s="263"/>
      <c r="BK122" s="263"/>
      <c r="BL122" s="263"/>
      <c r="BM122" s="263"/>
      <c r="BN122" s="263"/>
      <c r="BO122" s="263"/>
      <c r="BP122" s="263"/>
      <c r="BQ122" s="263"/>
      <c r="BR122" s="263"/>
      <c r="BS122" s="263"/>
    </row>
    <row r="123" spans="1:71" ht="15">
      <c r="A123" s="263"/>
      <c r="B123" s="263"/>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263"/>
      <c r="AS123" s="263"/>
      <c r="AT123" s="263"/>
      <c r="AU123" s="263"/>
      <c r="AV123" s="263"/>
      <c r="AW123" s="263"/>
      <c r="AX123" s="263"/>
      <c r="AY123" s="263"/>
      <c r="AZ123" s="263"/>
      <c r="BA123" s="263"/>
      <c r="BB123" s="263"/>
      <c r="BC123" s="263"/>
      <c r="BD123" s="263"/>
      <c r="BE123" s="263"/>
      <c r="BF123" s="263"/>
      <c r="BG123" s="263"/>
      <c r="BH123" s="263"/>
      <c r="BI123" s="263"/>
      <c r="BJ123" s="263"/>
      <c r="BK123" s="263"/>
      <c r="BL123" s="263"/>
      <c r="BM123" s="263"/>
      <c r="BN123" s="263"/>
      <c r="BO123" s="263"/>
      <c r="BP123" s="263"/>
      <c r="BQ123" s="263"/>
      <c r="BR123" s="263"/>
      <c r="BS123" s="263"/>
    </row>
  </sheetData>
  <sheetProtection password="D950" sheet="1" scenarios="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N4:N6"/>
    <mergeCell ref="C4:C6"/>
    <mergeCell ref="D4:D6"/>
    <mergeCell ref="E4:E6"/>
    <mergeCell ref="F4:F6"/>
    <mergeCell ref="G4:G6"/>
    <mergeCell ref="H4:H6"/>
    <mergeCell ref="I4:I6"/>
    <mergeCell ref="J4:J6"/>
    <mergeCell ref="K4:K6"/>
    <mergeCell ref="L4:L6"/>
    <mergeCell ref="M4:M6"/>
    <mergeCell ref="Z4:Z6"/>
    <mergeCell ref="O4:O6"/>
    <mergeCell ref="P4:P6"/>
    <mergeCell ref="Q4:Q6"/>
    <mergeCell ref="R4:R6"/>
    <mergeCell ref="S4:S6"/>
    <mergeCell ref="T4:T6"/>
    <mergeCell ref="U4:U6"/>
    <mergeCell ref="V4:V6"/>
    <mergeCell ref="W4:W6"/>
    <mergeCell ref="X4:X6"/>
    <mergeCell ref="Y4:Y6"/>
    <mergeCell ref="AA4:AA6"/>
    <mergeCell ref="AB4:AB6"/>
    <mergeCell ref="AC4:AC6"/>
    <mergeCell ref="AD4:AD6"/>
    <mergeCell ref="AF4:AF6"/>
    <mergeCell ref="AE4:AE6"/>
    <mergeCell ref="AR4:AR6"/>
    <mergeCell ref="AG4:AG6"/>
    <mergeCell ref="AH4:AH6"/>
    <mergeCell ref="AI4:AI6"/>
    <mergeCell ref="AJ4:AJ6"/>
    <mergeCell ref="AK4:AK6"/>
    <mergeCell ref="AL4:AL6"/>
    <mergeCell ref="AM4:AM6"/>
    <mergeCell ref="AN4:AN6"/>
    <mergeCell ref="AO4:AO6"/>
    <mergeCell ref="AP4:AP6"/>
    <mergeCell ref="AQ4:AQ6"/>
    <mergeCell ref="BD4:BD6"/>
    <mergeCell ref="AS4:AS6"/>
    <mergeCell ref="AT4:AT6"/>
    <mergeCell ref="AU4:AU6"/>
    <mergeCell ref="AV4:AV6"/>
    <mergeCell ref="AW4:AW6"/>
    <mergeCell ref="AX4:AX6"/>
    <mergeCell ref="AY4:AY6"/>
    <mergeCell ref="AZ4:AZ6"/>
    <mergeCell ref="BA4:BA6"/>
    <mergeCell ref="BB4:BB6"/>
    <mergeCell ref="BC4:BC6"/>
    <mergeCell ref="BK4:BK6"/>
    <mergeCell ref="BL4:BL6"/>
    <mergeCell ref="BE4:BE6"/>
    <mergeCell ref="BF4:BF6"/>
    <mergeCell ref="BG4:BG6"/>
    <mergeCell ref="BH4:BH6"/>
    <mergeCell ref="BI4:BI6"/>
    <mergeCell ref="BJ4:BJ6"/>
  </mergeCells>
  <phoneticPr fontId="0" type="noConversion"/>
  <printOptions horizontalCentered="1" verticalCentered="1" gridLines="1"/>
  <pageMargins left="0.37" right="0.5" top="0.69" bottom="0" header="0.17" footer="0"/>
  <pageSetup scale="65" orientation="portrait" r:id="rId2"/>
  <headerFooter alignWithMargins="0">
    <oddHeader xml:space="preserve">&amp;C&amp;"Arial,Bold"&amp;14TOWN OF BROADUS
COMBINING BALANCE SHEET
 NONMAJOR SPECIAL REVENUE FUNDS
JUNE 30, 2017
</oddHead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11" activePane="bottomRight" state="frozen"/>
      <selection pane="topRight" activeCell="C1" sqref="C1"/>
      <selection pane="bottomLeft" activeCell="A11" sqref="A11"/>
      <selection pane="bottomRight" activeCell="O1" sqref="O1:IP1048576"/>
    </sheetView>
  </sheetViews>
  <sheetFormatPr defaultColWidth="8.85546875" defaultRowHeight="12.75"/>
  <cols>
    <col min="1" max="1" width="13.7109375" style="261" customWidth="1"/>
    <col min="2" max="2" width="45.7109375" style="261" customWidth="1"/>
    <col min="3" max="14" width="16.7109375" style="261" customWidth="1"/>
    <col min="15" max="250" width="16.7109375" style="261" hidden="1" customWidth="1"/>
    <col min="251" max="254" width="16.7109375" style="261" customWidth="1"/>
    <col min="255" max="16384" width="8.85546875" style="261"/>
  </cols>
  <sheetData>
    <row r="1" spans="1:254">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c r="DI1" s="308"/>
      <c r="DJ1" s="308"/>
      <c r="DK1" s="308"/>
      <c r="DL1" s="308"/>
      <c r="DM1" s="308"/>
      <c r="DN1" s="308"/>
      <c r="DO1" s="308"/>
      <c r="DP1" s="308"/>
      <c r="DQ1" s="308"/>
      <c r="DR1" s="308"/>
      <c r="DS1" s="308"/>
      <c r="DT1" s="308"/>
      <c r="DU1" s="308"/>
      <c r="DV1" s="308"/>
      <c r="DW1" s="308"/>
      <c r="DX1" s="308"/>
      <c r="DY1" s="308"/>
      <c r="DZ1" s="308"/>
      <c r="EA1" s="308"/>
      <c r="EB1" s="308"/>
      <c r="EC1" s="308"/>
      <c r="ED1" s="308"/>
      <c r="EE1" s="308"/>
      <c r="EF1" s="308"/>
      <c r="EG1" s="308"/>
      <c r="EH1" s="308"/>
      <c r="EI1" s="308"/>
      <c r="EJ1" s="308"/>
      <c r="EK1" s="308"/>
      <c r="EL1" s="308"/>
      <c r="EM1" s="308"/>
      <c r="EN1" s="308"/>
      <c r="EO1" s="308"/>
      <c r="EP1" s="308"/>
      <c r="EQ1" s="308"/>
      <c r="ER1" s="308"/>
      <c r="ES1" s="308"/>
      <c r="ET1" s="308"/>
      <c r="EU1" s="308"/>
      <c r="EV1" s="308"/>
      <c r="EW1" s="308"/>
      <c r="EX1" s="308"/>
      <c r="EY1" s="308"/>
      <c r="EZ1" s="308"/>
      <c r="FA1" s="308"/>
      <c r="FB1" s="308"/>
      <c r="FC1" s="308"/>
      <c r="FD1" s="308"/>
      <c r="FE1" s="308"/>
      <c r="FF1" s="308"/>
      <c r="FG1" s="308"/>
      <c r="FH1" s="308"/>
      <c r="FI1" s="308"/>
      <c r="FJ1" s="308"/>
      <c r="FK1" s="308"/>
      <c r="FL1" s="308"/>
      <c r="FM1" s="308"/>
      <c r="FN1" s="308"/>
      <c r="FO1" s="308"/>
      <c r="FP1" s="308"/>
      <c r="FQ1" s="308"/>
      <c r="FR1" s="308"/>
      <c r="FS1" s="308"/>
      <c r="FT1" s="308"/>
      <c r="FU1" s="308"/>
      <c r="FV1" s="308"/>
      <c r="FW1" s="308"/>
      <c r="FX1" s="308"/>
      <c r="FY1" s="308"/>
      <c r="FZ1" s="308"/>
      <c r="GA1" s="308"/>
      <c r="GB1" s="308"/>
      <c r="GC1" s="308"/>
      <c r="GD1" s="308"/>
      <c r="GE1" s="308"/>
      <c r="GF1" s="308"/>
      <c r="GG1" s="308"/>
      <c r="GH1" s="308"/>
      <c r="GI1" s="308"/>
      <c r="GJ1" s="308"/>
      <c r="GK1" s="308"/>
      <c r="GL1" s="308"/>
      <c r="GM1" s="308"/>
      <c r="GN1" s="308"/>
      <c r="GO1" s="308"/>
      <c r="GP1" s="308"/>
      <c r="GQ1" s="308"/>
      <c r="GR1" s="308"/>
      <c r="GS1" s="308"/>
      <c r="GT1" s="308"/>
      <c r="GU1" s="308"/>
      <c r="GV1" s="308"/>
      <c r="GW1" s="308"/>
      <c r="GX1" s="308"/>
      <c r="GY1" s="308"/>
      <c r="GZ1" s="308"/>
      <c r="HA1" s="308"/>
      <c r="HB1" s="308"/>
      <c r="HC1" s="308"/>
      <c r="HD1" s="308"/>
      <c r="HE1" s="308"/>
      <c r="HF1" s="308"/>
      <c r="HG1" s="308"/>
      <c r="HH1" s="308"/>
      <c r="HI1" s="308"/>
      <c r="HJ1" s="308"/>
      <c r="HK1" s="308"/>
      <c r="HL1" s="308"/>
      <c r="HM1" s="308"/>
      <c r="HN1" s="308"/>
      <c r="HO1" s="308"/>
      <c r="HP1" s="308"/>
      <c r="HQ1" s="308"/>
      <c r="HR1" s="308"/>
      <c r="HS1" s="308"/>
      <c r="HT1" s="308"/>
      <c r="HU1" s="308"/>
      <c r="HV1" s="308"/>
      <c r="HW1" s="308"/>
      <c r="HX1" s="308"/>
      <c r="HY1" s="308"/>
      <c r="HZ1" s="308"/>
      <c r="IA1" s="308"/>
      <c r="IB1" s="308"/>
      <c r="IC1" s="308"/>
      <c r="ID1" s="308"/>
      <c r="IE1" s="308"/>
      <c r="IF1" s="308"/>
      <c r="IG1" s="308"/>
      <c r="IH1" s="308"/>
      <c r="II1" s="308"/>
      <c r="IJ1" s="308"/>
      <c r="IK1" s="308"/>
      <c r="IL1" s="308"/>
      <c r="IM1" s="308"/>
      <c r="IN1" s="308"/>
      <c r="IO1" s="308"/>
      <c r="IP1" s="308"/>
      <c r="IQ1" s="308"/>
      <c r="IR1" s="308"/>
      <c r="IS1" s="308"/>
      <c r="IT1" s="308"/>
    </row>
    <row r="2" spans="1:254" ht="15.75">
      <c r="A2" s="699"/>
      <c r="B2" s="699"/>
      <c r="C2" s="1668" t="str">
        <f>'BS-NONMAJOR SP. REVENUE(63-64) '!C3</f>
        <v>FUND#2370</v>
      </c>
      <c r="D2" s="1668"/>
      <c r="E2" s="1668"/>
      <c r="F2" s="1668"/>
      <c r="G2" s="1668" t="str">
        <f>'BS-NONMAJOR SP. REVENUE(63-64) '!D3</f>
        <v>FUND#2400</v>
      </c>
      <c r="H2" s="1668"/>
      <c r="I2" s="1668"/>
      <c r="J2" s="1668"/>
      <c r="K2" s="690" t="str">
        <f>'BS-NONMAJOR SP. REVENUE(63-64) '!E3</f>
        <v>FUND#2810</v>
      </c>
      <c r="L2" s="691"/>
      <c r="M2" s="691"/>
      <c r="N2" s="680"/>
      <c r="O2" s="690" t="str">
        <f>'BS-NONMAJOR SP. REVENUE(63-64) '!F3</f>
        <v>FUND#</v>
      </c>
      <c r="P2" s="691"/>
      <c r="Q2" s="691"/>
      <c r="R2" s="680"/>
      <c r="S2" s="690" t="str">
        <f>'BS-NONMAJOR SP. REVENUE(63-64) '!G3</f>
        <v>FUND#</v>
      </c>
      <c r="T2" s="691"/>
      <c r="U2" s="691"/>
      <c r="V2" s="680"/>
      <c r="W2" s="690" t="str">
        <f>'BS-NONMAJOR SP. REVENUE(63-64) '!H3</f>
        <v>FUND#</v>
      </c>
      <c r="X2" s="691"/>
      <c r="Y2" s="691"/>
      <c r="Z2" s="680"/>
      <c r="AA2" s="690" t="str">
        <f>'BS-NONMAJOR SP. REVENUE(63-64) '!I3</f>
        <v>FUND#</v>
      </c>
      <c r="AB2" s="691"/>
      <c r="AC2" s="691"/>
      <c r="AD2" s="680"/>
      <c r="AE2" s="690" t="str">
        <f>'BS-NONMAJOR SP. REVENUE(63-64) '!J3</f>
        <v>FUND#</v>
      </c>
      <c r="AF2" s="691"/>
      <c r="AG2" s="691"/>
      <c r="AH2" s="680"/>
      <c r="AI2" s="690" t="str">
        <f>'BS-NONMAJOR SP. REVENUE(63-64) '!K3</f>
        <v>FUND#</v>
      </c>
      <c r="AJ2" s="691"/>
      <c r="AK2" s="691"/>
      <c r="AL2" s="680"/>
      <c r="AM2" s="690" t="str">
        <f>'BS-NONMAJOR SP. REVENUE(63-64) '!L3</f>
        <v>FUND#</v>
      </c>
      <c r="AN2" s="691"/>
      <c r="AO2" s="691"/>
      <c r="AP2" s="680"/>
      <c r="AQ2" s="690" t="str">
        <f>'BS-NONMAJOR SP. REVENUE(63-64) '!M3</f>
        <v>FUND#</v>
      </c>
      <c r="AR2" s="691"/>
      <c r="AS2" s="691"/>
      <c r="AT2" s="680"/>
      <c r="AU2" s="690" t="str">
        <f>'BS-NONMAJOR SP. REVENUE(63-64) '!N3</f>
        <v>FUND#</v>
      </c>
      <c r="AV2" s="691"/>
      <c r="AW2" s="691"/>
      <c r="AX2" s="680"/>
      <c r="AY2" s="690" t="str">
        <f>'BS-NONMAJOR SP. REVENUE(63-64) '!O3</f>
        <v>FUND#</v>
      </c>
      <c r="AZ2" s="691"/>
      <c r="BA2" s="691"/>
      <c r="BB2" s="680"/>
      <c r="BC2" s="690" t="str">
        <f>'BS-NONMAJOR SP. REVENUE(63-64) '!P3</f>
        <v>FUND#</v>
      </c>
      <c r="BD2" s="691"/>
      <c r="BE2" s="691"/>
      <c r="BF2" s="680"/>
      <c r="BG2" s="690" t="str">
        <f>'BS-NONMAJOR SP. REVENUE(63-64) '!Q3</f>
        <v>FUND#</v>
      </c>
      <c r="BH2" s="691"/>
      <c r="BI2" s="691"/>
      <c r="BJ2" s="680"/>
      <c r="BK2" s="690" t="str">
        <f>'BS-NONMAJOR SP. REVENUE(63-64) '!R3</f>
        <v>FUND#</v>
      </c>
      <c r="BL2" s="691"/>
      <c r="BM2" s="691"/>
      <c r="BN2" s="680"/>
      <c r="BO2" s="690" t="str">
        <f>'BS-NONMAJOR SP. REVENUE(63-64) '!S3</f>
        <v>FUND#</v>
      </c>
      <c r="BP2" s="691"/>
      <c r="BQ2" s="691"/>
      <c r="BR2" s="680"/>
      <c r="BS2" s="690" t="str">
        <f>'BS-NONMAJOR SP. REVENUE(63-64) '!T3</f>
        <v>FUND#</v>
      </c>
      <c r="BT2" s="691"/>
      <c r="BU2" s="691"/>
      <c r="BV2" s="680"/>
      <c r="BW2" s="690" t="str">
        <f>'BS-NONMAJOR SP. REVENUE(63-64) '!U3</f>
        <v>FUND#</v>
      </c>
      <c r="BX2" s="691"/>
      <c r="BY2" s="691"/>
      <c r="BZ2" s="680"/>
      <c r="CA2" s="690" t="str">
        <f>'BS-NONMAJOR SP. REVENUE(63-64) '!V3</f>
        <v>FUND#</v>
      </c>
      <c r="CB2" s="691"/>
      <c r="CC2" s="691"/>
      <c r="CD2" s="680"/>
      <c r="CE2" s="690" t="str">
        <f>'BS-NONMAJOR SP. REVENUE(63-64) '!W3</f>
        <v>FUND#</v>
      </c>
      <c r="CF2" s="691"/>
      <c r="CG2" s="691"/>
      <c r="CH2" s="680"/>
      <c r="CI2" s="690" t="str">
        <f>'BS-NONMAJOR SP. REVENUE(63-64) '!X3</f>
        <v>FUND#</v>
      </c>
      <c r="CJ2" s="691"/>
      <c r="CK2" s="691"/>
      <c r="CL2" s="680"/>
      <c r="CM2" s="690" t="str">
        <f>'BS-NONMAJOR SP. REVENUE(63-64) '!Y3</f>
        <v>FUND#</v>
      </c>
      <c r="CN2" s="691"/>
      <c r="CO2" s="691"/>
      <c r="CP2" s="680"/>
      <c r="CQ2" s="690" t="str">
        <f>'BS-NONMAJOR SP. REVENUE(63-64) '!Z3</f>
        <v>FUND#</v>
      </c>
      <c r="CR2" s="691"/>
      <c r="CS2" s="691"/>
      <c r="CT2" s="680"/>
      <c r="CU2" s="690" t="str">
        <f>'BS-NONMAJOR SP. REVENUE(63-64) '!AA3</f>
        <v>FUND#</v>
      </c>
      <c r="CV2" s="691"/>
      <c r="CW2" s="691"/>
      <c r="CX2" s="680"/>
      <c r="CY2" s="690" t="str">
        <f>'BS-NONMAJOR SP. REVENUE(63-64) '!AB3</f>
        <v>FUND#</v>
      </c>
      <c r="CZ2" s="691"/>
      <c r="DA2" s="691"/>
      <c r="DB2" s="680"/>
      <c r="DC2" s="690" t="str">
        <f>'BS-NONMAJOR SP. REVENUE(63-64) '!AC3</f>
        <v>FUND#</v>
      </c>
      <c r="DD2" s="691"/>
      <c r="DE2" s="691"/>
      <c r="DF2" s="680"/>
      <c r="DG2" s="690" t="str">
        <f>'BS-NONMAJOR SP. REVENUE(63-64) '!AD3</f>
        <v>FUND#</v>
      </c>
      <c r="DH2" s="691"/>
      <c r="DI2" s="691"/>
      <c r="DJ2" s="680"/>
      <c r="DK2" s="690" t="str">
        <f>'BS-NONMAJOR SP. REVENUE(63-64) '!AE3</f>
        <v>FUND#</v>
      </c>
      <c r="DL2" s="691"/>
      <c r="DM2" s="691"/>
      <c r="DN2" s="680"/>
      <c r="DO2" s="690" t="str">
        <f>'BS-NONMAJOR SP. REVENUE(63-64) '!AF3</f>
        <v>FUND#</v>
      </c>
      <c r="DP2" s="691"/>
      <c r="DQ2" s="691"/>
      <c r="DR2" s="680"/>
      <c r="DS2" s="690" t="str">
        <f>'BS-NONMAJOR SP. REVENUE(63-64) '!AG3</f>
        <v>FUND#</v>
      </c>
      <c r="DT2" s="691"/>
      <c r="DU2" s="691"/>
      <c r="DV2" s="680"/>
      <c r="DW2" s="690" t="str">
        <f>'BS-NONMAJOR SP. REVENUE(63-64) '!AH3</f>
        <v>FUND#</v>
      </c>
      <c r="DX2" s="691"/>
      <c r="DY2" s="691"/>
      <c r="DZ2" s="680"/>
      <c r="EA2" s="690" t="str">
        <f>'BS-NONMAJOR SP. REVENUE(63-64) '!AI3</f>
        <v>FUND#</v>
      </c>
      <c r="EB2" s="691"/>
      <c r="EC2" s="691"/>
      <c r="ED2" s="680"/>
      <c r="EE2" s="1668" t="str">
        <f>'BS-NONMAJOR SP. REVENUE(63-64) '!AJ3</f>
        <v>FUND#</v>
      </c>
      <c r="EF2" s="1740"/>
      <c r="EG2" s="1740"/>
      <c r="EH2" s="1740"/>
      <c r="EI2" s="1668" t="str">
        <f>'BS-NONMAJOR SP. REVENUE(63-64) '!AK3</f>
        <v>FUND#</v>
      </c>
      <c r="EJ2" s="1740"/>
      <c r="EK2" s="1740"/>
      <c r="EL2" s="1740"/>
      <c r="EM2" s="1668" t="str">
        <f>'BS-NONMAJOR SP. REVENUE(63-64) '!AL3</f>
        <v>FUND#</v>
      </c>
      <c r="EN2" s="1740"/>
      <c r="EO2" s="1740"/>
      <c r="EP2" s="1740"/>
      <c r="EQ2" s="1668" t="str">
        <f>'BS-NONMAJOR SP. REVENUE(63-64) '!AM3</f>
        <v>FUND#</v>
      </c>
      <c r="ER2" s="1740"/>
      <c r="ES2" s="1740"/>
      <c r="ET2" s="1740"/>
      <c r="EU2" s="1668" t="str">
        <f>'BS-NONMAJOR SP. REVENUE(63-64) '!AN3</f>
        <v>FUND#</v>
      </c>
      <c r="EV2" s="1740"/>
      <c r="EW2" s="1740"/>
      <c r="EX2" s="1740"/>
      <c r="EY2" s="1668" t="str">
        <f>'BS-NONMAJOR SP. REVENUE(63-64) '!AO3</f>
        <v>FUND#</v>
      </c>
      <c r="EZ2" s="1740"/>
      <c r="FA2" s="1740"/>
      <c r="FB2" s="1740"/>
      <c r="FC2" s="1668" t="str">
        <f>'BS-NONMAJOR SP. REVENUE(63-64) '!AP3</f>
        <v>FUND#</v>
      </c>
      <c r="FD2" s="1740"/>
      <c r="FE2" s="1740"/>
      <c r="FF2" s="1740"/>
      <c r="FG2" s="1668" t="str">
        <f>'BS-NONMAJOR SP. REVENUE(63-64) '!AQ3</f>
        <v>FUND#</v>
      </c>
      <c r="FH2" s="1740"/>
      <c r="FI2" s="1740"/>
      <c r="FJ2" s="1740"/>
      <c r="FK2" s="1668" t="str">
        <f>'BS-NONMAJOR SP. REVENUE(63-64) '!AR3</f>
        <v>FUND#</v>
      </c>
      <c r="FL2" s="1740"/>
      <c r="FM2" s="1740"/>
      <c r="FN2" s="1740"/>
      <c r="FO2" s="1668" t="str">
        <f>'BS-NONMAJOR SP. REVENUE(63-64) '!AS3</f>
        <v>FUND#</v>
      </c>
      <c r="FP2" s="1740"/>
      <c r="FQ2" s="1740"/>
      <c r="FR2" s="1740"/>
      <c r="FS2" s="1668" t="str">
        <f>'BS-NONMAJOR SP. REVENUE(63-64) '!AT3</f>
        <v>FUND#</v>
      </c>
      <c r="FT2" s="1740"/>
      <c r="FU2" s="1740"/>
      <c r="FV2" s="1740"/>
      <c r="FW2" s="1668" t="str">
        <f>'BS-NONMAJOR SP. REVENUE(63-64) '!AU3</f>
        <v>FUND#</v>
      </c>
      <c r="FX2" s="1740"/>
      <c r="FY2" s="1740"/>
      <c r="FZ2" s="1740"/>
      <c r="GA2" s="1668" t="str">
        <f>'BS-NONMAJOR SP. REVENUE(63-64) '!AV3</f>
        <v>FUND#</v>
      </c>
      <c r="GB2" s="1740"/>
      <c r="GC2" s="1740"/>
      <c r="GD2" s="1740"/>
      <c r="GE2" s="1668" t="str">
        <f>'BS-NONMAJOR SP. REVENUE(63-64) '!AW3</f>
        <v>FUND#</v>
      </c>
      <c r="GF2" s="1740"/>
      <c r="GG2" s="1740"/>
      <c r="GH2" s="1740"/>
      <c r="GI2" s="1668" t="str">
        <f>'BS-NONMAJOR SP. REVENUE(63-64) '!AX3</f>
        <v>FUND#</v>
      </c>
      <c r="GJ2" s="1740"/>
      <c r="GK2" s="1740"/>
      <c r="GL2" s="1740"/>
      <c r="GM2" s="1668" t="str">
        <f>'BS-NONMAJOR SP. REVENUE(63-64) '!AY3</f>
        <v>FUND#</v>
      </c>
      <c r="GN2" s="1740"/>
      <c r="GO2" s="1740"/>
      <c r="GP2" s="1740"/>
      <c r="GQ2" s="1668" t="str">
        <f>'BS-NONMAJOR SP. REVENUE(63-64) '!AZ3</f>
        <v>FUND#</v>
      </c>
      <c r="GR2" s="1740"/>
      <c r="GS2" s="1740"/>
      <c r="GT2" s="1740"/>
      <c r="GU2" s="1668" t="str">
        <f>'BS-NONMAJOR SP. REVENUE(63-64) '!BA3</f>
        <v>FUND#</v>
      </c>
      <c r="GV2" s="1740"/>
      <c r="GW2" s="1740"/>
      <c r="GX2" s="1740"/>
      <c r="GY2" s="1668" t="str">
        <f>'BS-NONMAJOR SP. REVENUE(63-64) '!BB3</f>
        <v>FUND#</v>
      </c>
      <c r="GZ2" s="1740"/>
      <c r="HA2" s="1740"/>
      <c r="HB2" s="1740"/>
      <c r="HC2" s="1668" t="str">
        <f>'BS-NONMAJOR SP. REVENUE(63-64) '!BC3</f>
        <v>FUND#</v>
      </c>
      <c r="HD2" s="1740"/>
      <c r="HE2" s="1740"/>
      <c r="HF2" s="1740"/>
      <c r="HG2" s="1668" t="str">
        <f>'BS-NONMAJOR SP. REVENUE(63-64) '!BD3</f>
        <v>FUND#</v>
      </c>
      <c r="HH2" s="1740"/>
      <c r="HI2" s="1740"/>
      <c r="HJ2" s="1740"/>
      <c r="HK2" s="1668" t="str">
        <f>'BS-NONMAJOR SP. REVENUE(63-64) '!BE3</f>
        <v>FUND#</v>
      </c>
      <c r="HL2" s="1740"/>
      <c r="HM2" s="1740"/>
      <c r="HN2" s="1740"/>
      <c r="HO2" s="1668" t="str">
        <f>'BS-NONMAJOR SP. REVENUE(63-64) '!BF3</f>
        <v>FUND#</v>
      </c>
      <c r="HP2" s="1740"/>
      <c r="HQ2" s="1740"/>
      <c r="HR2" s="1740"/>
      <c r="HS2" s="1668" t="str">
        <f>'BS-NONMAJOR SP. REVENUE(63-64) '!BG3</f>
        <v>FUND#</v>
      </c>
      <c r="HT2" s="1740"/>
      <c r="HU2" s="1740"/>
      <c r="HV2" s="1740"/>
      <c r="HW2" s="1668" t="str">
        <f>'BS-NONMAJOR SP. REVENUE(63-64) '!BH3</f>
        <v>FUND#</v>
      </c>
      <c r="HX2" s="1740"/>
      <c r="HY2" s="1740"/>
      <c r="HZ2" s="1740"/>
      <c r="IA2" s="1668" t="str">
        <f>'BS-NONMAJOR SP. REVENUE(63-64) '!BI3</f>
        <v>FUND#</v>
      </c>
      <c r="IB2" s="1740"/>
      <c r="IC2" s="1740"/>
      <c r="ID2" s="1740"/>
      <c r="IE2" s="1668" t="str">
        <f>'BS-NONMAJOR SP. REVENUE(63-64) '!BJ3</f>
        <v>FUND#</v>
      </c>
      <c r="IF2" s="1740"/>
      <c r="IG2" s="1740"/>
      <c r="IH2" s="1740"/>
      <c r="II2" s="1668" t="str">
        <f>'BS-NONMAJOR SP. REVENUE(63-64) '!BK3</f>
        <v>FUND#</v>
      </c>
      <c r="IJ2" s="1740"/>
      <c r="IK2" s="1740"/>
      <c r="IL2" s="1740"/>
      <c r="IM2" s="1668" t="str">
        <f>'BS-NONMAJOR SP. REVENUE(63-64) '!BL3</f>
        <v>FUND#</v>
      </c>
      <c r="IN2" s="1740"/>
      <c r="IO2" s="1740"/>
      <c r="IP2" s="1740"/>
      <c r="IQ2" s="690" t="s">
        <v>126</v>
      </c>
      <c r="IR2" s="691"/>
      <c r="IS2" s="691"/>
      <c r="IT2" s="680"/>
    </row>
    <row r="3" spans="1:254" ht="15.75">
      <c r="A3" s="699"/>
      <c r="B3" s="699"/>
      <c r="C3" s="1741" t="str">
        <f>'BS-NONMAJOR SP. REVENUE(63-64) '!C4</f>
        <v>PERS</v>
      </c>
      <c r="D3" s="1742"/>
      <c r="E3" s="1742"/>
      <c r="F3" s="1742"/>
      <c r="G3" s="1668" t="str">
        <f>'BS-NONMAJOR SP. REVENUE(63-64) '!D4</f>
        <v>LIGHT MAINT</v>
      </c>
      <c r="H3" s="1668"/>
      <c r="I3" s="1668"/>
      <c r="J3" s="1668"/>
      <c r="K3" s="1743" t="str">
        <f>'BS-NONMAJOR SP. REVENUE(63-64) '!E4</f>
        <v>POLICE TRAINING</v>
      </c>
      <c r="L3" s="1743"/>
      <c r="M3" s="1743"/>
      <c r="N3" s="1743"/>
      <c r="O3" s="1668" t="str">
        <f>'BS-NONMAJOR SP. REVENUE(63-64) '!F4</f>
        <v>NAME</v>
      </c>
      <c r="P3" s="1668"/>
      <c r="Q3" s="1668"/>
      <c r="R3" s="1668"/>
      <c r="S3" s="1668" t="str">
        <f>'BS-NONMAJOR SP. REVENUE(63-64) '!G4</f>
        <v>NAME</v>
      </c>
      <c r="T3" s="1668"/>
      <c r="U3" s="1668"/>
      <c r="V3" s="1668"/>
      <c r="W3" s="1668" t="str">
        <f>'BS-NONMAJOR SP. REVENUE(63-64) '!H4</f>
        <v>NAME</v>
      </c>
      <c r="X3" s="1668"/>
      <c r="Y3" s="1668"/>
      <c r="Z3" s="1668"/>
      <c r="AA3" s="1668" t="str">
        <f>'BS-NONMAJOR SP. REVENUE(63-64) '!I4</f>
        <v>NAME</v>
      </c>
      <c r="AB3" s="1668"/>
      <c r="AC3" s="1668"/>
      <c r="AD3" s="1668"/>
      <c r="AE3" s="1668" t="str">
        <f>'BS-NONMAJOR SP. REVENUE(63-64) '!J4</f>
        <v>NAME</v>
      </c>
      <c r="AF3" s="1668"/>
      <c r="AG3" s="1668"/>
      <c r="AH3" s="1668"/>
      <c r="AI3" s="1668" t="str">
        <f>'BS-NONMAJOR SP. REVENUE(63-64) '!K4</f>
        <v>NAME</v>
      </c>
      <c r="AJ3" s="1668"/>
      <c r="AK3" s="1668"/>
      <c r="AL3" s="1668"/>
      <c r="AM3" s="1668" t="str">
        <f>'BS-NONMAJOR SP. REVENUE(63-64) '!L4</f>
        <v>NAME</v>
      </c>
      <c r="AN3" s="1668"/>
      <c r="AO3" s="1668"/>
      <c r="AP3" s="1668"/>
      <c r="AQ3" s="1668" t="str">
        <f>'BS-NONMAJOR SP. REVENUE(63-64) '!M4</f>
        <v>NAME</v>
      </c>
      <c r="AR3" s="1668"/>
      <c r="AS3" s="1668"/>
      <c r="AT3" s="1668"/>
      <c r="AU3" s="1668" t="str">
        <f>'BS-NONMAJOR SP. REVENUE(63-64) '!N4</f>
        <v>NAME</v>
      </c>
      <c r="AV3" s="1668"/>
      <c r="AW3" s="1668"/>
      <c r="AX3" s="1668"/>
      <c r="AY3" s="1668" t="str">
        <f>'BS-NONMAJOR SP. REVENUE(63-64) '!O4</f>
        <v>NAME</v>
      </c>
      <c r="AZ3" s="1668"/>
      <c r="BA3" s="1668"/>
      <c r="BB3" s="1668"/>
      <c r="BC3" s="1668" t="str">
        <f>'BS-NONMAJOR SP. REVENUE(63-64) '!P4</f>
        <v>NAME</v>
      </c>
      <c r="BD3" s="1668"/>
      <c r="BE3" s="1668"/>
      <c r="BF3" s="1668"/>
      <c r="BG3" s="1668" t="str">
        <f>'BS-NONMAJOR SP. REVENUE(63-64) '!Q4</f>
        <v>NAME</v>
      </c>
      <c r="BH3" s="1668"/>
      <c r="BI3" s="1668"/>
      <c r="BJ3" s="1668"/>
      <c r="BK3" s="1668" t="str">
        <f>'BS-NONMAJOR SP. REVENUE(63-64) '!R4</f>
        <v>NAME</v>
      </c>
      <c r="BL3" s="1668"/>
      <c r="BM3" s="1668"/>
      <c r="BN3" s="1668"/>
      <c r="BO3" s="1668" t="str">
        <f>'BS-NONMAJOR SP. REVENUE(63-64) '!S4</f>
        <v>NAME</v>
      </c>
      <c r="BP3" s="1668"/>
      <c r="BQ3" s="1668"/>
      <c r="BR3" s="1668"/>
      <c r="BS3" s="1668" t="str">
        <f>'BS-NONMAJOR SP. REVENUE(63-64) '!T4</f>
        <v>NAME</v>
      </c>
      <c r="BT3" s="1668"/>
      <c r="BU3" s="1668"/>
      <c r="BV3" s="1668"/>
      <c r="BW3" s="1668" t="str">
        <f>'BS-NONMAJOR SP. REVENUE(63-64) '!U4</f>
        <v>NAME</v>
      </c>
      <c r="BX3" s="1668"/>
      <c r="BY3" s="1668"/>
      <c r="BZ3" s="1668"/>
      <c r="CA3" s="1668" t="str">
        <f>'BS-NONMAJOR SP. REVENUE(63-64) '!V4</f>
        <v>NAME</v>
      </c>
      <c r="CB3" s="1668"/>
      <c r="CC3" s="1668"/>
      <c r="CD3" s="1668"/>
      <c r="CE3" s="1668" t="str">
        <f>'BS-NONMAJOR SP. REVENUE(63-64) '!W4</f>
        <v>NAME</v>
      </c>
      <c r="CF3" s="1668"/>
      <c r="CG3" s="1668"/>
      <c r="CH3" s="1668"/>
      <c r="CI3" s="1668" t="str">
        <f>'BS-NONMAJOR SP. REVENUE(63-64) '!X4</f>
        <v>NAME</v>
      </c>
      <c r="CJ3" s="1668"/>
      <c r="CK3" s="1668"/>
      <c r="CL3" s="1668"/>
      <c r="CM3" s="1668" t="str">
        <f>'BS-NONMAJOR SP. REVENUE(63-64) '!Y4</f>
        <v>NAME</v>
      </c>
      <c r="CN3" s="1668"/>
      <c r="CO3" s="1668"/>
      <c r="CP3" s="1668"/>
      <c r="CQ3" s="1668" t="str">
        <f>'BS-NONMAJOR SP. REVENUE(63-64) '!Z4</f>
        <v>NAME</v>
      </c>
      <c r="CR3" s="1668"/>
      <c r="CS3" s="1668"/>
      <c r="CT3" s="1668"/>
      <c r="CU3" s="1668" t="str">
        <f>'BS-NONMAJOR SP. REVENUE(63-64) '!AA4</f>
        <v>NAME</v>
      </c>
      <c r="CV3" s="1668"/>
      <c r="CW3" s="1668"/>
      <c r="CX3" s="1668"/>
      <c r="CY3" s="1668" t="str">
        <f>'BS-NONMAJOR SP. REVENUE(63-64) '!AB4</f>
        <v>NAME</v>
      </c>
      <c r="CZ3" s="1668"/>
      <c r="DA3" s="1668"/>
      <c r="DB3" s="1668"/>
      <c r="DC3" s="1668" t="str">
        <f>'BS-NONMAJOR SP. REVENUE(63-64) '!AC4</f>
        <v>NAME</v>
      </c>
      <c r="DD3" s="1668"/>
      <c r="DE3" s="1668"/>
      <c r="DF3" s="1668"/>
      <c r="DG3" s="1668" t="str">
        <f>'BS-NONMAJOR SP. REVENUE(63-64) '!AD4</f>
        <v>NAME</v>
      </c>
      <c r="DH3" s="1668"/>
      <c r="DI3" s="1668"/>
      <c r="DJ3" s="1668"/>
      <c r="DK3" s="1668" t="str">
        <f>'BS-NONMAJOR SP. REVENUE(63-64) '!AE4</f>
        <v>NAME</v>
      </c>
      <c r="DL3" s="1668"/>
      <c r="DM3" s="1668"/>
      <c r="DN3" s="1668"/>
      <c r="DO3" s="1668" t="str">
        <f>'BS-NONMAJOR SP. REVENUE(63-64) '!AF4</f>
        <v>NAME</v>
      </c>
      <c r="DP3" s="1668"/>
      <c r="DQ3" s="1668"/>
      <c r="DR3" s="1668"/>
      <c r="DS3" s="1668" t="str">
        <f>'BS-NONMAJOR SP. REVENUE(63-64) '!AG4</f>
        <v>NAME</v>
      </c>
      <c r="DT3" s="1668"/>
      <c r="DU3" s="1668"/>
      <c r="DV3" s="1668"/>
      <c r="DW3" s="1668" t="str">
        <f>'BS-NONMAJOR SP. REVENUE(63-64) '!AH4</f>
        <v>NAME</v>
      </c>
      <c r="DX3" s="1668"/>
      <c r="DY3" s="1668"/>
      <c r="DZ3" s="1668"/>
      <c r="EA3" s="1668" t="str">
        <f>'BS-NONMAJOR SP. REVENUE(63-64) '!AI4</f>
        <v>NAME</v>
      </c>
      <c r="EB3" s="1668"/>
      <c r="EC3" s="1668"/>
      <c r="ED3" s="1668"/>
      <c r="EE3" s="1668" t="str">
        <f>'BS-NONMAJOR SP. REVENUE(63-64) '!AJ4</f>
        <v>NAME</v>
      </c>
      <c r="EF3" s="1668"/>
      <c r="EG3" s="1668"/>
      <c r="EH3" s="1668"/>
      <c r="EI3" s="1668" t="str">
        <f>'BS-NONMAJOR SP. REVENUE(63-64) '!AK4</f>
        <v>NAME</v>
      </c>
      <c r="EJ3" s="1668"/>
      <c r="EK3" s="1668"/>
      <c r="EL3" s="1668"/>
      <c r="EM3" s="1668" t="str">
        <f>'BS-NONMAJOR SP. REVENUE(63-64) '!AL4</f>
        <v>NAME</v>
      </c>
      <c r="EN3" s="1668"/>
      <c r="EO3" s="1668"/>
      <c r="EP3" s="1668"/>
      <c r="EQ3" s="1668" t="str">
        <f>'BS-NONMAJOR SP. REVENUE(63-64) '!AM4</f>
        <v>NAME</v>
      </c>
      <c r="ER3" s="1668"/>
      <c r="ES3" s="1668"/>
      <c r="ET3" s="1668"/>
      <c r="EU3" s="1668" t="str">
        <f>'BS-NONMAJOR SP. REVENUE(63-64) '!AN4</f>
        <v>NAME</v>
      </c>
      <c r="EV3" s="1668"/>
      <c r="EW3" s="1668"/>
      <c r="EX3" s="1668"/>
      <c r="EY3" s="1668" t="str">
        <f>'BS-NONMAJOR SP. REVENUE(63-64) '!AO4</f>
        <v>NAME</v>
      </c>
      <c r="EZ3" s="1668"/>
      <c r="FA3" s="1668"/>
      <c r="FB3" s="1668"/>
      <c r="FC3" s="1668" t="str">
        <f>'BS-NONMAJOR SP. REVENUE(63-64) '!AP4</f>
        <v>NAME</v>
      </c>
      <c r="FD3" s="1668"/>
      <c r="FE3" s="1668"/>
      <c r="FF3" s="1668"/>
      <c r="FG3" s="1668" t="str">
        <f>'BS-NONMAJOR SP. REVENUE(63-64) '!AQ4</f>
        <v>NAME</v>
      </c>
      <c r="FH3" s="1668"/>
      <c r="FI3" s="1668"/>
      <c r="FJ3" s="1668"/>
      <c r="FK3" s="1668" t="str">
        <f>'BS-NONMAJOR SP. REVENUE(63-64) '!AR4</f>
        <v>NAME</v>
      </c>
      <c r="FL3" s="1668"/>
      <c r="FM3" s="1668"/>
      <c r="FN3" s="1668"/>
      <c r="FO3" s="1668" t="str">
        <f>'BS-NONMAJOR SP. REVENUE(63-64) '!AS4</f>
        <v>NAME</v>
      </c>
      <c r="FP3" s="1668"/>
      <c r="FQ3" s="1668"/>
      <c r="FR3" s="1668"/>
      <c r="FS3" s="1668" t="str">
        <f>'BS-NONMAJOR SP. REVENUE(63-64) '!AT4</f>
        <v>NAME</v>
      </c>
      <c r="FT3" s="1668"/>
      <c r="FU3" s="1668"/>
      <c r="FV3" s="1668"/>
      <c r="FW3" s="1668" t="str">
        <f>'BS-NONMAJOR SP. REVENUE(63-64) '!AU4</f>
        <v>NAME</v>
      </c>
      <c r="FX3" s="1668"/>
      <c r="FY3" s="1668"/>
      <c r="FZ3" s="1668"/>
      <c r="GA3" s="1668" t="str">
        <f>'BS-NONMAJOR SP. REVENUE(63-64) '!AV4</f>
        <v>NAME</v>
      </c>
      <c r="GB3" s="1668"/>
      <c r="GC3" s="1668"/>
      <c r="GD3" s="1668"/>
      <c r="GE3" s="1668" t="str">
        <f>'BS-NONMAJOR SP. REVENUE(63-64) '!AW4</f>
        <v>NAME</v>
      </c>
      <c r="GF3" s="1668"/>
      <c r="GG3" s="1668"/>
      <c r="GH3" s="1668"/>
      <c r="GI3" s="1668" t="str">
        <f>'BS-NONMAJOR SP. REVENUE(63-64) '!AX4</f>
        <v>NAME</v>
      </c>
      <c r="GJ3" s="1668"/>
      <c r="GK3" s="1668"/>
      <c r="GL3" s="1668"/>
      <c r="GM3" s="1668" t="str">
        <f>'BS-NONMAJOR SP. REVENUE(63-64) '!AY4</f>
        <v>NAME</v>
      </c>
      <c r="GN3" s="1668"/>
      <c r="GO3" s="1668"/>
      <c r="GP3" s="1668"/>
      <c r="GQ3" s="1668" t="str">
        <f>'BS-NONMAJOR SP. REVENUE(63-64) '!AZ4</f>
        <v>NAME</v>
      </c>
      <c r="GR3" s="1668"/>
      <c r="GS3" s="1668"/>
      <c r="GT3" s="1668"/>
      <c r="GU3" s="1668" t="str">
        <f>'BS-NONMAJOR SP. REVENUE(63-64) '!BA4</f>
        <v>NAME</v>
      </c>
      <c r="GV3" s="1668"/>
      <c r="GW3" s="1668"/>
      <c r="GX3" s="1668"/>
      <c r="GY3" s="1668" t="str">
        <f>'BS-NONMAJOR SP. REVENUE(63-64) '!BB4</f>
        <v>NAME</v>
      </c>
      <c r="GZ3" s="1668"/>
      <c r="HA3" s="1668"/>
      <c r="HB3" s="1668"/>
      <c r="HC3" s="1668" t="str">
        <f>'BS-NONMAJOR SP. REVENUE(63-64) '!BC4</f>
        <v>NAME</v>
      </c>
      <c r="HD3" s="1668"/>
      <c r="HE3" s="1668"/>
      <c r="HF3" s="1668"/>
      <c r="HG3" s="1668" t="str">
        <f>'BS-NONMAJOR SP. REVENUE(63-64) '!BD4</f>
        <v>NAME</v>
      </c>
      <c r="HH3" s="1668"/>
      <c r="HI3" s="1668"/>
      <c r="HJ3" s="1668"/>
      <c r="HK3" s="1668" t="str">
        <f>'BS-NONMAJOR SP. REVENUE(63-64) '!BE4</f>
        <v>NAME</v>
      </c>
      <c r="HL3" s="1668"/>
      <c r="HM3" s="1668"/>
      <c r="HN3" s="1668"/>
      <c r="HO3" s="1668" t="str">
        <f>'BS-NONMAJOR SP. REVENUE(63-64) '!BF4</f>
        <v>NAME</v>
      </c>
      <c r="HP3" s="1668"/>
      <c r="HQ3" s="1668"/>
      <c r="HR3" s="1668"/>
      <c r="HS3" s="1668" t="str">
        <f>'BS-NONMAJOR SP. REVENUE(63-64) '!BG4</f>
        <v>NAME</v>
      </c>
      <c r="HT3" s="1668"/>
      <c r="HU3" s="1668"/>
      <c r="HV3" s="1668"/>
      <c r="HW3" s="1668" t="str">
        <f>'BS-NONMAJOR SP. REVENUE(63-64) '!BH4</f>
        <v>NAME</v>
      </c>
      <c r="HX3" s="1668"/>
      <c r="HY3" s="1668"/>
      <c r="HZ3" s="1668"/>
      <c r="IA3" s="1668" t="str">
        <f>'BS-NONMAJOR SP. REVENUE(63-64) '!BI4</f>
        <v>NAME</v>
      </c>
      <c r="IB3" s="1668"/>
      <c r="IC3" s="1668"/>
      <c r="ID3" s="1668"/>
      <c r="IE3" s="1668" t="str">
        <f>'BS-NONMAJOR SP. REVENUE(63-64) '!BJ4</f>
        <v>NAME</v>
      </c>
      <c r="IF3" s="1668"/>
      <c r="IG3" s="1668"/>
      <c r="IH3" s="1668"/>
      <c r="II3" s="1668" t="str">
        <f>'BS-NONMAJOR SP. REVENUE(63-64) '!BK4</f>
        <v>NAME</v>
      </c>
      <c r="IJ3" s="1668"/>
      <c r="IK3" s="1668"/>
      <c r="IL3" s="1668"/>
      <c r="IM3" s="1668" t="str">
        <f>'BS-NONMAJOR SP. REVENUE(63-64) '!BL4</f>
        <v>NAME</v>
      </c>
      <c r="IN3" s="1668"/>
      <c r="IO3" s="1668"/>
      <c r="IP3" s="1668"/>
      <c r="IQ3" s="690"/>
      <c r="IR3" s="691"/>
      <c r="IS3" s="691"/>
      <c r="IT3" s="680"/>
    </row>
    <row r="4" spans="1:254" ht="15.75">
      <c r="A4" s="782"/>
      <c r="B4" s="699"/>
      <c r="C4" s="690"/>
      <c r="D4" s="691"/>
      <c r="E4" s="691"/>
      <c r="F4" s="430" t="s">
        <v>1001</v>
      </c>
      <c r="G4" s="690"/>
      <c r="H4" s="691"/>
      <c r="I4" s="691"/>
      <c r="J4" s="430" t="s">
        <v>1001</v>
      </c>
      <c r="K4" s="690"/>
      <c r="L4" s="691"/>
      <c r="M4" s="691"/>
      <c r="N4" s="430" t="s">
        <v>1001</v>
      </c>
      <c r="O4" s="690"/>
      <c r="P4" s="691"/>
      <c r="Q4" s="691"/>
      <c r="R4" s="430" t="s">
        <v>1001</v>
      </c>
      <c r="S4" s="690"/>
      <c r="T4" s="691"/>
      <c r="U4" s="691"/>
      <c r="V4" s="430" t="s">
        <v>1001</v>
      </c>
      <c r="W4" s="690"/>
      <c r="X4" s="691"/>
      <c r="Y4" s="691"/>
      <c r="Z4" s="430" t="s">
        <v>1001</v>
      </c>
      <c r="AA4" s="690"/>
      <c r="AB4" s="691"/>
      <c r="AC4" s="691"/>
      <c r="AD4" s="430" t="s">
        <v>1001</v>
      </c>
      <c r="AE4" s="690"/>
      <c r="AF4" s="691"/>
      <c r="AG4" s="691"/>
      <c r="AH4" s="430" t="s">
        <v>1001</v>
      </c>
      <c r="AI4" s="690"/>
      <c r="AJ4" s="691"/>
      <c r="AK4" s="691"/>
      <c r="AL4" s="430" t="s">
        <v>1001</v>
      </c>
      <c r="AM4" s="690"/>
      <c r="AN4" s="691"/>
      <c r="AO4" s="691"/>
      <c r="AP4" s="430" t="s">
        <v>1001</v>
      </c>
      <c r="AQ4" s="690"/>
      <c r="AR4" s="691"/>
      <c r="AS4" s="691"/>
      <c r="AT4" s="430" t="s">
        <v>1001</v>
      </c>
      <c r="AU4" s="690"/>
      <c r="AV4" s="691"/>
      <c r="AW4" s="691"/>
      <c r="AX4" s="430" t="s">
        <v>1001</v>
      </c>
      <c r="AY4" s="690"/>
      <c r="AZ4" s="691"/>
      <c r="BA4" s="691"/>
      <c r="BB4" s="430" t="s">
        <v>1001</v>
      </c>
      <c r="BC4" s="690"/>
      <c r="BD4" s="691"/>
      <c r="BE4" s="691"/>
      <c r="BF4" s="430" t="s">
        <v>1001</v>
      </c>
      <c r="BG4" s="690"/>
      <c r="BH4" s="691"/>
      <c r="BI4" s="691"/>
      <c r="BJ4" s="430" t="s">
        <v>1001</v>
      </c>
      <c r="BK4" s="690"/>
      <c r="BL4" s="691"/>
      <c r="BM4" s="691"/>
      <c r="BN4" s="430" t="s">
        <v>1001</v>
      </c>
      <c r="BO4" s="690"/>
      <c r="BP4" s="691"/>
      <c r="BQ4" s="691"/>
      <c r="BR4" s="430" t="s">
        <v>1001</v>
      </c>
      <c r="BS4" s="690"/>
      <c r="BT4" s="691"/>
      <c r="BU4" s="691"/>
      <c r="BV4" s="430" t="s">
        <v>1001</v>
      </c>
      <c r="BW4" s="690"/>
      <c r="BX4" s="691"/>
      <c r="BY4" s="691"/>
      <c r="BZ4" s="430" t="s">
        <v>1001</v>
      </c>
      <c r="CA4" s="690"/>
      <c r="CB4" s="691"/>
      <c r="CC4" s="691"/>
      <c r="CD4" s="430" t="s">
        <v>1001</v>
      </c>
      <c r="CE4" s="690"/>
      <c r="CF4" s="691"/>
      <c r="CG4" s="691"/>
      <c r="CH4" s="430" t="s">
        <v>1001</v>
      </c>
      <c r="CI4" s="690"/>
      <c r="CJ4" s="691"/>
      <c r="CK4" s="691"/>
      <c r="CL4" s="430" t="s">
        <v>1001</v>
      </c>
      <c r="CM4" s="690"/>
      <c r="CN4" s="691"/>
      <c r="CO4" s="691"/>
      <c r="CP4" s="430" t="s">
        <v>1001</v>
      </c>
      <c r="CQ4" s="690"/>
      <c r="CR4" s="691"/>
      <c r="CS4" s="691"/>
      <c r="CT4" s="430" t="s">
        <v>1001</v>
      </c>
      <c r="CU4" s="690"/>
      <c r="CV4" s="691"/>
      <c r="CW4" s="691"/>
      <c r="CX4" s="430" t="s">
        <v>1001</v>
      </c>
      <c r="CY4" s="690"/>
      <c r="CZ4" s="691"/>
      <c r="DA4" s="691"/>
      <c r="DB4" s="430" t="s">
        <v>1001</v>
      </c>
      <c r="DC4" s="690"/>
      <c r="DD4" s="691"/>
      <c r="DE4" s="691"/>
      <c r="DF4" s="430" t="s">
        <v>1001</v>
      </c>
      <c r="DG4" s="690"/>
      <c r="DH4" s="691"/>
      <c r="DI4" s="691"/>
      <c r="DJ4" s="430" t="s">
        <v>1001</v>
      </c>
      <c r="DK4" s="690"/>
      <c r="DL4" s="691"/>
      <c r="DM4" s="691"/>
      <c r="DN4" s="430" t="s">
        <v>1001</v>
      </c>
      <c r="DO4" s="690"/>
      <c r="DP4" s="691"/>
      <c r="DQ4" s="691"/>
      <c r="DR4" s="430" t="s">
        <v>1001</v>
      </c>
      <c r="DS4" s="690"/>
      <c r="DT4" s="691"/>
      <c r="DU4" s="691"/>
      <c r="DV4" s="430" t="s">
        <v>1001</v>
      </c>
      <c r="DW4" s="690"/>
      <c r="DX4" s="691"/>
      <c r="DY4" s="691"/>
      <c r="DZ4" s="430" t="s">
        <v>1001</v>
      </c>
      <c r="EA4" s="690"/>
      <c r="EB4" s="691"/>
      <c r="EC4" s="691"/>
      <c r="ED4" s="430" t="s">
        <v>1001</v>
      </c>
      <c r="EE4" s="690"/>
      <c r="EF4" s="691"/>
      <c r="EG4" s="691"/>
      <c r="EH4" s="430" t="s">
        <v>1001</v>
      </c>
      <c r="EI4" s="690"/>
      <c r="EJ4" s="691"/>
      <c r="EK4" s="691"/>
      <c r="EL4" s="430" t="s">
        <v>1001</v>
      </c>
      <c r="EM4" s="690"/>
      <c r="EN4" s="691"/>
      <c r="EO4" s="691"/>
      <c r="EP4" s="430" t="s">
        <v>1001</v>
      </c>
      <c r="EQ4" s="690"/>
      <c r="ER4" s="691"/>
      <c r="ES4" s="691"/>
      <c r="ET4" s="430" t="s">
        <v>1001</v>
      </c>
      <c r="EU4" s="690"/>
      <c r="EV4" s="691"/>
      <c r="EW4" s="691"/>
      <c r="EX4" s="430" t="s">
        <v>1001</v>
      </c>
      <c r="EY4" s="690"/>
      <c r="EZ4" s="691"/>
      <c r="FA4" s="691"/>
      <c r="FB4" s="430" t="s">
        <v>1001</v>
      </c>
      <c r="FC4" s="690"/>
      <c r="FD4" s="691"/>
      <c r="FE4" s="691"/>
      <c r="FF4" s="430" t="s">
        <v>1001</v>
      </c>
      <c r="FG4" s="690"/>
      <c r="FH4" s="691"/>
      <c r="FI4" s="691"/>
      <c r="FJ4" s="430" t="s">
        <v>1001</v>
      </c>
      <c r="FK4" s="690"/>
      <c r="FL4" s="691"/>
      <c r="FM4" s="691"/>
      <c r="FN4" s="430" t="s">
        <v>1001</v>
      </c>
      <c r="FO4" s="690"/>
      <c r="FP4" s="691"/>
      <c r="FQ4" s="691"/>
      <c r="FR4" s="430" t="s">
        <v>1001</v>
      </c>
      <c r="FS4" s="690"/>
      <c r="FT4" s="691"/>
      <c r="FU4" s="691"/>
      <c r="FV4" s="430" t="s">
        <v>1001</v>
      </c>
      <c r="FW4" s="690"/>
      <c r="FX4" s="691"/>
      <c r="FY4" s="691"/>
      <c r="FZ4" s="430" t="s">
        <v>1001</v>
      </c>
      <c r="GA4" s="690"/>
      <c r="GB4" s="691"/>
      <c r="GC4" s="691"/>
      <c r="GD4" s="430" t="s">
        <v>1001</v>
      </c>
      <c r="GE4" s="690"/>
      <c r="GF4" s="691"/>
      <c r="GG4" s="691"/>
      <c r="GH4" s="430" t="s">
        <v>1001</v>
      </c>
      <c r="GI4" s="690"/>
      <c r="GJ4" s="691"/>
      <c r="GK4" s="691"/>
      <c r="GL4" s="430" t="s">
        <v>1001</v>
      </c>
      <c r="GM4" s="690"/>
      <c r="GN4" s="691"/>
      <c r="GO4" s="691"/>
      <c r="GP4" s="430" t="s">
        <v>1001</v>
      </c>
      <c r="GQ4" s="690"/>
      <c r="GR4" s="691"/>
      <c r="GS4" s="691"/>
      <c r="GT4" s="430" t="s">
        <v>1001</v>
      </c>
      <c r="GU4" s="690"/>
      <c r="GV4" s="691"/>
      <c r="GW4" s="691"/>
      <c r="GX4" s="430" t="s">
        <v>1001</v>
      </c>
      <c r="GY4" s="690"/>
      <c r="GZ4" s="691"/>
      <c r="HA4" s="691"/>
      <c r="HB4" s="430" t="s">
        <v>1001</v>
      </c>
      <c r="HC4" s="690"/>
      <c r="HD4" s="691"/>
      <c r="HE4" s="691"/>
      <c r="HF4" s="430" t="s">
        <v>1001</v>
      </c>
      <c r="HG4" s="690"/>
      <c r="HH4" s="691"/>
      <c r="HI4" s="691"/>
      <c r="HJ4" s="430" t="s">
        <v>1001</v>
      </c>
      <c r="HK4" s="690"/>
      <c r="HL4" s="691"/>
      <c r="HM4" s="691"/>
      <c r="HN4" s="430" t="s">
        <v>1001</v>
      </c>
      <c r="HO4" s="690"/>
      <c r="HP4" s="691"/>
      <c r="HQ4" s="691"/>
      <c r="HR4" s="430" t="s">
        <v>1001</v>
      </c>
      <c r="HS4" s="690"/>
      <c r="HT4" s="691"/>
      <c r="HU4" s="691"/>
      <c r="HV4" s="430" t="s">
        <v>1001</v>
      </c>
      <c r="HW4" s="690"/>
      <c r="HX4" s="691"/>
      <c r="HY4" s="691"/>
      <c r="HZ4" s="430" t="s">
        <v>1001</v>
      </c>
      <c r="IA4" s="690"/>
      <c r="IB4" s="691"/>
      <c r="IC4" s="691"/>
      <c r="ID4" s="430" t="s">
        <v>1001</v>
      </c>
      <c r="IE4" s="690"/>
      <c r="IF4" s="691"/>
      <c r="IG4" s="691"/>
      <c r="IH4" s="430" t="s">
        <v>1001</v>
      </c>
      <c r="II4" s="690"/>
      <c r="IJ4" s="691"/>
      <c r="IK4" s="691"/>
      <c r="IL4" s="430" t="s">
        <v>1001</v>
      </c>
      <c r="IM4" s="690"/>
      <c r="IN4" s="691"/>
      <c r="IO4" s="691"/>
      <c r="IP4" s="430" t="s">
        <v>1001</v>
      </c>
      <c r="IQ4" s="690"/>
      <c r="IR4" s="691"/>
      <c r="IS4" s="691"/>
      <c r="IT4" s="430" t="s">
        <v>1001</v>
      </c>
    </row>
    <row r="5" spans="1:254" ht="15.75">
      <c r="A5" s="412"/>
      <c r="B5" s="412"/>
      <c r="C5" s="430"/>
      <c r="D5" s="430"/>
      <c r="E5" s="430"/>
      <c r="F5" s="430" t="s">
        <v>1002</v>
      </c>
      <c r="G5" s="430"/>
      <c r="H5" s="430"/>
      <c r="I5" s="430"/>
      <c r="J5" s="430" t="s">
        <v>1002</v>
      </c>
      <c r="K5" s="430"/>
      <c r="L5" s="430"/>
      <c r="M5" s="430"/>
      <c r="N5" s="430" t="s">
        <v>1002</v>
      </c>
      <c r="O5" s="430"/>
      <c r="P5" s="430"/>
      <c r="Q5" s="430"/>
      <c r="R5" s="430" t="s">
        <v>1002</v>
      </c>
      <c r="S5" s="430"/>
      <c r="T5" s="430"/>
      <c r="U5" s="430"/>
      <c r="V5" s="430" t="s">
        <v>1002</v>
      </c>
      <c r="W5" s="430"/>
      <c r="X5" s="430"/>
      <c r="Y5" s="430"/>
      <c r="Z5" s="430" t="s">
        <v>1002</v>
      </c>
      <c r="AA5" s="430"/>
      <c r="AB5" s="430"/>
      <c r="AC5" s="430"/>
      <c r="AD5" s="430" t="s">
        <v>1002</v>
      </c>
      <c r="AE5" s="430"/>
      <c r="AF5" s="430"/>
      <c r="AG5" s="430"/>
      <c r="AH5" s="430" t="s">
        <v>1002</v>
      </c>
      <c r="AI5" s="430"/>
      <c r="AJ5" s="430"/>
      <c r="AK5" s="430"/>
      <c r="AL5" s="430" t="s">
        <v>1002</v>
      </c>
      <c r="AM5" s="430"/>
      <c r="AN5" s="430"/>
      <c r="AO5" s="430"/>
      <c r="AP5" s="430" t="s">
        <v>1002</v>
      </c>
      <c r="AQ5" s="430"/>
      <c r="AR5" s="430"/>
      <c r="AS5" s="430"/>
      <c r="AT5" s="430" t="s">
        <v>1002</v>
      </c>
      <c r="AU5" s="430"/>
      <c r="AV5" s="430"/>
      <c r="AW5" s="430"/>
      <c r="AX5" s="430" t="s">
        <v>1002</v>
      </c>
      <c r="AY5" s="430"/>
      <c r="AZ5" s="430"/>
      <c r="BA5" s="430"/>
      <c r="BB5" s="430" t="s">
        <v>1002</v>
      </c>
      <c r="BC5" s="430"/>
      <c r="BD5" s="430"/>
      <c r="BE5" s="430"/>
      <c r="BF5" s="430" t="s">
        <v>1002</v>
      </c>
      <c r="BG5" s="430"/>
      <c r="BH5" s="430"/>
      <c r="BI5" s="430"/>
      <c r="BJ5" s="430" t="s">
        <v>1002</v>
      </c>
      <c r="BK5" s="430"/>
      <c r="BL5" s="430"/>
      <c r="BM5" s="430"/>
      <c r="BN5" s="430" t="s">
        <v>1002</v>
      </c>
      <c r="BO5" s="430"/>
      <c r="BP5" s="430"/>
      <c r="BQ5" s="430"/>
      <c r="BR5" s="430" t="s">
        <v>1002</v>
      </c>
      <c r="BS5" s="430"/>
      <c r="BT5" s="430"/>
      <c r="BU5" s="430"/>
      <c r="BV5" s="430" t="s">
        <v>1002</v>
      </c>
      <c r="BW5" s="430"/>
      <c r="BX5" s="430"/>
      <c r="BY5" s="430"/>
      <c r="BZ5" s="430" t="s">
        <v>1002</v>
      </c>
      <c r="CA5" s="430"/>
      <c r="CB5" s="430"/>
      <c r="CC5" s="430"/>
      <c r="CD5" s="430" t="s">
        <v>1002</v>
      </c>
      <c r="CE5" s="430"/>
      <c r="CF5" s="430"/>
      <c r="CG5" s="430"/>
      <c r="CH5" s="430" t="s">
        <v>1002</v>
      </c>
      <c r="CI5" s="430"/>
      <c r="CJ5" s="430"/>
      <c r="CK5" s="430"/>
      <c r="CL5" s="430" t="s">
        <v>1002</v>
      </c>
      <c r="CM5" s="430"/>
      <c r="CN5" s="430"/>
      <c r="CO5" s="430"/>
      <c r="CP5" s="430" t="s">
        <v>1002</v>
      </c>
      <c r="CQ5" s="430"/>
      <c r="CR5" s="430"/>
      <c r="CS5" s="430"/>
      <c r="CT5" s="430" t="s">
        <v>1002</v>
      </c>
      <c r="CU5" s="430"/>
      <c r="CV5" s="430"/>
      <c r="CW5" s="430"/>
      <c r="CX5" s="430" t="s">
        <v>1002</v>
      </c>
      <c r="CY5" s="430"/>
      <c r="CZ5" s="430"/>
      <c r="DA5" s="430"/>
      <c r="DB5" s="430" t="s">
        <v>1002</v>
      </c>
      <c r="DC5" s="430"/>
      <c r="DD5" s="430"/>
      <c r="DE5" s="430"/>
      <c r="DF5" s="430" t="s">
        <v>1002</v>
      </c>
      <c r="DG5" s="430"/>
      <c r="DH5" s="430"/>
      <c r="DI5" s="430"/>
      <c r="DJ5" s="430" t="s">
        <v>1002</v>
      </c>
      <c r="DK5" s="430"/>
      <c r="DL5" s="430"/>
      <c r="DM5" s="430"/>
      <c r="DN5" s="430" t="s">
        <v>1002</v>
      </c>
      <c r="DO5" s="430"/>
      <c r="DP5" s="430"/>
      <c r="DQ5" s="430"/>
      <c r="DR5" s="430" t="s">
        <v>1002</v>
      </c>
      <c r="DS5" s="430"/>
      <c r="DT5" s="430"/>
      <c r="DU5" s="430"/>
      <c r="DV5" s="430" t="s">
        <v>1002</v>
      </c>
      <c r="DW5" s="430"/>
      <c r="DX5" s="430"/>
      <c r="DY5" s="430"/>
      <c r="DZ5" s="430" t="s">
        <v>1002</v>
      </c>
      <c r="EA5" s="430"/>
      <c r="EB5" s="430"/>
      <c r="EC5" s="430"/>
      <c r="ED5" s="430" t="s">
        <v>1002</v>
      </c>
      <c r="EE5" s="430"/>
      <c r="EF5" s="430"/>
      <c r="EG5" s="430"/>
      <c r="EH5" s="430" t="s">
        <v>1002</v>
      </c>
      <c r="EI5" s="430"/>
      <c r="EJ5" s="430"/>
      <c r="EK5" s="430"/>
      <c r="EL5" s="430" t="s">
        <v>1002</v>
      </c>
      <c r="EM5" s="430"/>
      <c r="EN5" s="430"/>
      <c r="EO5" s="430"/>
      <c r="EP5" s="430" t="s">
        <v>1002</v>
      </c>
      <c r="EQ5" s="430"/>
      <c r="ER5" s="430"/>
      <c r="ES5" s="430"/>
      <c r="ET5" s="430" t="s">
        <v>1002</v>
      </c>
      <c r="EU5" s="430"/>
      <c r="EV5" s="430"/>
      <c r="EW5" s="430"/>
      <c r="EX5" s="430" t="s">
        <v>1002</v>
      </c>
      <c r="EY5" s="430"/>
      <c r="EZ5" s="430"/>
      <c r="FA5" s="430"/>
      <c r="FB5" s="430" t="s">
        <v>1002</v>
      </c>
      <c r="FC5" s="430"/>
      <c r="FD5" s="430"/>
      <c r="FE5" s="430"/>
      <c r="FF5" s="430" t="s">
        <v>1002</v>
      </c>
      <c r="FG5" s="430"/>
      <c r="FH5" s="430"/>
      <c r="FI5" s="430"/>
      <c r="FJ5" s="430" t="s">
        <v>1002</v>
      </c>
      <c r="FK5" s="430"/>
      <c r="FL5" s="430"/>
      <c r="FM5" s="430"/>
      <c r="FN5" s="430" t="s">
        <v>1002</v>
      </c>
      <c r="FO5" s="430"/>
      <c r="FP5" s="430"/>
      <c r="FQ5" s="430"/>
      <c r="FR5" s="430" t="s">
        <v>1002</v>
      </c>
      <c r="FS5" s="430"/>
      <c r="FT5" s="430"/>
      <c r="FU5" s="430"/>
      <c r="FV5" s="430" t="s">
        <v>1002</v>
      </c>
      <c r="FW5" s="430"/>
      <c r="FX5" s="430"/>
      <c r="FY5" s="430"/>
      <c r="FZ5" s="430" t="s">
        <v>1002</v>
      </c>
      <c r="GA5" s="430"/>
      <c r="GB5" s="430"/>
      <c r="GC5" s="430"/>
      <c r="GD5" s="430" t="s">
        <v>1002</v>
      </c>
      <c r="GE5" s="430"/>
      <c r="GF5" s="430"/>
      <c r="GG5" s="430"/>
      <c r="GH5" s="430" t="s">
        <v>1002</v>
      </c>
      <c r="GI5" s="430"/>
      <c r="GJ5" s="430"/>
      <c r="GK5" s="430"/>
      <c r="GL5" s="430" t="s">
        <v>1002</v>
      </c>
      <c r="GM5" s="430"/>
      <c r="GN5" s="430"/>
      <c r="GO5" s="430"/>
      <c r="GP5" s="430" t="s">
        <v>1002</v>
      </c>
      <c r="GQ5" s="430"/>
      <c r="GR5" s="430"/>
      <c r="GS5" s="430"/>
      <c r="GT5" s="430" t="s">
        <v>1002</v>
      </c>
      <c r="GU5" s="430"/>
      <c r="GV5" s="430"/>
      <c r="GW5" s="430"/>
      <c r="GX5" s="430" t="s">
        <v>1002</v>
      </c>
      <c r="GY5" s="430"/>
      <c r="GZ5" s="430"/>
      <c r="HA5" s="430"/>
      <c r="HB5" s="430" t="s">
        <v>1002</v>
      </c>
      <c r="HC5" s="430"/>
      <c r="HD5" s="430"/>
      <c r="HE5" s="430"/>
      <c r="HF5" s="430" t="s">
        <v>1002</v>
      </c>
      <c r="HG5" s="430"/>
      <c r="HH5" s="430"/>
      <c r="HI5" s="430"/>
      <c r="HJ5" s="430" t="s">
        <v>1002</v>
      </c>
      <c r="HK5" s="430"/>
      <c r="HL5" s="430"/>
      <c r="HM5" s="430"/>
      <c r="HN5" s="430" t="s">
        <v>1002</v>
      </c>
      <c r="HO5" s="430"/>
      <c r="HP5" s="430"/>
      <c r="HQ5" s="430"/>
      <c r="HR5" s="430" t="s">
        <v>1002</v>
      </c>
      <c r="HS5" s="430"/>
      <c r="HT5" s="430"/>
      <c r="HU5" s="430"/>
      <c r="HV5" s="430" t="s">
        <v>1002</v>
      </c>
      <c r="HW5" s="430"/>
      <c r="HX5" s="430"/>
      <c r="HY5" s="430"/>
      <c r="HZ5" s="430" t="s">
        <v>1002</v>
      </c>
      <c r="IA5" s="430"/>
      <c r="IB5" s="430"/>
      <c r="IC5" s="430"/>
      <c r="ID5" s="430" t="s">
        <v>1002</v>
      </c>
      <c r="IE5" s="430"/>
      <c r="IF5" s="430"/>
      <c r="IG5" s="430"/>
      <c r="IH5" s="430" t="s">
        <v>1002</v>
      </c>
      <c r="II5" s="430"/>
      <c r="IJ5" s="430"/>
      <c r="IK5" s="430"/>
      <c r="IL5" s="430" t="s">
        <v>1002</v>
      </c>
      <c r="IM5" s="430"/>
      <c r="IN5" s="430"/>
      <c r="IO5" s="430"/>
      <c r="IP5" s="430" t="s">
        <v>1002</v>
      </c>
      <c r="IQ5" s="430"/>
      <c r="IR5" s="430"/>
      <c r="IS5" s="430"/>
      <c r="IT5" s="430" t="s">
        <v>1002</v>
      </c>
    </row>
    <row r="6" spans="1:254" ht="16.5" thickBot="1">
      <c r="A6" s="411"/>
      <c r="B6" s="411"/>
      <c r="C6" s="682" t="s">
        <v>994</v>
      </c>
      <c r="D6" s="682"/>
      <c r="E6" s="430"/>
      <c r="F6" s="430" t="s">
        <v>1003</v>
      </c>
      <c r="G6" s="682" t="s">
        <v>994</v>
      </c>
      <c r="H6" s="682"/>
      <c r="I6" s="430"/>
      <c r="J6" s="430" t="s">
        <v>1003</v>
      </c>
      <c r="K6" s="682" t="s">
        <v>994</v>
      </c>
      <c r="L6" s="682"/>
      <c r="M6" s="430"/>
      <c r="N6" s="430" t="s">
        <v>1003</v>
      </c>
      <c r="O6" s="682" t="s">
        <v>994</v>
      </c>
      <c r="P6" s="682"/>
      <c r="Q6" s="430"/>
      <c r="R6" s="430" t="s">
        <v>1003</v>
      </c>
      <c r="S6" s="682" t="s">
        <v>994</v>
      </c>
      <c r="T6" s="682"/>
      <c r="U6" s="430"/>
      <c r="V6" s="430" t="s">
        <v>1003</v>
      </c>
      <c r="W6" s="682" t="s">
        <v>994</v>
      </c>
      <c r="X6" s="682"/>
      <c r="Y6" s="430"/>
      <c r="Z6" s="430" t="s">
        <v>1003</v>
      </c>
      <c r="AA6" s="682" t="s">
        <v>994</v>
      </c>
      <c r="AB6" s="682"/>
      <c r="AC6" s="430"/>
      <c r="AD6" s="430" t="s">
        <v>1003</v>
      </c>
      <c r="AE6" s="682" t="s">
        <v>994</v>
      </c>
      <c r="AF6" s="682"/>
      <c r="AG6" s="430"/>
      <c r="AH6" s="430" t="s">
        <v>1003</v>
      </c>
      <c r="AI6" s="682" t="s">
        <v>994</v>
      </c>
      <c r="AJ6" s="682"/>
      <c r="AK6" s="430"/>
      <c r="AL6" s="430" t="s">
        <v>1003</v>
      </c>
      <c r="AM6" s="682" t="s">
        <v>994</v>
      </c>
      <c r="AN6" s="682"/>
      <c r="AO6" s="430"/>
      <c r="AP6" s="430" t="s">
        <v>1003</v>
      </c>
      <c r="AQ6" s="682" t="s">
        <v>994</v>
      </c>
      <c r="AR6" s="682"/>
      <c r="AS6" s="430"/>
      <c r="AT6" s="430" t="s">
        <v>1003</v>
      </c>
      <c r="AU6" s="682" t="s">
        <v>994</v>
      </c>
      <c r="AV6" s="682"/>
      <c r="AW6" s="430"/>
      <c r="AX6" s="430" t="s">
        <v>1003</v>
      </c>
      <c r="AY6" s="682" t="s">
        <v>994</v>
      </c>
      <c r="AZ6" s="682"/>
      <c r="BA6" s="430"/>
      <c r="BB6" s="430" t="s">
        <v>1003</v>
      </c>
      <c r="BC6" s="682" t="s">
        <v>994</v>
      </c>
      <c r="BD6" s="682"/>
      <c r="BE6" s="430"/>
      <c r="BF6" s="430" t="s">
        <v>1003</v>
      </c>
      <c r="BG6" s="682" t="s">
        <v>994</v>
      </c>
      <c r="BH6" s="682"/>
      <c r="BI6" s="430"/>
      <c r="BJ6" s="430" t="s">
        <v>1003</v>
      </c>
      <c r="BK6" s="682" t="s">
        <v>994</v>
      </c>
      <c r="BL6" s="682"/>
      <c r="BM6" s="430"/>
      <c r="BN6" s="430" t="s">
        <v>1003</v>
      </c>
      <c r="BO6" s="682" t="s">
        <v>994</v>
      </c>
      <c r="BP6" s="682"/>
      <c r="BQ6" s="430"/>
      <c r="BR6" s="430" t="s">
        <v>1003</v>
      </c>
      <c r="BS6" s="682" t="s">
        <v>994</v>
      </c>
      <c r="BT6" s="682"/>
      <c r="BU6" s="430"/>
      <c r="BV6" s="430" t="s">
        <v>1003</v>
      </c>
      <c r="BW6" s="682" t="s">
        <v>994</v>
      </c>
      <c r="BX6" s="682"/>
      <c r="BY6" s="430"/>
      <c r="BZ6" s="430" t="s">
        <v>1003</v>
      </c>
      <c r="CA6" s="682" t="s">
        <v>994</v>
      </c>
      <c r="CB6" s="682"/>
      <c r="CC6" s="430"/>
      <c r="CD6" s="430" t="s">
        <v>1003</v>
      </c>
      <c r="CE6" s="682" t="s">
        <v>994</v>
      </c>
      <c r="CF6" s="682"/>
      <c r="CG6" s="430"/>
      <c r="CH6" s="430" t="s">
        <v>1003</v>
      </c>
      <c r="CI6" s="682" t="s">
        <v>994</v>
      </c>
      <c r="CJ6" s="682"/>
      <c r="CK6" s="430"/>
      <c r="CL6" s="430" t="s">
        <v>1003</v>
      </c>
      <c r="CM6" s="682" t="s">
        <v>994</v>
      </c>
      <c r="CN6" s="682"/>
      <c r="CO6" s="430"/>
      <c r="CP6" s="430" t="s">
        <v>1003</v>
      </c>
      <c r="CQ6" s="682" t="s">
        <v>994</v>
      </c>
      <c r="CR6" s="682"/>
      <c r="CS6" s="430"/>
      <c r="CT6" s="430" t="s">
        <v>1003</v>
      </c>
      <c r="CU6" s="682" t="s">
        <v>994</v>
      </c>
      <c r="CV6" s="682"/>
      <c r="CW6" s="430"/>
      <c r="CX6" s="430" t="s">
        <v>1003</v>
      </c>
      <c r="CY6" s="682" t="s">
        <v>994</v>
      </c>
      <c r="CZ6" s="682"/>
      <c r="DA6" s="430"/>
      <c r="DB6" s="430" t="s">
        <v>1003</v>
      </c>
      <c r="DC6" s="682" t="s">
        <v>994</v>
      </c>
      <c r="DD6" s="682"/>
      <c r="DE6" s="430"/>
      <c r="DF6" s="430" t="s">
        <v>1003</v>
      </c>
      <c r="DG6" s="682" t="s">
        <v>994</v>
      </c>
      <c r="DH6" s="682"/>
      <c r="DI6" s="430"/>
      <c r="DJ6" s="430" t="s">
        <v>1003</v>
      </c>
      <c r="DK6" s="682" t="s">
        <v>994</v>
      </c>
      <c r="DL6" s="682"/>
      <c r="DM6" s="430"/>
      <c r="DN6" s="430" t="s">
        <v>1003</v>
      </c>
      <c r="DO6" s="682" t="s">
        <v>994</v>
      </c>
      <c r="DP6" s="682"/>
      <c r="DQ6" s="430"/>
      <c r="DR6" s="430" t="s">
        <v>1003</v>
      </c>
      <c r="DS6" s="682" t="s">
        <v>994</v>
      </c>
      <c r="DT6" s="682"/>
      <c r="DU6" s="430"/>
      <c r="DV6" s="430" t="s">
        <v>1003</v>
      </c>
      <c r="DW6" s="682" t="s">
        <v>994</v>
      </c>
      <c r="DX6" s="682"/>
      <c r="DY6" s="430"/>
      <c r="DZ6" s="430" t="s">
        <v>1003</v>
      </c>
      <c r="EA6" s="682" t="s">
        <v>994</v>
      </c>
      <c r="EB6" s="682"/>
      <c r="EC6" s="430"/>
      <c r="ED6" s="430" t="s">
        <v>1003</v>
      </c>
      <c r="EE6" s="682" t="s">
        <v>994</v>
      </c>
      <c r="EF6" s="682"/>
      <c r="EG6" s="430"/>
      <c r="EH6" s="430" t="s">
        <v>1003</v>
      </c>
      <c r="EI6" s="682" t="s">
        <v>994</v>
      </c>
      <c r="EJ6" s="682"/>
      <c r="EK6" s="430"/>
      <c r="EL6" s="430" t="s">
        <v>1003</v>
      </c>
      <c r="EM6" s="682" t="s">
        <v>994</v>
      </c>
      <c r="EN6" s="682"/>
      <c r="EO6" s="430"/>
      <c r="EP6" s="430" t="s">
        <v>1003</v>
      </c>
      <c r="EQ6" s="682" t="s">
        <v>994</v>
      </c>
      <c r="ER6" s="682"/>
      <c r="ES6" s="430"/>
      <c r="ET6" s="430" t="s">
        <v>1003</v>
      </c>
      <c r="EU6" s="682" t="s">
        <v>994</v>
      </c>
      <c r="EV6" s="682"/>
      <c r="EW6" s="430"/>
      <c r="EX6" s="430" t="s">
        <v>1003</v>
      </c>
      <c r="EY6" s="682" t="s">
        <v>994</v>
      </c>
      <c r="EZ6" s="682"/>
      <c r="FA6" s="430"/>
      <c r="FB6" s="430" t="s">
        <v>1003</v>
      </c>
      <c r="FC6" s="682" t="s">
        <v>994</v>
      </c>
      <c r="FD6" s="682"/>
      <c r="FE6" s="430"/>
      <c r="FF6" s="430" t="s">
        <v>1003</v>
      </c>
      <c r="FG6" s="682" t="s">
        <v>994</v>
      </c>
      <c r="FH6" s="682"/>
      <c r="FI6" s="430"/>
      <c r="FJ6" s="430" t="s">
        <v>1003</v>
      </c>
      <c r="FK6" s="682" t="s">
        <v>994</v>
      </c>
      <c r="FL6" s="682"/>
      <c r="FM6" s="430"/>
      <c r="FN6" s="430" t="s">
        <v>1003</v>
      </c>
      <c r="FO6" s="682" t="s">
        <v>994</v>
      </c>
      <c r="FP6" s="682"/>
      <c r="FQ6" s="430"/>
      <c r="FR6" s="430" t="s">
        <v>1003</v>
      </c>
      <c r="FS6" s="682" t="s">
        <v>994</v>
      </c>
      <c r="FT6" s="682"/>
      <c r="FU6" s="430"/>
      <c r="FV6" s="430" t="s">
        <v>1003</v>
      </c>
      <c r="FW6" s="682" t="s">
        <v>994</v>
      </c>
      <c r="FX6" s="682"/>
      <c r="FY6" s="430"/>
      <c r="FZ6" s="430" t="s">
        <v>1003</v>
      </c>
      <c r="GA6" s="682" t="s">
        <v>994</v>
      </c>
      <c r="GB6" s="682"/>
      <c r="GC6" s="430"/>
      <c r="GD6" s="430" t="s">
        <v>1003</v>
      </c>
      <c r="GE6" s="682" t="s">
        <v>994</v>
      </c>
      <c r="GF6" s="682"/>
      <c r="GG6" s="430"/>
      <c r="GH6" s="430" t="s">
        <v>1003</v>
      </c>
      <c r="GI6" s="682" t="s">
        <v>994</v>
      </c>
      <c r="GJ6" s="682"/>
      <c r="GK6" s="430"/>
      <c r="GL6" s="430" t="s">
        <v>1003</v>
      </c>
      <c r="GM6" s="682" t="s">
        <v>994</v>
      </c>
      <c r="GN6" s="682"/>
      <c r="GO6" s="430"/>
      <c r="GP6" s="430" t="s">
        <v>1003</v>
      </c>
      <c r="GQ6" s="682" t="s">
        <v>994</v>
      </c>
      <c r="GR6" s="682"/>
      <c r="GS6" s="430"/>
      <c r="GT6" s="430" t="s">
        <v>1003</v>
      </c>
      <c r="GU6" s="682" t="s">
        <v>994</v>
      </c>
      <c r="GV6" s="682"/>
      <c r="GW6" s="430"/>
      <c r="GX6" s="430" t="s">
        <v>1003</v>
      </c>
      <c r="GY6" s="682" t="s">
        <v>994</v>
      </c>
      <c r="GZ6" s="682"/>
      <c r="HA6" s="430"/>
      <c r="HB6" s="430" t="s">
        <v>1003</v>
      </c>
      <c r="HC6" s="682" t="s">
        <v>994</v>
      </c>
      <c r="HD6" s="682"/>
      <c r="HE6" s="430"/>
      <c r="HF6" s="430" t="s">
        <v>1003</v>
      </c>
      <c r="HG6" s="682" t="s">
        <v>994</v>
      </c>
      <c r="HH6" s="682"/>
      <c r="HI6" s="430"/>
      <c r="HJ6" s="430" t="s">
        <v>1003</v>
      </c>
      <c r="HK6" s="682" t="s">
        <v>994</v>
      </c>
      <c r="HL6" s="682"/>
      <c r="HM6" s="430"/>
      <c r="HN6" s="430" t="s">
        <v>1003</v>
      </c>
      <c r="HO6" s="682" t="s">
        <v>994</v>
      </c>
      <c r="HP6" s="682"/>
      <c r="HQ6" s="430"/>
      <c r="HR6" s="430" t="s">
        <v>1003</v>
      </c>
      <c r="HS6" s="682" t="s">
        <v>994</v>
      </c>
      <c r="HT6" s="682"/>
      <c r="HU6" s="430"/>
      <c r="HV6" s="430" t="s">
        <v>1003</v>
      </c>
      <c r="HW6" s="682" t="s">
        <v>994</v>
      </c>
      <c r="HX6" s="682"/>
      <c r="HY6" s="430"/>
      <c r="HZ6" s="430" t="s">
        <v>1003</v>
      </c>
      <c r="IA6" s="682" t="s">
        <v>994</v>
      </c>
      <c r="IB6" s="682"/>
      <c r="IC6" s="430"/>
      <c r="ID6" s="430" t="s">
        <v>1003</v>
      </c>
      <c r="IE6" s="682" t="s">
        <v>994</v>
      </c>
      <c r="IF6" s="682"/>
      <c r="IG6" s="430"/>
      <c r="IH6" s="430" t="s">
        <v>1003</v>
      </c>
      <c r="II6" s="682" t="s">
        <v>994</v>
      </c>
      <c r="IJ6" s="682"/>
      <c r="IK6" s="430"/>
      <c r="IL6" s="430" t="s">
        <v>1003</v>
      </c>
      <c r="IM6" s="682" t="s">
        <v>994</v>
      </c>
      <c r="IN6" s="682"/>
      <c r="IO6" s="430"/>
      <c r="IP6" s="430" t="s">
        <v>1003</v>
      </c>
      <c r="IQ6" s="682" t="s">
        <v>994</v>
      </c>
      <c r="IR6" s="682"/>
      <c r="IS6" s="430"/>
      <c r="IT6" s="430" t="s">
        <v>1003</v>
      </c>
    </row>
    <row r="7" spans="1:254" ht="15.75">
      <c r="A7" s="430" t="s">
        <v>1013</v>
      </c>
      <c r="B7" s="430"/>
      <c r="C7" s="430"/>
      <c r="D7" s="430"/>
      <c r="E7" s="430" t="s">
        <v>999</v>
      </c>
      <c r="F7" s="430" t="s">
        <v>1004</v>
      </c>
      <c r="G7" s="430"/>
      <c r="H7" s="430"/>
      <c r="I7" s="430" t="s">
        <v>999</v>
      </c>
      <c r="J7" s="430" t="s">
        <v>1004</v>
      </c>
      <c r="K7" s="430"/>
      <c r="L7" s="430"/>
      <c r="M7" s="430" t="s">
        <v>999</v>
      </c>
      <c r="N7" s="430" t="s">
        <v>1004</v>
      </c>
      <c r="O7" s="430"/>
      <c r="P7" s="430"/>
      <c r="Q7" s="430" t="s">
        <v>999</v>
      </c>
      <c r="R7" s="430" t="s">
        <v>1004</v>
      </c>
      <c r="S7" s="430"/>
      <c r="T7" s="430"/>
      <c r="U7" s="430" t="s">
        <v>999</v>
      </c>
      <c r="V7" s="430" t="s">
        <v>1004</v>
      </c>
      <c r="W7" s="430"/>
      <c r="X7" s="430"/>
      <c r="Y7" s="430" t="s">
        <v>999</v>
      </c>
      <c r="Z7" s="430" t="s">
        <v>1004</v>
      </c>
      <c r="AA7" s="430"/>
      <c r="AB7" s="430"/>
      <c r="AC7" s="430" t="s">
        <v>999</v>
      </c>
      <c r="AD7" s="430" t="s">
        <v>1004</v>
      </c>
      <c r="AE7" s="430"/>
      <c r="AF7" s="430"/>
      <c r="AG7" s="430" t="s">
        <v>999</v>
      </c>
      <c r="AH7" s="430" t="s">
        <v>1004</v>
      </c>
      <c r="AI7" s="430"/>
      <c r="AJ7" s="430"/>
      <c r="AK7" s="430" t="s">
        <v>999</v>
      </c>
      <c r="AL7" s="430" t="s">
        <v>1004</v>
      </c>
      <c r="AM7" s="430"/>
      <c r="AN7" s="430"/>
      <c r="AO7" s="430" t="s">
        <v>999</v>
      </c>
      <c r="AP7" s="430" t="s">
        <v>1004</v>
      </c>
      <c r="AQ7" s="430"/>
      <c r="AR7" s="430"/>
      <c r="AS7" s="430" t="s">
        <v>999</v>
      </c>
      <c r="AT7" s="430" t="s">
        <v>1004</v>
      </c>
      <c r="AU7" s="430"/>
      <c r="AV7" s="430"/>
      <c r="AW7" s="430" t="s">
        <v>999</v>
      </c>
      <c r="AX7" s="430" t="s">
        <v>1004</v>
      </c>
      <c r="AY7" s="430"/>
      <c r="AZ7" s="430"/>
      <c r="BA7" s="430" t="s">
        <v>999</v>
      </c>
      <c r="BB7" s="430" t="s">
        <v>1004</v>
      </c>
      <c r="BC7" s="430"/>
      <c r="BD7" s="430"/>
      <c r="BE7" s="430" t="s">
        <v>999</v>
      </c>
      <c r="BF7" s="430" t="s">
        <v>1004</v>
      </c>
      <c r="BG7" s="430"/>
      <c r="BH7" s="430"/>
      <c r="BI7" s="430" t="s">
        <v>999</v>
      </c>
      <c r="BJ7" s="430" t="s">
        <v>1004</v>
      </c>
      <c r="BK7" s="430"/>
      <c r="BL7" s="430"/>
      <c r="BM7" s="430" t="s">
        <v>999</v>
      </c>
      <c r="BN7" s="430" t="s">
        <v>1004</v>
      </c>
      <c r="BO7" s="430"/>
      <c r="BP7" s="430"/>
      <c r="BQ7" s="430" t="s">
        <v>999</v>
      </c>
      <c r="BR7" s="430" t="s">
        <v>1004</v>
      </c>
      <c r="BS7" s="430"/>
      <c r="BT7" s="430"/>
      <c r="BU7" s="430" t="s">
        <v>999</v>
      </c>
      <c r="BV7" s="430" t="s">
        <v>1004</v>
      </c>
      <c r="BW7" s="430"/>
      <c r="BX7" s="430"/>
      <c r="BY7" s="430" t="s">
        <v>999</v>
      </c>
      <c r="BZ7" s="430" t="s">
        <v>1004</v>
      </c>
      <c r="CA7" s="430"/>
      <c r="CB7" s="430"/>
      <c r="CC7" s="430" t="s">
        <v>999</v>
      </c>
      <c r="CD7" s="430" t="s">
        <v>1004</v>
      </c>
      <c r="CE7" s="430"/>
      <c r="CF7" s="430"/>
      <c r="CG7" s="430" t="s">
        <v>999</v>
      </c>
      <c r="CH7" s="430" t="s">
        <v>1004</v>
      </c>
      <c r="CI7" s="430"/>
      <c r="CJ7" s="430"/>
      <c r="CK7" s="430" t="s">
        <v>999</v>
      </c>
      <c r="CL7" s="430" t="s">
        <v>1004</v>
      </c>
      <c r="CM7" s="430"/>
      <c r="CN7" s="430"/>
      <c r="CO7" s="430" t="s">
        <v>999</v>
      </c>
      <c r="CP7" s="430" t="s">
        <v>1004</v>
      </c>
      <c r="CQ7" s="430"/>
      <c r="CR7" s="430"/>
      <c r="CS7" s="430" t="s">
        <v>999</v>
      </c>
      <c r="CT7" s="430" t="s">
        <v>1004</v>
      </c>
      <c r="CU7" s="430"/>
      <c r="CV7" s="430"/>
      <c r="CW7" s="430" t="s">
        <v>999</v>
      </c>
      <c r="CX7" s="430" t="s">
        <v>1004</v>
      </c>
      <c r="CY7" s="430"/>
      <c r="CZ7" s="430"/>
      <c r="DA7" s="430" t="s">
        <v>999</v>
      </c>
      <c r="DB7" s="430" t="s">
        <v>1004</v>
      </c>
      <c r="DC7" s="430"/>
      <c r="DD7" s="430"/>
      <c r="DE7" s="430" t="s">
        <v>999</v>
      </c>
      <c r="DF7" s="430" t="s">
        <v>1004</v>
      </c>
      <c r="DG7" s="430"/>
      <c r="DH7" s="430"/>
      <c r="DI7" s="430" t="s">
        <v>999</v>
      </c>
      <c r="DJ7" s="430" t="s">
        <v>1004</v>
      </c>
      <c r="DK7" s="430"/>
      <c r="DL7" s="430"/>
      <c r="DM7" s="430" t="s">
        <v>999</v>
      </c>
      <c r="DN7" s="430" t="s">
        <v>1004</v>
      </c>
      <c r="DO7" s="430"/>
      <c r="DP7" s="430"/>
      <c r="DQ7" s="430" t="s">
        <v>999</v>
      </c>
      <c r="DR7" s="430" t="s">
        <v>1004</v>
      </c>
      <c r="DS7" s="430"/>
      <c r="DT7" s="430"/>
      <c r="DU7" s="430" t="s">
        <v>999</v>
      </c>
      <c r="DV7" s="430" t="s">
        <v>1004</v>
      </c>
      <c r="DW7" s="430"/>
      <c r="DX7" s="430"/>
      <c r="DY7" s="430" t="s">
        <v>999</v>
      </c>
      <c r="DZ7" s="430" t="s">
        <v>1004</v>
      </c>
      <c r="EA7" s="430"/>
      <c r="EB7" s="430"/>
      <c r="EC7" s="430" t="s">
        <v>999</v>
      </c>
      <c r="ED7" s="430" t="s">
        <v>1004</v>
      </c>
      <c r="EE7" s="430"/>
      <c r="EF7" s="430"/>
      <c r="EG7" s="430" t="s">
        <v>999</v>
      </c>
      <c r="EH7" s="430" t="s">
        <v>1004</v>
      </c>
      <c r="EI7" s="430"/>
      <c r="EJ7" s="430"/>
      <c r="EK7" s="430" t="s">
        <v>999</v>
      </c>
      <c r="EL7" s="430" t="s">
        <v>1004</v>
      </c>
      <c r="EM7" s="430"/>
      <c r="EN7" s="430"/>
      <c r="EO7" s="430" t="s">
        <v>999</v>
      </c>
      <c r="EP7" s="430" t="s">
        <v>1004</v>
      </c>
      <c r="EQ7" s="430"/>
      <c r="ER7" s="430"/>
      <c r="ES7" s="430" t="s">
        <v>999</v>
      </c>
      <c r="ET7" s="430" t="s">
        <v>1004</v>
      </c>
      <c r="EU7" s="430"/>
      <c r="EV7" s="430"/>
      <c r="EW7" s="430" t="s">
        <v>999</v>
      </c>
      <c r="EX7" s="430" t="s">
        <v>1004</v>
      </c>
      <c r="EY7" s="430"/>
      <c r="EZ7" s="430"/>
      <c r="FA7" s="430" t="s">
        <v>999</v>
      </c>
      <c r="FB7" s="430" t="s">
        <v>1004</v>
      </c>
      <c r="FC7" s="430"/>
      <c r="FD7" s="430"/>
      <c r="FE7" s="430" t="s">
        <v>999</v>
      </c>
      <c r="FF7" s="430" t="s">
        <v>1004</v>
      </c>
      <c r="FG7" s="430"/>
      <c r="FH7" s="430"/>
      <c r="FI7" s="430" t="s">
        <v>999</v>
      </c>
      <c r="FJ7" s="430" t="s">
        <v>1004</v>
      </c>
      <c r="FK7" s="430"/>
      <c r="FL7" s="430"/>
      <c r="FM7" s="430" t="s">
        <v>999</v>
      </c>
      <c r="FN7" s="430" t="s">
        <v>1004</v>
      </c>
      <c r="FO7" s="430"/>
      <c r="FP7" s="430"/>
      <c r="FQ7" s="430" t="s">
        <v>999</v>
      </c>
      <c r="FR7" s="430" t="s">
        <v>1004</v>
      </c>
      <c r="FS7" s="430"/>
      <c r="FT7" s="430"/>
      <c r="FU7" s="430" t="s">
        <v>999</v>
      </c>
      <c r="FV7" s="430" t="s">
        <v>1004</v>
      </c>
      <c r="FW7" s="430"/>
      <c r="FX7" s="430"/>
      <c r="FY7" s="430" t="s">
        <v>999</v>
      </c>
      <c r="FZ7" s="430" t="s">
        <v>1004</v>
      </c>
      <c r="GA7" s="430"/>
      <c r="GB7" s="430"/>
      <c r="GC7" s="430" t="s">
        <v>999</v>
      </c>
      <c r="GD7" s="430" t="s">
        <v>1004</v>
      </c>
      <c r="GE7" s="430"/>
      <c r="GF7" s="430"/>
      <c r="GG7" s="430" t="s">
        <v>999</v>
      </c>
      <c r="GH7" s="430" t="s">
        <v>1004</v>
      </c>
      <c r="GI7" s="430"/>
      <c r="GJ7" s="430"/>
      <c r="GK7" s="430" t="s">
        <v>999</v>
      </c>
      <c r="GL7" s="430" t="s">
        <v>1004</v>
      </c>
      <c r="GM7" s="430"/>
      <c r="GN7" s="430"/>
      <c r="GO7" s="430" t="s">
        <v>999</v>
      </c>
      <c r="GP7" s="430" t="s">
        <v>1004</v>
      </c>
      <c r="GQ7" s="430"/>
      <c r="GR7" s="430"/>
      <c r="GS7" s="430" t="s">
        <v>999</v>
      </c>
      <c r="GT7" s="430" t="s">
        <v>1004</v>
      </c>
      <c r="GU7" s="430"/>
      <c r="GV7" s="430"/>
      <c r="GW7" s="430" t="s">
        <v>999</v>
      </c>
      <c r="GX7" s="430" t="s">
        <v>1004</v>
      </c>
      <c r="GY7" s="430"/>
      <c r="GZ7" s="430"/>
      <c r="HA7" s="430" t="s">
        <v>999</v>
      </c>
      <c r="HB7" s="430" t="s">
        <v>1004</v>
      </c>
      <c r="HC7" s="430"/>
      <c r="HD7" s="430"/>
      <c r="HE7" s="430" t="s">
        <v>999</v>
      </c>
      <c r="HF7" s="430" t="s">
        <v>1004</v>
      </c>
      <c r="HG7" s="430"/>
      <c r="HH7" s="430"/>
      <c r="HI7" s="430" t="s">
        <v>999</v>
      </c>
      <c r="HJ7" s="430" t="s">
        <v>1004</v>
      </c>
      <c r="HK7" s="430"/>
      <c r="HL7" s="430"/>
      <c r="HM7" s="430" t="s">
        <v>999</v>
      </c>
      <c r="HN7" s="430" t="s">
        <v>1004</v>
      </c>
      <c r="HO7" s="430"/>
      <c r="HP7" s="430"/>
      <c r="HQ7" s="430" t="s">
        <v>999</v>
      </c>
      <c r="HR7" s="430" t="s">
        <v>1004</v>
      </c>
      <c r="HS7" s="430"/>
      <c r="HT7" s="430"/>
      <c r="HU7" s="430" t="s">
        <v>999</v>
      </c>
      <c r="HV7" s="430" t="s">
        <v>1004</v>
      </c>
      <c r="HW7" s="430"/>
      <c r="HX7" s="430"/>
      <c r="HY7" s="430" t="s">
        <v>999</v>
      </c>
      <c r="HZ7" s="430" t="s">
        <v>1004</v>
      </c>
      <c r="IA7" s="430"/>
      <c r="IB7" s="430"/>
      <c r="IC7" s="430" t="s">
        <v>999</v>
      </c>
      <c r="ID7" s="430" t="s">
        <v>1004</v>
      </c>
      <c r="IE7" s="430"/>
      <c r="IF7" s="430"/>
      <c r="IG7" s="430" t="s">
        <v>999</v>
      </c>
      <c r="IH7" s="430" t="s">
        <v>1004</v>
      </c>
      <c r="II7" s="430"/>
      <c r="IJ7" s="430"/>
      <c r="IK7" s="430" t="s">
        <v>999</v>
      </c>
      <c r="IL7" s="430" t="s">
        <v>1004</v>
      </c>
      <c r="IM7" s="430"/>
      <c r="IN7" s="430"/>
      <c r="IO7" s="430" t="s">
        <v>999</v>
      </c>
      <c r="IP7" s="430" t="s">
        <v>1004</v>
      </c>
      <c r="IQ7" s="430"/>
      <c r="IR7" s="430"/>
      <c r="IS7" s="430" t="s">
        <v>999</v>
      </c>
      <c r="IT7" s="430" t="s">
        <v>1004</v>
      </c>
    </row>
    <row r="8" spans="1:254" ht="16.5" thickBot="1">
      <c r="A8" s="676" t="s">
        <v>1014</v>
      </c>
      <c r="B8" s="676" t="s">
        <v>1015</v>
      </c>
      <c r="C8" s="676" t="s">
        <v>995</v>
      </c>
      <c r="D8" s="676" t="s">
        <v>996</v>
      </c>
      <c r="E8" s="676" t="s">
        <v>1000</v>
      </c>
      <c r="F8" s="676" t="s">
        <v>1005</v>
      </c>
      <c r="G8" s="676" t="s">
        <v>995</v>
      </c>
      <c r="H8" s="676" t="s">
        <v>996</v>
      </c>
      <c r="I8" s="676" t="s">
        <v>1000</v>
      </c>
      <c r="J8" s="676" t="s">
        <v>1005</v>
      </c>
      <c r="K8" s="676" t="s">
        <v>995</v>
      </c>
      <c r="L8" s="676" t="s">
        <v>996</v>
      </c>
      <c r="M8" s="676" t="s">
        <v>1000</v>
      </c>
      <c r="N8" s="676" t="s">
        <v>1005</v>
      </c>
      <c r="O8" s="676" t="s">
        <v>995</v>
      </c>
      <c r="P8" s="676" t="s">
        <v>996</v>
      </c>
      <c r="Q8" s="676" t="s">
        <v>1000</v>
      </c>
      <c r="R8" s="676" t="s">
        <v>1005</v>
      </c>
      <c r="S8" s="676" t="s">
        <v>995</v>
      </c>
      <c r="T8" s="676" t="s">
        <v>996</v>
      </c>
      <c r="U8" s="676" t="s">
        <v>1000</v>
      </c>
      <c r="V8" s="676" t="s">
        <v>1005</v>
      </c>
      <c r="W8" s="676" t="s">
        <v>995</v>
      </c>
      <c r="X8" s="676" t="s">
        <v>996</v>
      </c>
      <c r="Y8" s="676" t="s">
        <v>1000</v>
      </c>
      <c r="Z8" s="676" t="s">
        <v>1005</v>
      </c>
      <c r="AA8" s="676" t="s">
        <v>995</v>
      </c>
      <c r="AB8" s="676" t="s">
        <v>996</v>
      </c>
      <c r="AC8" s="676" t="s">
        <v>1000</v>
      </c>
      <c r="AD8" s="676" t="s">
        <v>1005</v>
      </c>
      <c r="AE8" s="676" t="s">
        <v>995</v>
      </c>
      <c r="AF8" s="676" t="s">
        <v>996</v>
      </c>
      <c r="AG8" s="676" t="s">
        <v>1000</v>
      </c>
      <c r="AH8" s="676" t="s">
        <v>1005</v>
      </c>
      <c r="AI8" s="676" t="s">
        <v>995</v>
      </c>
      <c r="AJ8" s="676" t="s">
        <v>996</v>
      </c>
      <c r="AK8" s="676" t="s">
        <v>1000</v>
      </c>
      <c r="AL8" s="676" t="s">
        <v>1005</v>
      </c>
      <c r="AM8" s="676" t="s">
        <v>995</v>
      </c>
      <c r="AN8" s="676" t="s">
        <v>996</v>
      </c>
      <c r="AO8" s="676" t="s">
        <v>1000</v>
      </c>
      <c r="AP8" s="676" t="s">
        <v>1005</v>
      </c>
      <c r="AQ8" s="676" t="s">
        <v>995</v>
      </c>
      <c r="AR8" s="676" t="s">
        <v>996</v>
      </c>
      <c r="AS8" s="676" t="s">
        <v>1000</v>
      </c>
      <c r="AT8" s="676" t="s">
        <v>1005</v>
      </c>
      <c r="AU8" s="676" t="s">
        <v>995</v>
      </c>
      <c r="AV8" s="676" t="s">
        <v>996</v>
      </c>
      <c r="AW8" s="676" t="s">
        <v>1000</v>
      </c>
      <c r="AX8" s="676" t="s">
        <v>1005</v>
      </c>
      <c r="AY8" s="676" t="s">
        <v>995</v>
      </c>
      <c r="AZ8" s="676" t="s">
        <v>996</v>
      </c>
      <c r="BA8" s="676" t="s">
        <v>1000</v>
      </c>
      <c r="BB8" s="676" t="s">
        <v>1005</v>
      </c>
      <c r="BC8" s="676" t="s">
        <v>995</v>
      </c>
      <c r="BD8" s="676" t="s">
        <v>996</v>
      </c>
      <c r="BE8" s="676" t="s">
        <v>1000</v>
      </c>
      <c r="BF8" s="676" t="s">
        <v>1005</v>
      </c>
      <c r="BG8" s="676" t="s">
        <v>995</v>
      </c>
      <c r="BH8" s="676" t="s">
        <v>996</v>
      </c>
      <c r="BI8" s="676" t="s">
        <v>1000</v>
      </c>
      <c r="BJ8" s="676" t="s">
        <v>1005</v>
      </c>
      <c r="BK8" s="676" t="s">
        <v>995</v>
      </c>
      <c r="BL8" s="676" t="s">
        <v>996</v>
      </c>
      <c r="BM8" s="676" t="s">
        <v>1000</v>
      </c>
      <c r="BN8" s="676" t="s">
        <v>1005</v>
      </c>
      <c r="BO8" s="676" t="s">
        <v>995</v>
      </c>
      <c r="BP8" s="676" t="s">
        <v>996</v>
      </c>
      <c r="BQ8" s="676" t="s">
        <v>1000</v>
      </c>
      <c r="BR8" s="676" t="s">
        <v>1005</v>
      </c>
      <c r="BS8" s="676" t="s">
        <v>995</v>
      </c>
      <c r="BT8" s="676" t="s">
        <v>996</v>
      </c>
      <c r="BU8" s="676" t="s">
        <v>1000</v>
      </c>
      <c r="BV8" s="676" t="s">
        <v>1005</v>
      </c>
      <c r="BW8" s="676" t="s">
        <v>995</v>
      </c>
      <c r="BX8" s="676" t="s">
        <v>996</v>
      </c>
      <c r="BY8" s="676" t="s">
        <v>1000</v>
      </c>
      <c r="BZ8" s="676" t="s">
        <v>1005</v>
      </c>
      <c r="CA8" s="676" t="s">
        <v>995</v>
      </c>
      <c r="CB8" s="676" t="s">
        <v>996</v>
      </c>
      <c r="CC8" s="676" t="s">
        <v>1000</v>
      </c>
      <c r="CD8" s="676" t="s">
        <v>1005</v>
      </c>
      <c r="CE8" s="676" t="s">
        <v>995</v>
      </c>
      <c r="CF8" s="676" t="s">
        <v>996</v>
      </c>
      <c r="CG8" s="676" t="s">
        <v>1000</v>
      </c>
      <c r="CH8" s="676" t="s">
        <v>1005</v>
      </c>
      <c r="CI8" s="676" t="s">
        <v>995</v>
      </c>
      <c r="CJ8" s="676" t="s">
        <v>996</v>
      </c>
      <c r="CK8" s="676" t="s">
        <v>1000</v>
      </c>
      <c r="CL8" s="676" t="s">
        <v>1005</v>
      </c>
      <c r="CM8" s="676" t="s">
        <v>995</v>
      </c>
      <c r="CN8" s="676" t="s">
        <v>996</v>
      </c>
      <c r="CO8" s="676" t="s">
        <v>1000</v>
      </c>
      <c r="CP8" s="676" t="s">
        <v>1005</v>
      </c>
      <c r="CQ8" s="676" t="s">
        <v>995</v>
      </c>
      <c r="CR8" s="676" t="s">
        <v>996</v>
      </c>
      <c r="CS8" s="676" t="s">
        <v>1000</v>
      </c>
      <c r="CT8" s="676" t="s">
        <v>1005</v>
      </c>
      <c r="CU8" s="676" t="s">
        <v>995</v>
      </c>
      <c r="CV8" s="676" t="s">
        <v>996</v>
      </c>
      <c r="CW8" s="676" t="s">
        <v>1000</v>
      </c>
      <c r="CX8" s="676" t="s">
        <v>1005</v>
      </c>
      <c r="CY8" s="676" t="s">
        <v>995</v>
      </c>
      <c r="CZ8" s="676" t="s">
        <v>996</v>
      </c>
      <c r="DA8" s="676" t="s">
        <v>1000</v>
      </c>
      <c r="DB8" s="676" t="s">
        <v>1005</v>
      </c>
      <c r="DC8" s="676" t="s">
        <v>995</v>
      </c>
      <c r="DD8" s="676" t="s">
        <v>996</v>
      </c>
      <c r="DE8" s="676" t="s">
        <v>1000</v>
      </c>
      <c r="DF8" s="676" t="s">
        <v>1005</v>
      </c>
      <c r="DG8" s="676" t="s">
        <v>995</v>
      </c>
      <c r="DH8" s="676" t="s">
        <v>996</v>
      </c>
      <c r="DI8" s="676" t="s">
        <v>1000</v>
      </c>
      <c r="DJ8" s="676" t="s">
        <v>1005</v>
      </c>
      <c r="DK8" s="676" t="s">
        <v>995</v>
      </c>
      <c r="DL8" s="676" t="s">
        <v>996</v>
      </c>
      <c r="DM8" s="676" t="s">
        <v>1000</v>
      </c>
      <c r="DN8" s="676" t="s">
        <v>1005</v>
      </c>
      <c r="DO8" s="676" t="s">
        <v>995</v>
      </c>
      <c r="DP8" s="676" t="s">
        <v>996</v>
      </c>
      <c r="DQ8" s="676" t="s">
        <v>1000</v>
      </c>
      <c r="DR8" s="676" t="s">
        <v>1005</v>
      </c>
      <c r="DS8" s="676" t="s">
        <v>995</v>
      </c>
      <c r="DT8" s="676" t="s">
        <v>996</v>
      </c>
      <c r="DU8" s="676" t="s">
        <v>1000</v>
      </c>
      <c r="DV8" s="676" t="s">
        <v>1005</v>
      </c>
      <c r="DW8" s="676" t="s">
        <v>995</v>
      </c>
      <c r="DX8" s="676" t="s">
        <v>996</v>
      </c>
      <c r="DY8" s="676" t="s">
        <v>1000</v>
      </c>
      <c r="DZ8" s="676" t="s">
        <v>1005</v>
      </c>
      <c r="EA8" s="676" t="s">
        <v>995</v>
      </c>
      <c r="EB8" s="676" t="s">
        <v>996</v>
      </c>
      <c r="EC8" s="676" t="s">
        <v>1000</v>
      </c>
      <c r="ED8" s="676" t="s">
        <v>1005</v>
      </c>
      <c r="EE8" s="676" t="s">
        <v>995</v>
      </c>
      <c r="EF8" s="676" t="s">
        <v>996</v>
      </c>
      <c r="EG8" s="676" t="s">
        <v>1000</v>
      </c>
      <c r="EH8" s="676" t="s">
        <v>1005</v>
      </c>
      <c r="EI8" s="676" t="s">
        <v>995</v>
      </c>
      <c r="EJ8" s="676" t="s">
        <v>996</v>
      </c>
      <c r="EK8" s="676" t="s">
        <v>1000</v>
      </c>
      <c r="EL8" s="676" t="s">
        <v>1005</v>
      </c>
      <c r="EM8" s="676" t="s">
        <v>995</v>
      </c>
      <c r="EN8" s="676" t="s">
        <v>996</v>
      </c>
      <c r="EO8" s="676" t="s">
        <v>1000</v>
      </c>
      <c r="EP8" s="676" t="s">
        <v>1005</v>
      </c>
      <c r="EQ8" s="676" t="s">
        <v>995</v>
      </c>
      <c r="ER8" s="676" t="s">
        <v>996</v>
      </c>
      <c r="ES8" s="676" t="s">
        <v>1000</v>
      </c>
      <c r="ET8" s="676" t="s">
        <v>1005</v>
      </c>
      <c r="EU8" s="676" t="s">
        <v>995</v>
      </c>
      <c r="EV8" s="676" t="s">
        <v>996</v>
      </c>
      <c r="EW8" s="676" t="s">
        <v>1000</v>
      </c>
      <c r="EX8" s="676" t="s">
        <v>1005</v>
      </c>
      <c r="EY8" s="676" t="s">
        <v>995</v>
      </c>
      <c r="EZ8" s="676" t="s">
        <v>996</v>
      </c>
      <c r="FA8" s="676" t="s">
        <v>1000</v>
      </c>
      <c r="FB8" s="676" t="s">
        <v>1005</v>
      </c>
      <c r="FC8" s="676" t="s">
        <v>995</v>
      </c>
      <c r="FD8" s="676" t="s">
        <v>996</v>
      </c>
      <c r="FE8" s="676" t="s">
        <v>1000</v>
      </c>
      <c r="FF8" s="676" t="s">
        <v>1005</v>
      </c>
      <c r="FG8" s="676" t="s">
        <v>995</v>
      </c>
      <c r="FH8" s="676" t="s">
        <v>996</v>
      </c>
      <c r="FI8" s="676" t="s">
        <v>1000</v>
      </c>
      <c r="FJ8" s="676" t="s">
        <v>1005</v>
      </c>
      <c r="FK8" s="676" t="s">
        <v>995</v>
      </c>
      <c r="FL8" s="676" t="s">
        <v>996</v>
      </c>
      <c r="FM8" s="676" t="s">
        <v>1000</v>
      </c>
      <c r="FN8" s="676" t="s">
        <v>1005</v>
      </c>
      <c r="FO8" s="676" t="s">
        <v>995</v>
      </c>
      <c r="FP8" s="676" t="s">
        <v>996</v>
      </c>
      <c r="FQ8" s="676" t="s">
        <v>1000</v>
      </c>
      <c r="FR8" s="676" t="s">
        <v>1005</v>
      </c>
      <c r="FS8" s="676" t="s">
        <v>995</v>
      </c>
      <c r="FT8" s="676" t="s">
        <v>996</v>
      </c>
      <c r="FU8" s="676" t="s">
        <v>1000</v>
      </c>
      <c r="FV8" s="676" t="s">
        <v>1005</v>
      </c>
      <c r="FW8" s="676" t="s">
        <v>995</v>
      </c>
      <c r="FX8" s="676" t="s">
        <v>996</v>
      </c>
      <c r="FY8" s="676" t="s">
        <v>1000</v>
      </c>
      <c r="FZ8" s="676" t="s">
        <v>1005</v>
      </c>
      <c r="GA8" s="676" t="s">
        <v>995</v>
      </c>
      <c r="GB8" s="676" t="s">
        <v>996</v>
      </c>
      <c r="GC8" s="676" t="s">
        <v>1000</v>
      </c>
      <c r="GD8" s="676" t="s">
        <v>1005</v>
      </c>
      <c r="GE8" s="676" t="s">
        <v>995</v>
      </c>
      <c r="GF8" s="676" t="s">
        <v>996</v>
      </c>
      <c r="GG8" s="676" t="s">
        <v>1000</v>
      </c>
      <c r="GH8" s="676" t="s">
        <v>1005</v>
      </c>
      <c r="GI8" s="676" t="s">
        <v>995</v>
      </c>
      <c r="GJ8" s="676" t="s">
        <v>996</v>
      </c>
      <c r="GK8" s="676" t="s">
        <v>1000</v>
      </c>
      <c r="GL8" s="676" t="s">
        <v>1005</v>
      </c>
      <c r="GM8" s="676" t="s">
        <v>995</v>
      </c>
      <c r="GN8" s="676" t="s">
        <v>996</v>
      </c>
      <c r="GO8" s="676" t="s">
        <v>1000</v>
      </c>
      <c r="GP8" s="676" t="s">
        <v>1005</v>
      </c>
      <c r="GQ8" s="676" t="s">
        <v>995</v>
      </c>
      <c r="GR8" s="676" t="s">
        <v>996</v>
      </c>
      <c r="GS8" s="676" t="s">
        <v>1000</v>
      </c>
      <c r="GT8" s="676" t="s">
        <v>1005</v>
      </c>
      <c r="GU8" s="676" t="s">
        <v>995</v>
      </c>
      <c r="GV8" s="676" t="s">
        <v>996</v>
      </c>
      <c r="GW8" s="676" t="s">
        <v>1000</v>
      </c>
      <c r="GX8" s="676" t="s">
        <v>1005</v>
      </c>
      <c r="GY8" s="676" t="s">
        <v>995</v>
      </c>
      <c r="GZ8" s="676" t="s">
        <v>996</v>
      </c>
      <c r="HA8" s="676" t="s">
        <v>1000</v>
      </c>
      <c r="HB8" s="676" t="s">
        <v>1005</v>
      </c>
      <c r="HC8" s="676" t="s">
        <v>995</v>
      </c>
      <c r="HD8" s="676" t="s">
        <v>996</v>
      </c>
      <c r="HE8" s="676" t="s">
        <v>1000</v>
      </c>
      <c r="HF8" s="676" t="s">
        <v>1005</v>
      </c>
      <c r="HG8" s="676" t="s">
        <v>995</v>
      </c>
      <c r="HH8" s="676" t="s">
        <v>996</v>
      </c>
      <c r="HI8" s="676" t="s">
        <v>1000</v>
      </c>
      <c r="HJ8" s="676" t="s">
        <v>1005</v>
      </c>
      <c r="HK8" s="676" t="s">
        <v>995</v>
      </c>
      <c r="HL8" s="676" t="s">
        <v>996</v>
      </c>
      <c r="HM8" s="676" t="s">
        <v>1000</v>
      </c>
      <c r="HN8" s="676" t="s">
        <v>1005</v>
      </c>
      <c r="HO8" s="676" t="s">
        <v>995</v>
      </c>
      <c r="HP8" s="676" t="s">
        <v>996</v>
      </c>
      <c r="HQ8" s="676" t="s">
        <v>1000</v>
      </c>
      <c r="HR8" s="676" t="s">
        <v>1005</v>
      </c>
      <c r="HS8" s="676" t="s">
        <v>995</v>
      </c>
      <c r="HT8" s="676" t="s">
        <v>996</v>
      </c>
      <c r="HU8" s="676" t="s">
        <v>1000</v>
      </c>
      <c r="HV8" s="676" t="s">
        <v>1005</v>
      </c>
      <c r="HW8" s="676" t="s">
        <v>995</v>
      </c>
      <c r="HX8" s="676" t="s">
        <v>996</v>
      </c>
      <c r="HY8" s="676" t="s">
        <v>1000</v>
      </c>
      <c r="HZ8" s="676" t="s">
        <v>1005</v>
      </c>
      <c r="IA8" s="676" t="s">
        <v>995</v>
      </c>
      <c r="IB8" s="676" t="s">
        <v>996</v>
      </c>
      <c r="IC8" s="676" t="s">
        <v>1000</v>
      </c>
      <c r="ID8" s="676" t="s">
        <v>1005</v>
      </c>
      <c r="IE8" s="676" t="s">
        <v>995</v>
      </c>
      <c r="IF8" s="676" t="s">
        <v>996</v>
      </c>
      <c r="IG8" s="676" t="s">
        <v>1000</v>
      </c>
      <c r="IH8" s="676" t="s">
        <v>1005</v>
      </c>
      <c r="II8" s="676" t="s">
        <v>995</v>
      </c>
      <c r="IJ8" s="676" t="s">
        <v>996</v>
      </c>
      <c r="IK8" s="676" t="s">
        <v>1000</v>
      </c>
      <c r="IL8" s="676" t="s">
        <v>1005</v>
      </c>
      <c r="IM8" s="676" t="s">
        <v>995</v>
      </c>
      <c r="IN8" s="676" t="s">
        <v>996</v>
      </c>
      <c r="IO8" s="676" t="s">
        <v>1000</v>
      </c>
      <c r="IP8" s="676" t="s">
        <v>1005</v>
      </c>
      <c r="IQ8" s="676" t="s">
        <v>995</v>
      </c>
      <c r="IR8" s="676" t="s">
        <v>996</v>
      </c>
      <c r="IS8" s="676" t="s">
        <v>1000</v>
      </c>
      <c r="IT8" s="676" t="s">
        <v>1005</v>
      </c>
    </row>
    <row r="9" spans="1:254" ht="21.95" customHeight="1">
      <c r="A9" s="428"/>
      <c r="B9" s="431" t="s">
        <v>208</v>
      </c>
      <c r="C9" s="437"/>
      <c r="D9" s="437"/>
      <c r="E9" s="423"/>
      <c r="F9" s="423"/>
      <c r="G9" s="437"/>
      <c r="H9" s="437"/>
      <c r="I9" s="423"/>
      <c r="J9" s="423"/>
      <c r="K9" s="437"/>
      <c r="L9" s="437"/>
      <c r="M9" s="423"/>
      <c r="N9" s="423"/>
      <c r="O9" s="437"/>
      <c r="P9" s="437"/>
      <c r="Q9" s="423"/>
      <c r="R9" s="423"/>
      <c r="S9" s="437"/>
      <c r="T9" s="437"/>
      <c r="U9" s="423"/>
      <c r="V9" s="423"/>
      <c r="W9" s="437"/>
      <c r="X9" s="437"/>
      <c r="Y9" s="423"/>
      <c r="Z9" s="423"/>
      <c r="AA9" s="437"/>
      <c r="AB9" s="437"/>
      <c r="AC9" s="423"/>
      <c r="AD9" s="423"/>
      <c r="AE9" s="437"/>
      <c r="AF9" s="437"/>
      <c r="AG9" s="423"/>
      <c r="AH9" s="423"/>
      <c r="AI9" s="437"/>
      <c r="AJ9" s="437"/>
      <c r="AK9" s="423"/>
      <c r="AL9" s="423"/>
      <c r="AM9" s="437"/>
      <c r="AN9" s="437"/>
      <c r="AO9" s="423"/>
      <c r="AP9" s="423"/>
      <c r="AQ9" s="437"/>
      <c r="AR9" s="437"/>
      <c r="AS9" s="423"/>
      <c r="AT9" s="423"/>
      <c r="AU9" s="437"/>
      <c r="AV9" s="437"/>
      <c r="AW9" s="423"/>
      <c r="AX9" s="423"/>
      <c r="AY9" s="437"/>
      <c r="AZ9" s="437"/>
      <c r="BA9" s="423"/>
      <c r="BB9" s="423"/>
      <c r="BC9" s="437"/>
      <c r="BD9" s="437"/>
      <c r="BE9" s="423"/>
      <c r="BF9" s="423"/>
      <c r="BG9" s="437"/>
      <c r="BH9" s="437"/>
      <c r="BI9" s="423"/>
      <c r="BJ9" s="423"/>
      <c r="BK9" s="437"/>
      <c r="BL9" s="437"/>
      <c r="BM9" s="423"/>
      <c r="BN9" s="423"/>
      <c r="BO9" s="437"/>
      <c r="BP9" s="437"/>
      <c r="BQ9" s="423"/>
      <c r="BR9" s="423"/>
      <c r="BS9" s="437"/>
      <c r="BT9" s="437"/>
      <c r="BU9" s="423"/>
      <c r="BV9" s="423"/>
      <c r="BW9" s="437"/>
      <c r="BX9" s="437"/>
      <c r="BY9" s="423"/>
      <c r="BZ9" s="423"/>
      <c r="CA9" s="437"/>
      <c r="CB9" s="437"/>
      <c r="CC9" s="423"/>
      <c r="CD9" s="423"/>
      <c r="CE9" s="437"/>
      <c r="CF9" s="437"/>
      <c r="CG9" s="423"/>
      <c r="CH9" s="423"/>
      <c r="CI9" s="437"/>
      <c r="CJ9" s="437"/>
      <c r="CK9" s="423"/>
      <c r="CL9" s="423"/>
      <c r="CM9" s="437"/>
      <c r="CN9" s="437"/>
      <c r="CO9" s="423"/>
      <c r="CP9" s="423"/>
      <c r="CQ9" s="437"/>
      <c r="CR9" s="437"/>
      <c r="CS9" s="423"/>
      <c r="CT9" s="423"/>
      <c r="CU9" s="437"/>
      <c r="CV9" s="437"/>
      <c r="CW9" s="423"/>
      <c r="CX9" s="423"/>
      <c r="CY9" s="437"/>
      <c r="CZ9" s="437"/>
      <c r="DA9" s="423"/>
      <c r="DB9" s="423"/>
      <c r="DC9" s="437"/>
      <c r="DD9" s="437"/>
      <c r="DE9" s="423"/>
      <c r="DF9" s="423"/>
      <c r="DG9" s="437"/>
      <c r="DH9" s="437"/>
      <c r="DI9" s="423"/>
      <c r="DJ9" s="423"/>
      <c r="DK9" s="437"/>
      <c r="DL9" s="437"/>
      <c r="DM9" s="423"/>
      <c r="DN9" s="423"/>
      <c r="DO9" s="437"/>
      <c r="DP9" s="437"/>
      <c r="DQ9" s="423"/>
      <c r="DR9" s="423"/>
      <c r="DS9" s="437"/>
      <c r="DT9" s="437"/>
      <c r="DU9" s="423"/>
      <c r="DV9" s="423"/>
      <c r="DW9" s="437"/>
      <c r="DX9" s="437"/>
      <c r="DY9" s="423"/>
      <c r="DZ9" s="423"/>
      <c r="EA9" s="437"/>
      <c r="EB9" s="437"/>
      <c r="EC9" s="423"/>
      <c r="ED9" s="423"/>
      <c r="EE9" s="437"/>
      <c r="EF9" s="437"/>
      <c r="EG9" s="423"/>
      <c r="EH9" s="423"/>
      <c r="EI9" s="423"/>
      <c r="EJ9" s="423"/>
      <c r="EK9" s="423"/>
      <c r="EL9" s="423"/>
      <c r="EM9" s="423"/>
      <c r="EN9" s="423"/>
      <c r="EO9" s="423"/>
      <c r="EP9" s="423"/>
      <c r="EQ9" s="423"/>
      <c r="ER9" s="423"/>
      <c r="ES9" s="423"/>
      <c r="ET9" s="423"/>
      <c r="EU9" s="423"/>
      <c r="EV9" s="423"/>
      <c r="EW9" s="423"/>
      <c r="EX9" s="423"/>
      <c r="EY9" s="423"/>
      <c r="EZ9" s="423"/>
      <c r="FA9" s="423"/>
      <c r="FB9" s="423"/>
      <c r="FC9" s="423"/>
      <c r="FD9" s="423"/>
      <c r="FE9" s="423"/>
      <c r="FF9" s="423"/>
      <c r="FG9" s="423"/>
      <c r="FH9" s="423"/>
      <c r="FI9" s="423"/>
      <c r="FJ9" s="423"/>
      <c r="FK9" s="423"/>
      <c r="FL9" s="423"/>
      <c r="FM9" s="423"/>
      <c r="FN9" s="423"/>
      <c r="FO9" s="423"/>
      <c r="FP9" s="423"/>
      <c r="FQ9" s="423"/>
      <c r="FR9" s="423"/>
      <c r="FS9" s="423"/>
      <c r="FT9" s="423"/>
      <c r="FU9" s="423"/>
      <c r="FV9" s="423"/>
      <c r="FW9" s="423"/>
      <c r="FX9" s="423"/>
      <c r="FY9" s="423"/>
      <c r="FZ9" s="423"/>
      <c r="GA9" s="423"/>
      <c r="GB9" s="423"/>
      <c r="GC9" s="423"/>
      <c r="GD9" s="423"/>
      <c r="GE9" s="423"/>
      <c r="GF9" s="423"/>
      <c r="GG9" s="423"/>
      <c r="GH9" s="423"/>
      <c r="GI9" s="423"/>
      <c r="GJ9" s="423"/>
      <c r="GK9" s="423"/>
      <c r="GL9" s="423"/>
      <c r="GM9" s="423"/>
      <c r="GN9" s="423"/>
      <c r="GO9" s="423"/>
      <c r="GP9" s="423"/>
      <c r="GQ9" s="423"/>
      <c r="GR9" s="423"/>
      <c r="GS9" s="423"/>
      <c r="GT9" s="423"/>
      <c r="GU9" s="423"/>
      <c r="GV9" s="423"/>
      <c r="GW9" s="423"/>
      <c r="GX9" s="423"/>
      <c r="GY9" s="423"/>
      <c r="GZ9" s="423"/>
      <c r="HA9" s="423"/>
      <c r="HB9" s="423"/>
      <c r="HC9" s="423"/>
      <c r="HD9" s="423"/>
      <c r="HE9" s="423"/>
      <c r="HF9" s="423"/>
      <c r="HG9" s="423"/>
      <c r="HH9" s="423"/>
      <c r="HI9" s="423"/>
      <c r="HJ9" s="423"/>
      <c r="HK9" s="423"/>
      <c r="HL9" s="423"/>
      <c r="HM9" s="423"/>
      <c r="HN9" s="423"/>
      <c r="HO9" s="423"/>
      <c r="HP9" s="423"/>
      <c r="HQ9" s="423"/>
      <c r="HR9" s="423"/>
      <c r="HS9" s="423"/>
      <c r="HT9" s="423"/>
      <c r="HU9" s="423"/>
      <c r="HV9" s="423"/>
      <c r="HW9" s="423"/>
      <c r="HX9" s="423"/>
      <c r="HY9" s="423"/>
      <c r="HZ9" s="423"/>
      <c r="IA9" s="423"/>
      <c r="IB9" s="423"/>
      <c r="IC9" s="423"/>
      <c r="ID9" s="423"/>
      <c r="IE9" s="423"/>
      <c r="IF9" s="423"/>
      <c r="IG9" s="423"/>
      <c r="IH9" s="423"/>
      <c r="II9" s="423"/>
      <c r="IJ9" s="423"/>
      <c r="IK9" s="423"/>
      <c r="IL9" s="423"/>
      <c r="IM9" s="423"/>
      <c r="IN9" s="423"/>
      <c r="IO9" s="423"/>
      <c r="IP9" s="423"/>
      <c r="IQ9" s="326"/>
      <c r="IR9" s="326"/>
      <c r="IS9" s="326"/>
      <c r="IT9" s="326"/>
    </row>
    <row r="10" spans="1:254" ht="21.95" customHeight="1">
      <c r="A10" s="428"/>
      <c r="B10" s="431" t="s">
        <v>127</v>
      </c>
      <c r="C10" s="437"/>
      <c r="D10" s="437"/>
      <c r="E10" s="423"/>
      <c r="F10" s="423"/>
      <c r="G10" s="437"/>
      <c r="H10" s="437"/>
      <c r="I10" s="423"/>
      <c r="J10" s="423"/>
      <c r="K10" s="437"/>
      <c r="L10" s="437"/>
      <c r="M10" s="423"/>
      <c r="N10" s="423"/>
      <c r="O10" s="437"/>
      <c r="P10" s="437"/>
      <c r="Q10" s="423"/>
      <c r="R10" s="423"/>
      <c r="S10" s="437"/>
      <c r="T10" s="437"/>
      <c r="U10" s="423"/>
      <c r="V10" s="423"/>
      <c r="W10" s="437"/>
      <c r="X10" s="437"/>
      <c r="Y10" s="423"/>
      <c r="Z10" s="423"/>
      <c r="AA10" s="437"/>
      <c r="AB10" s="437"/>
      <c r="AC10" s="423"/>
      <c r="AD10" s="423"/>
      <c r="AE10" s="437"/>
      <c r="AF10" s="437"/>
      <c r="AG10" s="423"/>
      <c r="AH10" s="423"/>
      <c r="AI10" s="437"/>
      <c r="AJ10" s="437"/>
      <c r="AK10" s="423"/>
      <c r="AL10" s="423"/>
      <c r="AM10" s="437"/>
      <c r="AN10" s="437"/>
      <c r="AO10" s="423"/>
      <c r="AP10" s="423"/>
      <c r="AQ10" s="437"/>
      <c r="AR10" s="437"/>
      <c r="AS10" s="423"/>
      <c r="AT10" s="423"/>
      <c r="AU10" s="437"/>
      <c r="AV10" s="437"/>
      <c r="AW10" s="423"/>
      <c r="AX10" s="423"/>
      <c r="AY10" s="437"/>
      <c r="AZ10" s="437"/>
      <c r="BA10" s="423"/>
      <c r="BB10" s="423"/>
      <c r="BC10" s="437"/>
      <c r="BD10" s="437"/>
      <c r="BE10" s="423"/>
      <c r="BF10" s="423"/>
      <c r="BG10" s="437"/>
      <c r="BH10" s="437"/>
      <c r="BI10" s="423"/>
      <c r="BJ10" s="423"/>
      <c r="BK10" s="437"/>
      <c r="BL10" s="437"/>
      <c r="BM10" s="423"/>
      <c r="BN10" s="423"/>
      <c r="BO10" s="437"/>
      <c r="BP10" s="437"/>
      <c r="BQ10" s="423"/>
      <c r="BR10" s="423"/>
      <c r="BS10" s="437"/>
      <c r="BT10" s="437"/>
      <c r="BU10" s="423"/>
      <c r="BV10" s="423"/>
      <c r="BW10" s="437"/>
      <c r="BX10" s="437"/>
      <c r="BY10" s="423"/>
      <c r="BZ10" s="423"/>
      <c r="CA10" s="437"/>
      <c r="CB10" s="437"/>
      <c r="CC10" s="423"/>
      <c r="CD10" s="423"/>
      <c r="CE10" s="437"/>
      <c r="CF10" s="437"/>
      <c r="CG10" s="423"/>
      <c r="CH10" s="423"/>
      <c r="CI10" s="437"/>
      <c r="CJ10" s="437"/>
      <c r="CK10" s="423"/>
      <c r="CL10" s="423"/>
      <c r="CM10" s="437"/>
      <c r="CN10" s="437"/>
      <c r="CO10" s="423"/>
      <c r="CP10" s="423"/>
      <c r="CQ10" s="437"/>
      <c r="CR10" s="437"/>
      <c r="CS10" s="423"/>
      <c r="CT10" s="423"/>
      <c r="CU10" s="437"/>
      <c r="CV10" s="437"/>
      <c r="CW10" s="423"/>
      <c r="CX10" s="423"/>
      <c r="CY10" s="437"/>
      <c r="CZ10" s="437"/>
      <c r="DA10" s="423"/>
      <c r="DB10" s="423"/>
      <c r="DC10" s="437"/>
      <c r="DD10" s="437"/>
      <c r="DE10" s="423"/>
      <c r="DF10" s="423"/>
      <c r="DG10" s="437"/>
      <c r="DH10" s="437"/>
      <c r="DI10" s="423"/>
      <c r="DJ10" s="423"/>
      <c r="DK10" s="437"/>
      <c r="DL10" s="437"/>
      <c r="DM10" s="423"/>
      <c r="DN10" s="423"/>
      <c r="DO10" s="437"/>
      <c r="DP10" s="437"/>
      <c r="DQ10" s="423"/>
      <c r="DR10" s="423"/>
      <c r="DS10" s="437"/>
      <c r="DT10" s="437"/>
      <c r="DU10" s="423"/>
      <c r="DV10" s="423"/>
      <c r="DW10" s="437"/>
      <c r="DX10" s="437"/>
      <c r="DY10" s="423"/>
      <c r="DZ10" s="423"/>
      <c r="EA10" s="437"/>
      <c r="EB10" s="437"/>
      <c r="EC10" s="423"/>
      <c r="ED10" s="423"/>
      <c r="EE10" s="437"/>
      <c r="EF10" s="437"/>
      <c r="EG10" s="423"/>
      <c r="EH10" s="423"/>
      <c r="EI10" s="423"/>
      <c r="EJ10" s="423"/>
      <c r="EK10" s="423"/>
      <c r="EL10" s="423"/>
      <c r="EM10" s="423"/>
      <c r="EN10" s="423"/>
      <c r="EO10" s="423"/>
      <c r="EP10" s="423"/>
      <c r="EQ10" s="423"/>
      <c r="ER10" s="423"/>
      <c r="ES10" s="423"/>
      <c r="ET10" s="423"/>
      <c r="EU10" s="423"/>
      <c r="EV10" s="423"/>
      <c r="EW10" s="423"/>
      <c r="EX10" s="423"/>
      <c r="EY10" s="423"/>
      <c r="EZ10" s="423"/>
      <c r="FA10" s="423"/>
      <c r="FB10" s="423"/>
      <c r="FC10" s="423"/>
      <c r="FD10" s="423"/>
      <c r="FE10" s="423"/>
      <c r="FF10" s="423"/>
      <c r="FG10" s="423"/>
      <c r="FH10" s="423"/>
      <c r="FI10" s="423"/>
      <c r="FJ10" s="423"/>
      <c r="FK10" s="423"/>
      <c r="FL10" s="423"/>
      <c r="FM10" s="423"/>
      <c r="FN10" s="423"/>
      <c r="FO10" s="423"/>
      <c r="FP10" s="423"/>
      <c r="FQ10" s="423"/>
      <c r="FR10" s="423"/>
      <c r="FS10" s="423"/>
      <c r="FT10" s="423"/>
      <c r="FU10" s="423"/>
      <c r="FV10" s="423"/>
      <c r="FW10" s="423"/>
      <c r="FX10" s="423"/>
      <c r="FY10" s="423"/>
      <c r="FZ10" s="423"/>
      <c r="GA10" s="423"/>
      <c r="GB10" s="423"/>
      <c r="GC10" s="423"/>
      <c r="GD10" s="423"/>
      <c r="GE10" s="423"/>
      <c r="GF10" s="423"/>
      <c r="GG10" s="423"/>
      <c r="GH10" s="423"/>
      <c r="GI10" s="423"/>
      <c r="GJ10" s="423"/>
      <c r="GK10" s="423"/>
      <c r="GL10" s="423"/>
      <c r="GM10" s="423"/>
      <c r="GN10" s="423"/>
      <c r="GO10" s="423"/>
      <c r="GP10" s="423"/>
      <c r="GQ10" s="423"/>
      <c r="GR10" s="423"/>
      <c r="GS10" s="423"/>
      <c r="GT10" s="423"/>
      <c r="GU10" s="423"/>
      <c r="GV10" s="423"/>
      <c r="GW10" s="423"/>
      <c r="GX10" s="423"/>
      <c r="GY10" s="423"/>
      <c r="GZ10" s="423"/>
      <c r="HA10" s="423"/>
      <c r="HB10" s="423"/>
      <c r="HC10" s="423"/>
      <c r="HD10" s="423"/>
      <c r="HE10" s="423"/>
      <c r="HF10" s="423"/>
      <c r="HG10" s="423"/>
      <c r="HH10" s="423"/>
      <c r="HI10" s="423"/>
      <c r="HJ10" s="423"/>
      <c r="HK10" s="423"/>
      <c r="HL10" s="423"/>
      <c r="HM10" s="423"/>
      <c r="HN10" s="423"/>
      <c r="HO10" s="423"/>
      <c r="HP10" s="423"/>
      <c r="HQ10" s="423"/>
      <c r="HR10" s="423"/>
      <c r="HS10" s="423"/>
      <c r="HT10" s="423"/>
      <c r="HU10" s="423"/>
      <c r="HV10" s="423"/>
      <c r="HW10" s="423"/>
      <c r="HX10" s="423"/>
      <c r="HY10" s="423"/>
      <c r="HZ10" s="423"/>
      <c r="IA10" s="423"/>
      <c r="IB10" s="423"/>
      <c r="IC10" s="423"/>
      <c r="ID10" s="423"/>
      <c r="IE10" s="423"/>
      <c r="IF10" s="423"/>
      <c r="IG10" s="423"/>
      <c r="IH10" s="423"/>
      <c r="II10" s="423"/>
      <c r="IJ10" s="423"/>
      <c r="IK10" s="423"/>
      <c r="IL10" s="423"/>
      <c r="IM10" s="423"/>
      <c r="IN10" s="423"/>
      <c r="IO10" s="423"/>
      <c r="IP10" s="423"/>
      <c r="IQ10" s="326"/>
      <c r="IR10" s="326"/>
      <c r="IS10" s="326"/>
      <c r="IT10" s="326"/>
    </row>
    <row r="11" spans="1:254" ht="21.95" customHeight="1">
      <c r="A11" s="301" t="s">
        <v>187</v>
      </c>
      <c r="B11" s="263" t="s">
        <v>128</v>
      </c>
      <c r="C11" s="421">
        <v>10</v>
      </c>
      <c r="D11" s="421">
        <v>10</v>
      </c>
      <c r="E11" s="311">
        <v>3904.97</v>
      </c>
      <c r="F11" s="314">
        <f>-D11+E11</f>
        <v>3894.97</v>
      </c>
      <c r="G11" s="421"/>
      <c r="H11" s="421"/>
      <c r="I11" s="421"/>
      <c r="J11" s="314">
        <f>-H11+I11</f>
        <v>0</v>
      </c>
      <c r="K11" s="421"/>
      <c r="L11" s="421"/>
      <c r="M11" s="421"/>
      <c r="N11" s="314">
        <f>-L11+M11</f>
        <v>0</v>
      </c>
      <c r="O11" s="421"/>
      <c r="P11" s="421"/>
      <c r="Q11" s="421"/>
      <c r="R11" s="314">
        <f>-P11+Q11</f>
        <v>0</v>
      </c>
      <c r="S11" s="421"/>
      <c r="T11" s="421"/>
      <c r="U11" s="421"/>
      <c r="V11" s="314">
        <f>-T11+U11</f>
        <v>0</v>
      </c>
      <c r="W11" s="421"/>
      <c r="X11" s="421"/>
      <c r="Y11" s="421"/>
      <c r="Z11" s="314">
        <f>-X11+Y11</f>
        <v>0</v>
      </c>
      <c r="AA11" s="421"/>
      <c r="AB11" s="421"/>
      <c r="AC11" s="421"/>
      <c r="AD11" s="314">
        <f>-AB11+AC11</f>
        <v>0</v>
      </c>
      <c r="AE11" s="421"/>
      <c r="AF11" s="421"/>
      <c r="AG11" s="421"/>
      <c r="AH11" s="314">
        <f>-AF11+AG11</f>
        <v>0</v>
      </c>
      <c r="AI11" s="421"/>
      <c r="AJ11" s="421"/>
      <c r="AK11" s="421"/>
      <c r="AL11" s="314">
        <f>-AJ11+AK11</f>
        <v>0</v>
      </c>
      <c r="AM11" s="421"/>
      <c r="AN11" s="421"/>
      <c r="AO11" s="421"/>
      <c r="AP11" s="314">
        <f>-AN11+AO11</f>
        <v>0</v>
      </c>
      <c r="AQ11" s="421"/>
      <c r="AR11" s="421"/>
      <c r="AS11" s="421"/>
      <c r="AT11" s="314">
        <f>-AR11+AS11</f>
        <v>0</v>
      </c>
      <c r="AU11" s="421"/>
      <c r="AV11" s="421"/>
      <c r="AW11" s="421"/>
      <c r="AX11" s="314">
        <f>-AV11+AW11</f>
        <v>0</v>
      </c>
      <c r="AY11" s="421"/>
      <c r="AZ11" s="421"/>
      <c r="BA11" s="421"/>
      <c r="BB11" s="314">
        <f>-AZ11+BA11</f>
        <v>0</v>
      </c>
      <c r="BC11" s="421"/>
      <c r="BD11" s="421"/>
      <c r="BE11" s="421"/>
      <c r="BF11" s="314">
        <f>-BD11+BE11</f>
        <v>0</v>
      </c>
      <c r="BG11" s="421"/>
      <c r="BH11" s="421"/>
      <c r="BI11" s="421"/>
      <c r="BJ11" s="314">
        <f>-BH11+BI11</f>
        <v>0</v>
      </c>
      <c r="BK11" s="421"/>
      <c r="BL11" s="421"/>
      <c r="BM11" s="421"/>
      <c r="BN11" s="314">
        <f>-BL11+BM11</f>
        <v>0</v>
      </c>
      <c r="BO11" s="421"/>
      <c r="BP11" s="421"/>
      <c r="BQ11" s="421"/>
      <c r="BR11" s="314">
        <f>-BP11+BQ11</f>
        <v>0</v>
      </c>
      <c r="BS11" s="421"/>
      <c r="BT11" s="421"/>
      <c r="BU11" s="421"/>
      <c r="BV11" s="314">
        <f>-BT11+BU11</f>
        <v>0</v>
      </c>
      <c r="BW11" s="421"/>
      <c r="BX11" s="421"/>
      <c r="BY11" s="421"/>
      <c r="BZ11" s="314">
        <f>-BX11+BY11</f>
        <v>0</v>
      </c>
      <c r="CA11" s="421"/>
      <c r="CB11" s="421"/>
      <c r="CC11" s="421"/>
      <c r="CD11" s="314">
        <f>-CB11+CC11</f>
        <v>0</v>
      </c>
      <c r="CE11" s="421"/>
      <c r="CF11" s="421"/>
      <c r="CG11" s="421"/>
      <c r="CH11" s="314">
        <f>-CF11+CG11</f>
        <v>0</v>
      </c>
      <c r="CI11" s="421"/>
      <c r="CJ11" s="421"/>
      <c r="CK11" s="421"/>
      <c r="CL11" s="314">
        <f>-CJ11+CK11</f>
        <v>0</v>
      </c>
      <c r="CM11" s="421"/>
      <c r="CN11" s="421"/>
      <c r="CO11" s="421"/>
      <c r="CP11" s="314">
        <f>-CN11+CO11</f>
        <v>0</v>
      </c>
      <c r="CQ11" s="421"/>
      <c r="CR11" s="421"/>
      <c r="CS11" s="421"/>
      <c r="CT11" s="314">
        <f>-CR11+CS11</f>
        <v>0</v>
      </c>
      <c r="CU11" s="421"/>
      <c r="CV11" s="421"/>
      <c r="CW11" s="421"/>
      <c r="CX11" s="314">
        <f>-CV11+CW11</f>
        <v>0</v>
      </c>
      <c r="CY11" s="421"/>
      <c r="CZ11" s="421"/>
      <c r="DA11" s="421"/>
      <c r="DB11" s="314">
        <f>-CZ11+DA11</f>
        <v>0</v>
      </c>
      <c r="DC11" s="421"/>
      <c r="DD11" s="421"/>
      <c r="DE11" s="421"/>
      <c r="DF11" s="314">
        <f>-DD11+DE11</f>
        <v>0</v>
      </c>
      <c r="DG11" s="421"/>
      <c r="DH11" s="421"/>
      <c r="DI11" s="421"/>
      <c r="DJ11" s="314">
        <f>-DH11+DI11</f>
        <v>0</v>
      </c>
      <c r="DK11" s="421"/>
      <c r="DL11" s="421"/>
      <c r="DM11" s="421"/>
      <c r="DN11" s="314">
        <f>-DL11+DM11</f>
        <v>0</v>
      </c>
      <c r="DO11" s="421"/>
      <c r="DP11" s="421"/>
      <c r="DQ11" s="421"/>
      <c r="DR11" s="314">
        <f>-DP11+DQ11</f>
        <v>0</v>
      </c>
      <c r="DS11" s="421"/>
      <c r="DT11" s="421"/>
      <c r="DU11" s="421"/>
      <c r="DV11" s="314">
        <f>-DT11+DU11</f>
        <v>0</v>
      </c>
      <c r="DW11" s="421"/>
      <c r="DX11" s="421"/>
      <c r="DY11" s="421"/>
      <c r="DZ11" s="314">
        <f>-DX11+DY11</f>
        <v>0</v>
      </c>
      <c r="EA11" s="421"/>
      <c r="EB11" s="421"/>
      <c r="EC11" s="421"/>
      <c r="ED11" s="314">
        <f>-EB11+EC11</f>
        <v>0</v>
      </c>
      <c r="EE11" s="421"/>
      <c r="EF11" s="421"/>
      <c r="EG11" s="421"/>
      <c r="EH11" s="314">
        <f>-EF11+EG11</f>
        <v>0</v>
      </c>
      <c r="EI11" s="421"/>
      <c r="EJ11" s="421"/>
      <c r="EK11" s="421"/>
      <c r="EL11" s="314">
        <f>-EJ11+EK11</f>
        <v>0</v>
      </c>
      <c r="EM11" s="421"/>
      <c r="EN11" s="421"/>
      <c r="EO11" s="421"/>
      <c r="EP11" s="314">
        <f>-EN11+EO11</f>
        <v>0</v>
      </c>
      <c r="EQ11" s="421"/>
      <c r="ER11" s="421"/>
      <c r="ES11" s="421"/>
      <c r="ET11" s="314">
        <f>-ER11+ES11</f>
        <v>0</v>
      </c>
      <c r="EU11" s="421"/>
      <c r="EV11" s="421"/>
      <c r="EW11" s="421"/>
      <c r="EX11" s="314">
        <f>-EV11+EW11</f>
        <v>0</v>
      </c>
      <c r="EY11" s="421"/>
      <c r="EZ11" s="421"/>
      <c r="FA11" s="421"/>
      <c r="FB11" s="314">
        <f>-EZ11+FA11</f>
        <v>0</v>
      </c>
      <c r="FC11" s="421"/>
      <c r="FD11" s="421"/>
      <c r="FE11" s="421"/>
      <c r="FF11" s="314">
        <f>-FD11+FE11</f>
        <v>0</v>
      </c>
      <c r="FG11" s="421"/>
      <c r="FH11" s="421"/>
      <c r="FI11" s="421"/>
      <c r="FJ11" s="314">
        <f>-FH11+FI11</f>
        <v>0</v>
      </c>
      <c r="FK11" s="421"/>
      <c r="FL11" s="421"/>
      <c r="FM11" s="421"/>
      <c r="FN11" s="314">
        <f>-FL11+FM11</f>
        <v>0</v>
      </c>
      <c r="FO11" s="421"/>
      <c r="FP11" s="421"/>
      <c r="FQ11" s="421"/>
      <c r="FR11" s="314">
        <f>-FP11+FQ11</f>
        <v>0</v>
      </c>
      <c r="FS11" s="421"/>
      <c r="FT11" s="421"/>
      <c r="FU11" s="421"/>
      <c r="FV11" s="314">
        <f>-FT11+FU11</f>
        <v>0</v>
      </c>
      <c r="FW11" s="421"/>
      <c r="FX11" s="421"/>
      <c r="FY11" s="421"/>
      <c r="FZ11" s="314">
        <f>-FX11+FY11</f>
        <v>0</v>
      </c>
      <c r="GA11" s="421"/>
      <c r="GB11" s="421"/>
      <c r="GC11" s="421"/>
      <c r="GD11" s="314">
        <f>-GB11+GC11</f>
        <v>0</v>
      </c>
      <c r="GE11" s="421"/>
      <c r="GF11" s="421"/>
      <c r="GG11" s="421"/>
      <c r="GH11" s="314">
        <f>-GF11+GG11</f>
        <v>0</v>
      </c>
      <c r="GI11" s="421"/>
      <c r="GJ11" s="421"/>
      <c r="GK11" s="421"/>
      <c r="GL11" s="314">
        <f>-GJ11+GK11</f>
        <v>0</v>
      </c>
      <c r="GM11" s="421"/>
      <c r="GN11" s="421"/>
      <c r="GO11" s="421"/>
      <c r="GP11" s="314">
        <f>-GN11+GO11</f>
        <v>0</v>
      </c>
      <c r="GQ11" s="421"/>
      <c r="GR11" s="421"/>
      <c r="GS11" s="421"/>
      <c r="GT11" s="314">
        <f>-GR11+GS11</f>
        <v>0</v>
      </c>
      <c r="GU11" s="421"/>
      <c r="GV11" s="421"/>
      <c r="GW11" s="421"/>
      <c r="GX11" s="314">
        <f>-GV11+GW11</f>
        <v>0</v>
      </c>
      <c r="GY11" s="421"/>
      <c r="GZ11" s="421"/>
      <c r="HA11" s="421"/>
      <c r="HB11" s="314">
        <f>-GZ11+HA11</f>
        <v>0</v>
      </c>
      <c r="HC11" s="421"/>
      <c r="HD11" s="421"/>
      <c r="HE11" s="421"/>
      <c r="HF11" s="314">
        <f>-HD11+HE11</f>
        <v>0</v>
      </c>
      <c r="HG11" s="421"/>
      <c r="HH11" s="421"/>
      <c r="HI11" s="421"/>
      <c r="HJ11" s="314">
        <f>-HH11+HI11</f>
        <v>0</v>
      </c>
      <c r="HK11" s="421"/>
      <c r="HL11" s="421"/>
      <c r="HM11" s="421"/>
      <c r="HN11" s="314">
        <f>-HL11+HM11</f>
        <v>0</v>
      </c>
      <c r="HO11" s="421"/>
      <c r="HP11" s="421"/>
      <c r="HQ11" s="421"/>
      <c r="HR11" s="314">
        <f>-HP11+HQ11</f>
        <v>0</v>
      </c>
      <c r="HS11" s="421"/>
      <c r="HT11" s="421"/>
      <c r="HU11" s="421"/>
      <c r="HV11" s="314">
        <f>-HT11+HU11</f>
        <v>0</v>
      </c>
      <c r="HW11" s="421"/>
      <c r="HX11" s="421"/>
      <c r="HY11" s="421"/>
      <c r="HZ11" s="314">
        <f>-HX11+HY11</f>
        <v>0</v>
      </c>
      <c r="IA11" s="421"/>
      <c r="IB11" s="421"/>
      <c r="IC11" s="421"/>
      <c r="ID11" s="314">
        <f>-IB11+IC11</f>
        <v>0</v>
      </c>
      <c r="IE11" s="421"/>
      <c r="IF11" s="421"/>
      <c r="IG11" s="421"/>
      <c r="IH11" s="314">
        <f>-IF11+IG11</f>
        <v>0</v>
      </c>
      <c r="II11" s="421"/>
      <c r="IJ11" s="421"/>
      <c r="IK11" s="421"/>
      <c r="IL11" s="314">
        <f>-IJ11+IK11</f>
        <v>0</v>
      </c>
      <c r="IM11" s="421"/>
      <c r="IN11" s="421"/>
      <c r="IO11" s="421"/>
      <c r="IP11" s="314">
        <f>-IN11+IO11</f>
        <v>0</v>
      </c>
      <c r="IQ11" s="277">
        <f t="shared" ref="IQ11:IT12" si="0">+C11+G11+K11+O11+S11+W11+AA11+AE11+AI11+AM11+AQ11+AU11+AY11+BC11+BG11+BK11+BO11+BS11+BW11+CA11+CE11+CI11+CM11+CQ11+CU11+CY11+DC11+DG11+DK11+DO11+DS11+DW11+EA11+EE11+EI11+EM11+EQ11+EU11+EY11+FC11+FG11+FK11+FO11+FS11+FW11+GA11+GE11+GI11+GM11+GQ11+GU11+GY11+HC11+HG11+HK11+HO11+HS11+HW11+IA11+IE11+II11+IM11</f>
        <v>10</v>
      </c>
      <c r="IR11" s="277">
        <f t="shared" si="0"/>
        <v>10</v>
      </c>
      <c r="IS11" s="277">
        <f t="shared" si="0"/>
        <v>3904.97</v>
      </c>
      <c r="IT11" s="277">
        <f t="shared" si="0"/>
        <v>3894.97</v>
      </c>
    </row>
    <row r="12" spans="1:254" ht="21.95" customHeight="1">
      <c r="A12" s="301">
        <v>314140</v>
      </c>
      <c r="B12" s="263" t="s">
        <v>129</v>
      </c>
      <c r="C12" s="269">
        <v>600</v>
      </c>
      <c r="D12" s="269">
        <v>600</v>
      </c>
      <c r="E12" s="269">
        <v>1416.67</v>
      </c>
      <c r="F12" s="314">
        <f>-D12+E12</f>
        <v>816.67000000000007</v>
      </c>
      <c r="G12" s="269">
        <v>15100</v>
      </c>
      <c r="H12" s="269">
        <v>15100</v>
      </c>
      <c r="I12" s="269">
        <v>15674.84</v>
      </c>
      <c r="J12" s="314">
        <f>-H12+I12</f>
        <v>574.84000000000015</v>
      </c>
      <c r="K12" s="269"/>
      <c r="L12" s="269"/>
      <c r="M12" s="269"/>
      <c r="N12" s="314">
        <f>-L12+M12</f>
        <v>0</v>
      </c>
      <c r="O12" s="269"/>
      <c r="P12" s="269"/>
      <c r="Q12" s="269"/>
      <c r="R12" s="314">
        <f>-P12+Q12</f>
        <v>0</v>
      </c>
      <c r="S12" s="269"/>
      <c r="T12" s="269"/>
      <c r="U12" s="269"/>
      <c r="V12" s="314">
        <f>-T12+U12</f>
        <v>0</v>
      </c>
      <c r="W12" s="269"/>
      <c r="X12" s="269"/>
      <c r="Y12" s="269"/>
      <c r="Z12" s="314">
        <f>-X12+Y12</f>
        <v>0</v>
      </c>
      <c r="AA12" s="269"/>
      <c r="AB12" s="269"/>
      <c r="AC12" s="269"/>
      <c r="AD12" s="314">
        <f>-AB12+AC12</f>
        <v>0</v>
      </c>
      <c r="AE12" s="269"/>
      <c r="AF12" s="269"/>
      <c r="AG12" s="269"/>
      <c r="AH12" s="314">
        <f>-AF12+AG12</f>
        <v>0</v>
      </c>
      <c r="AI12" s="269"/>
      <c r="AJ12" s="269"/>
      <c r="AK12" s="269"/>
      <c r="AL12" s="314">
        <f>-AJ12+AK12</f>
        <v>0</v>
      </c>
      <c r="AM12" s="269"/>
      <c r="AN12" s="269"/>
      <c r="AO12" s="269"/>
      <c r="AP12" s="314">
        <f>-AN12+AO12</f>
        <v>0</v>
      </c>
      <c r="AQ12" s="269"/>
      <c r="AR12" s="269"/>
      <c r="AS12" s="269"/>
      <c r="AT12" s="314">
        <f>-AR12+AS12</f>
        <v>0</v>
      </c>
      <c r="AU12" s="269"/>
      <c r="AV12" s="269"/>
      <c r="AW12" s="269"/>
      <c r="AX12" s="314">
        <f>-AV12+AW12</f>
        <v>0</v>
      </c>
      <c r="AY12" s="269"/>
      <c r="AZ12" s="269"/>
      <c r="BA12" s="269"/>
      <c r="BB12" s="314">
        <f>-AZ12+BA12</f>
        <v>0</v>
      </c>
      <c r="BC12" s="269"/>
      <c r="BD12" s="269"/>
      <c r="BE12" s="269"/>
      <c r="BF12" s="314">
        <f>-BD12+BE12</f>
        <v>0</v>
      </c>
      <c r="BG12" s="269"/>
      <c r="BH12" s="269"/>
      <c r="BI12" s="269"/>
      <c r="BJ12" s="314">
        <f>-BH12+BI12</f>
        <v>0</v>
      </c>
      <c r="BK12" s="269"/>
      <c r="BL12" s="269"/>
      <c r="BM12" s="269"/>
      <c r="BN12" s="314">
        <f>-BL12+BM12</f>
        <v>0</v>
      </c>
      <c r="BO12" s="269"/>
      <c r="BP12" s="269"/>
      <c r="BQ12" s="269"/>
      <c r="BR12" s="314">
        <f>-BP12+BQ12</f>
        <v>0</v>
      </c>
      <c r="BS12" s="269"/>
      <c r="BT12" s="269"/>
      <c r="BU12" s="269"/>
      <c r="BV12" s="314">
        <f>-BT12+BU12</f>
        <v>0</v>
      </c>
      <c r="BW12" s="269"/>
      <c r="BX12" s="269"/>
      <c r="BY12" s="269"/>
      <c r="BZ12" s="314">
        <f>-BX12+BY12</f>
        <v>0</v>
      </c>
      <c r="CA12" s="269"/>
      <c r="CB12" s="269"/>
      <c r="CC12" s="269"/>
      <c r="CD12" s="314">
        <f>-CB12+CC12</f>
        <v>0</v>
      </c>
      <c r="CE12" s="269"/>
      <c r="CF12" s="269"/>
      <c r="CG12" s="269"/>
      <c r="CH12" s="314">
        <f>-CF12+CG12</f>
        <v>0</v>
      </c>
      <c r="CI12" s="269"/>
      <c r="CJ12" s="269"/>
      <c r="CK12" s="269"/>
      <c r="CL12" s="314">
        <f>-CJ12+CK12</f>
        <v>0</v>
      </c>
      <c r="CM12" s="269"/>
      <c r="CN12" s="269"/>
      <c r="CO12" s="269"/>
      <c r="CP12" s="314">
        <f>-CN12+CO12</f>
        <v>0</v>
      </c>
      <c r="CQ12" s="269"/>
      <c r="CR12" s="269"/>
      <c r="CS12" s="269"/>
      <c r="CT12" s="314">
        <f>-CR12+CS12</f>
        <v>0</v>
      </c>
      <c r="CU12" s="269"/>
      <c r="CV12" s="269"/>
      <c r="CW12" s="269"/>
      <c r="CX12" s="314">
        <f>-CV12+CW12</f>
        <v>0</v>
      </c>
      <c r="CY12" s="269"/>
      <c r="CZ12" s="269"/>
      <c r="DA12" s="269"/>
      <c r="DB12" s="314">
        <f>-CZ12+DA12</f>
        <v>0</v>
      </c>
      <c r="DC12" s="269"/>
      <c r="DD12" s="269"/>
      <c r="DE12" s="269"/>
      <c r="DF12" s="314">
        <f>-DD12+DE12</f>
        <v>0</v>
      </c>
      <c r="DG12" s="269"/>
      <c r="DH12" s="269"/>
      <c r="DI12" s="269"/>
      <c r="DJ12" s="314">
        <f>-DH12+DI12</f>
        <v>0</v>
      </c>
      <c r="DK12" s="269"/>
      <c r="DL12" s="269"/>
      <c r="DM12" s="269"/>
      <c r="DN12" s="314">
        <f>-DL12+DM12</f>
        <v>0</v>
      </c>
      <c r="DO12" s="269"/>
      <c r="DP12" s="269"/>
      <c r="DQ12" s="269"/>
      <c r="DR12" s="314">
        <f>-DP12+DQ12</f>
        <v>0</v>
      </c>
      <c r="DS12" s="269"/>
      <c r="DT12" s="269"/>
      <c r="DU12" s="269"/>
      <c r="DV12" s="314">
        <f>-DT12+DU12</f>
        <v>0</v>
      </c>
      <c r="DW12" s="269"/>
      <c r="DX12" s="269"/>
      <c r="DY12" s="269"/>
      <c r="DZ12" s="314">
        <f>-DX12+DY12</f>
        <v>0</v>
      </c>
      <c r="EA12" s="269"/>
      <c r="EB12" s="269"/>
      <c r="EC12" s="269"/>
      <c r="ED12" s="314">
        <f>-EB12+EC12</f>
        <v>0</v>
      </c>
      <c r="EE12" s="269"/>
      <c r="EF12" s="269"/>
      <c r="EG12" s="269"/>
      <c r="EH12" s="314">
        <f>-EF12+EG12</f>
        <v>0</v>
      </c>
      <c r="EI12" s="269"/>
      <c r="EJ12" s="269"/>
      <c r="EK12" s="269"/>
      <c r="EL12" s="314">
        <f>-EJ12+EK12</f>
        <v>0</v>
      </c>
      <c r="EM12" s="269"/>
      <c r="EN12" s="269"/>
      <c r="EO12" s="269"/>
      <c r="EP12" s="314">
        <f>-EN12+EO12</f>
        <v>0</v>
      </c>
      <c r="EQ12" s="269"/>
      <c r="ER12" s="269"/>
      <c r="ES12" s="269"/>
      <c r="ET12" s="314">
        <f>-ER12+ES12</f>
        <v>0</v>
      </c>
      <c r="EU12" s="269"/>
      <c r="EV12" s="269"/>
      <c r="EW12" s="269"/>
      <c r="EX12" s="314">
        <f>-EV12+EW12</f>
        <v>0</v>
      </c>
      <c r="EY12" s="269"/>
      <c r="EZ12" s="269"/>
      <c r="FA12" s="269"/>
      <c r="FB12" s="314">
        <f>-EZ12+FA12</f>
        <v>0</v>
      </c>
      <c r="FC12" s="269"/>
      <c r="FD12" s="269"/>
      <c r="FE12" s="269"/>
      <c r="FF12" s="314">
        <f>-FD12+FE12</f>
        <v>0</v>
      </c>
      <c r="FG12" s="269"/>
      <c r="FH12" s="269"/>
      <c r="FI12" s="269"/>
      <c r="FJ12" s="314">
        <f>-FH12+FI12</f>
        <v>0</v>
      </c>
      <c r="FK12" s="269"/>
      <c r="FL12" s="269"/>
      <c r="FM12" s="269"/>
      <c r="FN12" s="314">
        <f>-FL12+FM12</f>
        <v>0</v>
      </c>
      <c r="FO12" s="269"/>
      <c r="FP12" s="269"/>
      <c r="FQ12" s="269"/>
      <c r="FR12" s="314">
        <f>-FP12+FQ12</f>
        <v>0</v>
      </c>
      <c r="FS12" s="269"/>
      <c r="FT12" s="269"/>
      <c r="FU12" s="269"/>
      <c r="FV12" s="314">
        <f>-FT12+FU12</f>
        <v>0</v>
      </c>
      <c r="FW12" s="269"/>
      <c r="FX12" s="269"/>
      <c r="FY12" s="269"/>
      <c r="FZ12" s="314">
        <f>-FX12+FY12</f>
        <v>0</v>
      </c>
      <c r="GA12" s="269"/>
      <c r="GB12" s="269"/>
      <c r="GC12" s="269"/>
      <c r="GD12" s="314">
        <f>-GB12+GC12</f>
        <v>0</v>
      </c>
      <c r="GE12" s="269"/>
      <c r="GF12" s="269"/>
      <c r="GG12" s="269"/>
      <c r="GH12" s="314">
        <f>-GF12+GG12</f>
        <v>0</v>
      </c>
      <c r="GI12" s="269"/>
      <c r="GJ12" s="269"/>
      <c r="GK12" s="269"/>
      <c r="GL12" s="314">
        <f>-GJ12+GK12</f>
        <v>0</v>
      </c>
      <c r="GM12" s="269"/>
      <c r="GN12" s="269"/>
      <c r="GO12" s="269"/>
      <c r="GP12" s="314">
        <f>-GN12+GO12</f>
        <v>0</v>
      </c>
      <c r="GQ12" s="269"/>
      <c r="GR12" s="269"/>
      <c r="GS12" s="269"/>
      <c r="GT12" s="314">
        <f>-GR12+GS12</f>
        <v>0</v>
      </c>
      <c r="GU12" s="269"/>
      <c r="GV12" s="269"/>
      <c r="GW12" s="269"/>
      <c r="GX12" s="314">
        <f>-GV12+GW12</f>
        <v>0</v>
      </c>
      <c r="GY12" s="269"/>
      <c r="GZ12" s="269"/>
      <c r="HA12" s="269"/>
      <c r="HB12" s="314">
        <f>-GZ12+HA12</f>
        <v>0</v>
      </c>
      <c r="HC12" s="269"/>
      <c r="HD12" s="269"/>
      <c r="HE12" s="269"/>
      <c r="HF12" s="314">
        <f>-HD12+HE12</f>
        <v>0</v>
      </c>
      <c r="HG12" s="269"/>
      <c r="HH12" s="269"/>
      <c r="HI12" s="269"/>
      <c r="HJ12" s="314">
        <f>-HH12+HI12</f>
        <v>0</v>
      </c>
      <c r="HK12" s="269"/>
      <c r="HL12" s="269"/>
      <c r="HM12" s="269"/>
      <c r="HN12" s="314">
        <f>-HL12+HM12</f>
        <v>0</v>
      </c>
      <c r="HO12" s="269"/>
      <c r="HP12" s="269"/>
      <c r="HQ12" s="269"/>
      <c r="HR12" s="314">
        <f>-HP12+HQ12</f>
        <v>0</v>
      </c>
      <c r="HS12" s="269"/>
      <c r="HT12" s="269"/>
      <c r="HU12" s="269"/>
      <c r="HV12" s="314">
        <f>-HT12+HU12</f>
        <v>0</v>
      </c>
      <c r="HW12" s="269"/>
      <c r="HX12" s="269"/>
      <c r="HY12" s="269"/>
      <c r="HZ12" s="314">
        <f>-HX12+HY12</f>
        <v>0</v>
      </c>
      <c r="IA12" s="269"/>
      <c r="IB12" s="269"/>
      <c r="IC12" s="269"/>
      <c r="ID12" s="314">
        <f>-IB12+IC12</f>
        <v>0</v>
      </c>
      <c r="IE12" s="269"/>
      <c r="IF12" s="269"/>
      <c r="IG12" s="269"/>
      <c r="IH12" s="314">
        <f>-IF12+IG12</f>
        <v>0</v>
      </c>
      <c r="II12" s="269"/>
      <c r="IJ12" s="269"/>
      <c r="IK12" s="269"/>
      <c r="IL12" s="314">
        <f>-IJ12+IK12</f>
        <v>0</v>
      </c>
      <c r="IM12" s="269"/>
      <c r="IN12" s="269"/>
      <c r="IO12" s="269"/>
      <c r="IP12" s="314">
        <f>-IN12+IO12</f>
        <v>0</v>
      </c>
      <c r="IQ12" s="277">
        <f t="shared" si="0"/>
        <v>15700</v>
      </c>
      <c r="IR12" s="277">
        <f t="shared" si="0"/>
        <v>15700</v>
      </c>
      <c r="IS12" s="277">
        <f t="shared" si="0"/>
        <v>17091.510000000002</v>
      </c>
      <c r="IT12" s="277">
        <f t="shared" si="0"/>
        <v>1391.5100000000002</v>
      </c>
    </row>
    <row r="13" spans="1:254" ht="21.95" customHeight="1">
      <c r="A13" s="429"/>
      <c r="B13" s="431" t="s">
        <v>209</v>
      </c>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7"/>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7"/>
      <c r="EU13" s="277"/>
      <c r="EV13" s="277"/>
      <c r="EW13" s="277"/>
      <c r="EX13" s="277"/>
      <c r="EY13" s="277"/>
      <c r="EZ13" s="277"/>
      <c r="FA13" s="277"/>
      <c r="FB13" s="277"/>
      <c r="FC13" s="277"/>
      <c r="FD13" s="277"/>
      <c r="FE13" s="277"/>
      <c r="FF13" s="277"/>
      <c r="FG13" s="277"/>
      <c r="FH13" s="277"/>
      <c r="FI13" s="277"/>
      <c r="FJ13" s="277"/>
      <c r="FK13" s="277"/>
      <c r="FL13" s="277"/>
      <c r="FM13" s="277"/>
      <c r="FN13" s="277"/>
      <c r="FO13" s="277"/>
      <c r="FP13" s="277"/>
      <c r="FQ13" s="277"/>
      <c r="FR13" s="277"/>
      <c r="FS13" s="277"/>
      <c r="FT13" s="277"/>
      <c r="FU13" s="277"/>
      <c r="FV13" s="277"/>
      <c r="FW13" s="277"/>
      <c r="FX13" s="277"/>
      <c r="FY13" s="277"/>
      <c r="FZ13" s="277"/>
      <c r="GA13" s="277"/>
      <c r="GB13" s="277"/>
      <c r="GC13" s="277"/>
      <c r="GD13" s="277"/>
      <c r="GE13" s="277"/>
      <c r="GF13" s="277"/>
      <c r="GG13" s="277"/>
      <c r="GH13" s="277"/>
      <c r="GI13" s="277"/>
      <c r="GJ13" s="277"/>
      <c r="GK13" s="277"/>
      <c r="GL13" s="277"/>
      <c r="GM13" s="277"/>
      <c r="GN13" s="277"/>
      <c r="GO13" s="277"/>
      <c r="GP13" s="277"/>
      <c r="GQ13" s="277"/>
      <c r="GR13" s="277"/>
      <c r="GS13" s="277"/>
      <c r="GT13" s="277"/>
      <c r="GU13" s="277"/>
      <c r="GV13" s="277"/>
      <c r="GW13" s="277"/>
      <c r="GX13" s="277"/>
      <c r="GY13" s="277"/>
      <c r="GZ13" s="277"/>
      <c r="HA13" s="277"/>
      <c r="HB13" s="277"/>
      <c r="HC13" s="277"/>
      <c r="HD13" s="277"/>
      <c r="HE13" s="277"/>
      <c r="HF13" s="277"/>
      <c r="HG13" s="277"/>
      <c r="HH13" s="277"/>
      <c r="HI13" s="277"/>
      <c r="HJ13" s="277"/>
      <c r="HK13" s="277"/>
      <c r="HL13" s="277"/>
      <c r="HM13" s="277"/>
      <c r="HN13" s="277"/>
      <c r="HO13" s="277"/>
      <c r="HP13" s="277"/>
      <c r="HQ13" s="277"/>
      <c r="HR13" s="277"/>
      <c r="HS13" s="277"/>
      <c r="HT13" s="277"/>
      <c r="HU13" s="277"/>
      <c r="HV13" s="277"/>
      <c r="HW13" s="277"/>
      <c r="HX13" s="277"/>
      <c r="HY13" s="277"/>
      <c r="HZ13" s="277"/>
      <c r="IA13" s="277"/>
      <c r="IB13" s="277"/>
      <c r="IC13" s="277"/>
      <c r="ID13" s="277"/>
      <c r="IE13" s="277"/>
      <c r="IF13" s="277"/>
      <c r="IG13" s="277"/>
      <c r="IH13" s="277"/>
      <c r="II13" s="277"/>
      <c r="IJ13" s="277"/>
      <c r="IK13" s="277"/>
      <c r="IL13" s="277"/>
      <c r="IM13" s="277"/>
      <c r="IN13" s="277"/>
      <c r="IO13" s="277"/>
      <c r="IP13" s="277"/>
      <c r="IQ13" s="277"/>
      <c r="IR13" s="277"/>
      <c r="IS13" s="277"/>
      <c r="IT13" s="277"/>
    </row>
    <row r="14" spans="1:254" ht="21.95" customHeight="1">
      <c r="A14" s="301">
        <v>322010</v>
      </c>
      <c r="B14" s="263" t="s">
        <v>485</v>
      </c>
      <c r="C14" s="269"/>
      <c r="D14" s="269"/>
      <c r="E14" s="269"/>
      <c r="F14" s="314">
        <f>-D14+E14</f>
        <v>0</v>
      </c>
      <c r="G14" s="269"/>
      <c r="H14" s="269"/>
      <c r="I14" s="269"/>
      <c r="J14" s="314">
        <f>-H14+I14</f>
        <v>0</v>
      </c>
      <c r="K14" s="269"/>
      <c r="L14" s="269"/>
      <c r="M14" s="269"/>
      <c r="N14" s="314">
        <f>-L14+M14</f>
        <v>0</v>
      </c>
      <c r="O14" s="269"/>
      <c r="P14" s="269"/>
      <c r="Q14" s="269"/>
      <c r="R14" s="314">
        <f>-P14+Q14</f>
        <v>0</v>
      </c>
      <c r="S14" s="269"/>
      <c r="T14" s="269"/>
      <c r="U14" s="269"/>
      <c r="V14" s="314">
        <f>-T14+U14</f>
        <v>0</v>
      </c>
      <c r="W14" s="269"/>
      <c r="X14" s="269"/>
      <c r="Y14" s="269"/>
      <c r="Z14" s="314">
        <f>-X14+Y14</f>
        <v>0</v>
      </c>
      <c r="AA14" s="269"/>
      <c r="AB14" s="269"/>
      <c r="AC14" s="269"/>
      <c r="AD14" s="314">
        <f>-AB14+AC14</f>
        <v>0</v>
      </c>
      <c r="AE14" s="269"/>
      <c r="AF14" s="269"/>
      <c r="AG14" s="269"/>
      <c r="AH14" s="314">
        <f>-AF14+AG14</f>
        <v>0</v>
      </c>
      <c r="AI14" s="269"/>
      <c r="AJ14" s="269"/>
      <c r="AK14" s="269"/>
      <c r="AL14" s="314">
        <f>-AJ14+AK14</f>
        <v>0</v>
      </c>
      <c r="AM14" s="269"/>
      <c r="AN14" s="269"/>
      <c r="AO14" s="269"/>
      <c r="AP14" s="314">
        <f>-AN14+AO14</f>
        <v>0</v>
      </c>
      <c r="AQ14" s="269"/>
      <c r="AR14" s="269"/>
      <c r="AS14" s="269"/>
      <c r="AT14" s="314">
        <f>-AR14+AS14</f>
        <v>0</v>
      </c>
      <c r="AU14" s="269"/>
      <c r="AV14" s="269"/>
      <c r="AW14" s="269"/>
      <c r="AX14" s="314">
        <f>-AV14+AW14</f>
        <v>0</v>
      </c>
      <c r="AY14" s="269"/>
      <c r="AZ14" s="269"/>
      <c r="BA14" s="269"/>
      <c r="BB14" s="314">
        <f>-AZ14+BA14</f>
        <v>0</v>
      </c>
      <c r="BC14" s="269"/>
      <c r="BD14" s="269"/>
      <c r="BE14" s="269"/>
      <c r="BF14" s="314">
        <f>-BD14+BE14</f>
        <v>0</v>
      </c>
      <c r="BG14" s="269"/>
      <c r="BH14" s="269"/>
      <c r="BI14" s="269"/>
      <c r="BJ14" s="314">
        <f>-BH14+BI14</f>
        <v>0</v>
      </c>
      <c r="BK14" s="269"/>
      <c r="BL14" s="269"/>
      <c r="BM14" s="269"/>
      <c r="BN14" s="314">
        <f>-BL14+BM14</f>
        <v>0</v>
      </c>
      <c r="BO14" s="269"/>
      <c r="BP14" s="269"/>
      <c r="BQ14" s="269"/>
      <c r="BR14" s="314">
        <f>-BP14+BQ14</f>
        <v>0</v>
      </c>
      <c r="BS14" s="269"/>
      <c r="BT14" s="269"/>
      <c r="BU14" s="269"/>
      <c r="BV14" s="314">
        <f>-BT14+BU14</f>
        <v>0</v>
      </c>
      <c r="BW14" s="269"/>
      <c r="BX14" s="269"/>
      <c r="BY14" s="269"/>
      <c r="BZ14" s="314">
        <f>-BX14+BY14</f>
        <v>0</v>
      </c>
      <c r="CA14" s="269"/>
      <c r="CB14" s="269"/>
      <c r="CC14" s="269"/>
      <c r="CD14" s="314">
        <f>-CB14+CC14</f>
        <v>0</v>
      </c>
      <c r="CE14" s="269"/>
      <c r="CF14" s="269"/>
      <c r="CG14" s="269"/>
      <c r="CH14" s="314">
        <f>-CF14+CG14</f>
        <v>0</v>
      </c>
      <c r="CI14" s="269"/>
      <c r="CJ14" s="269"/>
      <c r="CK14" s="269"/>
      <c r="CL14" s="314">
        <f>-CJ14+CK14</f>
        <v>0</v>
      </c>
      <c r="CM14" s="269"/>
      <c r="CN14" s="269"/>
      <c r="CO14" s="269"/>
      <c r="CP14" s="314">
        <f>-CN14+CO14</f>
        <v>0</v>
      </c>
      <c r="CQ14" s="269"/>
      <c r="CR14" s="269"/>
      <c r="CS14" s="269"/>
      <c r="CT14" s="314">
        <f>-CR14+CS14</f>
        <v>0</v>
      </c>
      <c r="CU14" s="269"/>
      <c r="CV14" s="269"/>
      <c r="CW14" s="269"/>
      <c r="CX14" s="314">
        <f>-CV14+CW14</f>
        <v>0</v>
      </c>
      <c r="CY14" s="269"/>
      <c r="CZ14" s="269"/>
      <c r="DA14" s="269"/>
      <c r="DB14" s="314">
        <f>-CZ14+DA14</f>
        <v>0</v>
      </c>
      <c r="DC14" s="269"/>
      <c r="DD14" s="269"/>
      <c r="DE14" s="269"/>
      <c r="DF14" s="314">
        <f>-DD14+DE14</f>
        <v>0</v>
      </c>
      <c r="DG14" s="269"/>
      <c r="DH14" s="269"/>
      <c r="DI14" s="269"/>
      <c r="DJ14" s="314">
        <f>-DH14+DI14</f>
        <v>0</v>
      </c>
      <c r="DK14" s="269"/>
      <c r="DL14" s="269"/>
      <c r="DM14" s="269"/>
      <c r="DN14" s="314">
        <f>-DL14+DM14</f>
        <v>0</v>
      </c>
      <c r="DO14" s="269"/>
      <c r="DP14" s="269"/>
      <c r="DQ14" s="269"/>
      <c r="DR14" s="314">
        <f>-DP14+DQ14</f>
        <v>0</v>
      </c>
      <c r="DS14" s="269"/>
      <c r="DT14" s="269"/>
      <c r="DU14" s="269"/>
      <c r="DV14" s="314">
        <f>-DT14+DU14</f>
        <v>0</v>
      </c>
      <c r="DW14" s="269"/>
      <c r="DX14" s="269"/>
      <c r="DY14" s="269"/>
      <c r="DZ14" s="314">
        <f>-DX14+DY14</f>
        <v>0</v>
      </c>
      <c r="EA14" s="269"/>
      <c r="EB14" s="269"/>
      <c r="EC14" s="269"/>
      <c r="ED14" s="314">
        <f>-EB14+EC14</f>
        <v>0</v>
      </c>
      <c r="EE14" s="269"/>
      <c r="EF14" s="269"/>
      <c r="EG14" s="269"/>
      <c r="EH14" s="314">
        <f>-EF14+EG14</f>
        <v>0</v>
      </c>
      <c r="EI14" s="269"/>
      <c r="EJ14" s="269"/>
      <c r="EK14" s="269"/>
      <c r="EL14" s="314">
        <f>-EJ14+EK14</f>
        <v>0</v>
      </c>
      <c r="EM14" s="269"/>
      <c r="EN14" s="269"/>
      <c r="EO14" s="269"/>
      <c r="EP14" s="314">
        <f>-EN14+EO14</f>
        <v>0</v>
      </c>
      <c r="EQ14" s="269"/>
      <c r="ER14" s="269"/>
      <c r="ES14" s="269"/>
      <c r="ET14" s="314">
        <f>-ER14+ES14</f>
        <v>0</v>
      </c>
      <c r="EU14" s="269"/>
      <c r="EV14" s="269"/>
      <c r="EW14" s="269"/>
      <c r="EX14" s="314">
        <f>-EV14+EW14</f>
        <v>0</v>
      </c>
      <c r="EY14" s="269"/>
      <c r="EZ14" s="269"/>
      <c r="FA14" s="269"/>
      <c r="FB14" s="314">
        <f>-EZ14+FA14</f>
        <v>0</v>
      </c>
      <c r="FC14" s="269"/>
      <c r="FD14" s="269"/>
      <c r="FE14" s="269"/>
      <c r="FF14" s="314">
        <f>-FD14+FE14</f>
        <v>0</v>
      </c>
      <c r="FG14" s="269"/>
      <c r="FH14" s="269"/>
      <c r="FI14" s="269"/>
      <c r="FJ14" s="314">
        <f>-FH14+FI14</f>
        <v>0</v>
      </c>
      <c r="FK14" s="269"/>
      <c r="FL14" s="269"/>
      <c r="FM14" s="269"/>
      <c r="FN14" s="314">
        <f>-FL14+FM14</f>
        <v>0</v>
      </c>
      <c r="FO14" s="269"/>
      <c r="FP14" s="269"/>
      <c r="FQ14" s="269"/>
      <c r="FR14" s="314">
        <f>-FP14+FQ14</f>
        <v>0</v>
      </c>
      <c r="FS14" s="269"/>
      <c r="FT14" s="269"/>
      <c r="FU14" s="269"/>
      <c r="FV14" s="314">
        <f>-FT14+FU14</f>
        <v>0</v>
      </c>
      <c r="FW14" s="269"/>
      <c r="FX14" s="269"/>
      <c r="FY14" s="269"/>
      <c r="FZ14" s="314">
        <f>-FX14+FY14</f>
        <v>0</v>
      </c>
      <c r="GA14" s="269"/>
      <c r="GB14" s="269"/>
      <c r="GC14" s="269"/>
      <c r="GD14" s="314">
        <f>-GB14+GC14</f>
        <v>0</v>
      </c>
      <c r="GE14" s="269"/>
      <c r="GF14" s="269"/>
      <c r="GG14" s="269"/>
      <c r="GH14" s="314">
        <f>-GF14+GG14</f>
        <v>0</v>
      </c>
      <c r="GI14" s="269"/>
      <c r="GJ14" s="269"/>
      <c r="GK14" s="269"/>
      <c r="GL14" s="314">
        <f>-GJ14+GK14</f>
        <v>0</v>
      </c>
      <c r="GM14" s="269"/>
      <c r="GN14" s="269"/>
      <c r="GO14" s="269"/>
      <c r="GP14" s="314">
        <f>-GN14+GO14</f>
        <v>0</v>
      </c>
      <c r="GQ14" s="269"/>
      <c r="GR14" s="269"/>
      <c r="GS14" s="269"/>
      <c r="GT14" s="314">
        <f>-GR14+GS14</f>
        <v>0</v>
      </c>
      <c r="GU14" s="269"/>
      <c r="GV14" s="269"/>
      <c r="GW14" s="269"/>
      <c r="GX14" s="314">
        <f>-GV14+GW14</f>
        <v>0</v>
      </c>
      <c r="GY14" s="269"/>
      <c r="GZ14" s="269"/>
      <c r="HA14" s="269"/>
      <c r="HB14" s="314">
        <f>-GZ14+HA14</f>
        <v>0</v>
      </c>
      <c r="HC14" s="269"/>
      <c r="HD14" s="269"/>
      <c r="HE14" s="269"/>
      <c r="HF14" s="314">
        <f>-HD14+HE14</f>
        <v>0</v>
      </c>
      <c r="HG14" s="269"/>
      <c r="HH14" s="269"/>
      <c r="HI14" s="269"/>
      <c r="HJ14" s="314">
        <f>-HH14+HI14</f>
        <v>0</v>
      </c>
      <c r="HK14" s="269"/>
      <c r="HL14" s="269"/>
      <c r="HM14" s="269"/>
      <c r="HN14" s="314">
        <f>-HL14+HM14</f>
        <v>0</v>
      </c>
      <c r="HO14" s="269"/>
      <c r="HP14" s="269"/>
      <c r="HQ14" s="269"/>
      <c r="HR14" s="314">
        <f>-HP14+HQ14</f>
        <v>0</v>
      </c>
      <c r="HS14" s="269"/>
      <c r="HT14" s="269"/>
      <c r="HU14" s="269"/>
      <c r="HV14" s="314">
        <f>-HT14+HU14</f>
        <v>0</v>
      </c>
      <c r="HW14" s="269"/>
      <c r="HX14" s="269"/>
      <c r="HY14" s="269"/>
      <c r="HZ14" s="314">
        <f>-HX14+HY14</f>
        <v>0</v>
      </c>
      <c r="IA14" s="269"/>
      <c r="IB14" s="269"/>
      <c r="IC14" s="269"/>
      <c r="ID14" s="314">
        <f>-IB14+IC14</f>
        <v>0</v>
      </c>
      <c r="IE14" s="269"/>
      <c r="IF14" s="269"/>
      <c r="IG14" s="269"/>
      <c r="IH14" s="314">
        <f>-IF14+IG14</f>
        <v>0</v>
      </c>
      <c r="II14" s="269"/>
      <c r="IJ14" s="269"/>
      <c r="IK14" s="269"/>
      <c r="IL14" s="314">
        <f>-IJ14+IK14</f>
        <v>0</v>
      </c>
      <c r="IM14" s="269"/>
      <c r="IN14" s="269"/>
      <c r="IO14" s="269"/>
      <c r="IP14" s="314">
        <f>-IN14+IO14</f>
        <v>0</v>
      </c>
      <c r="IQ14" s="277">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77">
        <f t="shared" si="1"/>
        <v>0</v>
      </c>
      <c r="IS14" s="277">
        <f t="shared" si="1"/>
        <v>0</v>
      </c>
      <c r="IT14" s="277">
        <f t="shared" si="1"/>
        <v>0</v>
      </c>
    </row>
    <row r="15" spans="1:254" ht="21.95" customHeight="1">
      <c r="A15" s="301">
        <v>322020</v>
      </c>
      <c r="B15" s="263" t="s">
        <v>131</v>
      </c>
      <c r="C15" s="269"/>
      <c r="D15" s="269"/>
      <c r="E15" s="269"/>
      <c r="F15" s="314">
        <f>-D15+E15</f>
        <v>0</v>
      </c>
      <c r="G15" s="269"/>
      <c r="H15" s="269"/>
      <c r="I15" s="269"/>
      <c r="J15" s="314">
        <f>-H15+I15</f>
        <v>0</v>
      </c>
      <c r="K15" s="269"/>
      <c r="L15" s="269"/>
      <c r="M15" s="269"/>
      <c r="N15" s="314">
        <f>-L15+M15</f>
        <v>0</v>
      </c>
      <c r="O15" s="269"/>
      <c r="P15" s="269"/>
      <c r="Q15" s="269"/>
      <c r="R15" s="314">
        <f>-P15+Q15</f>
        <v>0</v>
      </c>
      <c r="S15" s="269"/>
      <c r="T15" s="269"/>
      <c r="U15" s="269"/>
      <c r="V15" s="314">
        <f>-T15+U15</f>
        <v>0</v>
      </c>
      <c r="W15" s="269"/>
      <c r="X15" s="269"/>
      <c r="Y15" s="269"/>
      <c r="Z15" s="314">
        <f>-X15+Y15</f>
        <v>0</v>
      </c>
      <c r="AA15" s="269"/>
      <c r="AB15" s="269"/>
      <c r="AC15" s="269"/>
      <c r="AD15" s="314">
        <f>-AB15+AC15</f>
        <v>0</v>
      </c>
      <c r="AE15" s="269"/>
      <c r="AF15" s="269"/>
      <c r="AG15" s="269"/>
      <c r="AH15" s="314">
        <f>-AF15+AG15</f>
        <v>0</v>
      </c>
      <c r="AI15" s="269"/>
      <c r="AJ15" s="269"/>
      <c r="AK15" s="269"/>
      <c r="AL15" s="314">
        <f>-AJ15+AK15</f>
        <v>0</v>
      </c>
      <c r="AM15" s="269"/>
      <c r="AN15" s="269"/>
      <c r="AO15" s="269"/>
      <c r="AP15" s="314">
        <f>-AN15+AO15</f>
        <v>0</v>
      </c>
      <c r="AQ15" s="269"/>
      <c r="AR15" s="269"/>
      <c r="AS15" s="269"/>
      <c r="AT15" s="314">
        <f>-AR15+AS15</f>
        <v>0</v>
      </c>
      <c r="AU15" s="269"/>
      <c r="AV15" s="269"/>
      <c r="AW15" s="269"/>
      <c r="AX15" s="314">
        <f>-AV15+AW15</f>
        <v>0</v>
      </c>
      <c r="AY15" s="269"/>
      <c r="AZ15" s="269"/>
      <c r="BA15" s="269"/>
      <c r="BB15" s="314">
        <f>-AZ15+BA15</f>
        <v>0</v>
      </c>
      <c r="BC15" s="269"/>
      <c r="BD15" s="269"/>
      <c r="BE15" s="269"/>
      <c r="BF15" s="314">
        <f>-BD15+BE15</f>
        <v>0</v>
      </c>
      <c r="BG15" s="269"/>
      <c r="BH15" s="269"/>
      <c r="BI15" s="269"/>
      <c r="BJ15" s="314">
        <f>-BH15+BI15</f>
        <v>0</v>
      </c>
      <c r="BK15" s="269"/>
      <c r="BL15" s="269"/>
      <c r="BM15" s="269"/>
      <c r="BN15" s="314">
        <f>-BL15+BM15</f>
        <v>0</v>
      </c>
      <c r="BO15" s="269"/>
      <c r="BP15" s="269"/>
      <c r="BQ15" s="269"/>
      <c r="BR15" s="314">
        <f>-BP15+BQ15</f>
        <v>0</v>
      </c>
      <c r="BS15" s="269"/>
      <c r="BT15" s="269"/>
      <c r="BU15" s="269"/>
      <c r="BV15" s="314">
        <f>-BT15+BU15</f>
        <v>0</v>
      </c>
      <c r="BW15" s="269"/>
      <c r="BX15" s="269"/>
      <c r="BY15" s="269"/>
      <c r="BZ15" s="314">
        <f>-BX15+BY15</f>
        <v>0</v>
      </c>
      <c r="CA15" s="269"/>
      <c r="CB15" s="269"/>
      <c r="CC15" s="269"/>
      <c r="CD15" s="314">
        <f>-CB15+CC15</f>
        <v>0</v>
      </c>
      <c r="CE15" s="269"/>
      <c r="CF15" s="269"/>
      <c r="CG15" s="269"/>
      <c r="CH15" s="314">
        <f>-CF15+CG15</f>
        <v>0</v>
      </c>
      <c r="CI15" s="269"/>
      <c r="CJ15" s="269"/>
      <c r="CK15" s="269"/>
      <c r="CL15" s="314">
        <f>-CJ15+CK15</f>
        <v>0</v>
      </c>
      <c r="CM15" s="269"/>
      <c r="CN15" s="269"/>
      <c r="CO15" s="269"/>
      <c r="CP15" s="314">
        <f>-CN15+CO15</f>
        <v>0</v>
      </c>
      <c r="CQ15" s="269"/>
      <c r="CR15" s="269"/>
      <c r="CS15" s="269"/>
      <c r="CT15" s="314">
        <f>-CR15+CS15</f>
        <v>0</v>
      </c>
      <c r="CU15" s="269"/>
      <c r="CV15" s="269"/>
      <c r="CW15" s="269"/>
      <c r="CX15" s="314">
        <f>-CV15+CW15</f>
        <v>0</v>
      </c>
      <c r="CY15" s="269"/>
      <c r="CZ15" s="269"/>
      <c r="DA15" s="269"/>
      <c r="DB15" s="314">
        <f>-CZ15+DA15</f>
        <v>0</v>
      </c>
      <c r="DC15" s="269"/>
      <c r="DD15" s="269"/>
      <c r="DE15" s="269"/>
      <c r="DF15" s="314">
        <f>-DD15+DE15</f>
        <v>0</v>
      </c>
      <c r="DG15" s="269"/>
      <c r="DH15" s="269"/>
      <c r="DI15" s="269"/>
      <c r="DJ15" s="314">
        <f>-DH15+DI15</f>
        <v>0</v>
      </c>
      <c r="DK15" s="269"/>
      <c r="DL15" s="269"/>
      <c r="DM15" s="269"/>
      <c r="DN15" s="314">
        <f>-DL15+DM15</f>
        <v>0</v>
      </c>
      <c r="DO15" s="269"/>
      <c r="DP15" s="269"/>
      <c r="DQ15" s="269"/>
      <c r="DR15" s="314">
        <f>-DP15+DQ15</f>
        <v>0</v>
      </c>
      <c r="DS15" s="269"/>
      <c r="DT15" s="269"/>
      <c r="DU15" s="269"/>
      <c r="DV15" s="314">
        <f>-DT15+DU15</f>
        <v>0</v>
      </c>
      <c r="DW15" s="269"/>
      <c r="DX15" s="269"/>
      <c r="DY15" s="269"/>
      <c r="DZ15" s="314">
        <f>-DX15+DY15</f>
        <v>0</v>
      </c>
      <c r="EA15" s="269"/>
      <c r="EB15" s="269"/>
      <c r="EC15" s="269"/>
      <c r="ED15" s="314">
        <f>-EB15+EC15</f>
        <v>0</v>
      </c>
      <c r="EE15" s="269"/>
      <c r="EF15" s="269"/>
      <c r="EG15" s="269"/>
      <c r="EH15" s="314">
        <f>-EF15+EG15</f>
        <v>0</v>
      </c>
      <c r="EI15" s="269"/>
      <c r="EJ15" s="269"/>
      <c r="EK15" s="269"/>
      <c r="EL15" s="314">
        <f>-EJ15+EK15</f>
        <v>0</v>
      </c>
      <c r="EM15" s="269"/>
      <c r="EN15" s="269"/>
      <c r="EO15" s="269"/>
      <c r="EP15" s="314">
        <f>-EN15+EO15</f>
        <v>0</v>
      </c>
      <c r="EQ15" s="269"/>
      <c r="ER15" s="269"/>
      <c r="ES15" s="269"/>
      <c r="ET15" s="314">
        <f>-ER15+ES15</f>
        <v>0</v>
      </c>
      <c r="EU15" s="269"/>
      <c r="EV15" s="269"/>
      <c r="EW15" s="269"/>
      <c r="EX15" s="314">
        <f>-EV15+EW15</f>
        <v>0</v>
      </c>
      <c r="EY15" s="269"/>
      <c r="EZ15" s="269"/>
      <c r="FA15" s="269"/>
      <c r="FB15" s="314">
        <f>-EZ15+FA15</f>
        <v>0</v>
      </c>
      <c r="FC15" s="269"/>
      <c r="FD15" s="269"/>
      <c r="FE15" s="269"/>
      <c r="FF15" s="314">
        <f>-FD15+FE15</f>
        <v>0</v>
      </c>
      <c r="FG15" s="269"/>
      <c r="FH15" s="269"/>
      <c r="FI15" s="269"/>
      <c r="FJ15" s="314">
        <f>-FH15+FI15</f>
        <v>0</v>
      </c>
      <c r="FK15" s="269"/>
      <c r="FL15" s="269"/>
      <c r="FM15" s="269"/>
      <c r="FN15" s="314">
        <f>-FL15+FM15</f>
        <v>0</v>
      </c>
      <c r="FO15" s="269"/>
      <c r="FP15" s="269"/>
      <c r="FQ15" s="269"/>
      <c r="FR15" s="314">
        <f>-FP15+FQ15</f>
        <v>0</v>
      </c>
      <c r="FS15" s="269"/>
      <c r="FT15" s="269"/>
      <c r="FU15" s="269"/>
      <c r="FV15" s="314">
        <f>-FT15+FU15</f>
        <v>0</v>
      </c>
      <c r="FW15" s="269"/>
      <c r="FX15" s="269"/>
      <c r="FY15" s="269"/>
      <c r="FZ15" s="314">
        <f>-FX15+FY15</f>
        <v>0</v>
      </c>
      <c r="GA15" s="269"/>
      <c r="GB15" s="269"/>
      <c r="GC15" s="269"/>
      <c r="GD15" s="314">
        <f>-GB15+GC15</f>
        <v>0</v>
      </c>
      <c r="GE15" s="269"/>
      <c r="GF15" s="269"/>
      <c r="GG15" s="269"/>
      <c r="GH15" s="314">
        <f>-GF15+GG15</f>
        <v>0</v>
      </c>
      <c r="GI15" s="269"/>
      <c r="GJ15" s="269"/>
      <c r="GK15" s="269"/>
      <c r="GL15" s="314">
        <f>-GJ15+GK15</f>
        <v>0</v>
      </c>
      <c r="GM15" s="269"/>
      <c r="GN15" s="269"/>
      <c r="GO15" s="269"/>
      <c r="GP15" s="314">
        <f>-GN15+GO15</f>
        <v>0</v>
      </c>
      <c r="GQ15" s="269"/>
      <c r="GR15" s="269"/>
      <c r="GS15" s="269"/>
      <c r="GT15" s="314">
        <f>-GR15+GS15</f>
        <v>0</v>
      </c>
      <c r="GU15" s="269"/>
      <c r="GV15" s="269"/>
      <c r="GW15" s="269"/>
      <c r="GX15" s="314">
        <f>-GV15+GW15</f>
        <v>0</v>
      </c>
      <c r="GY15" s="269"/>
      <c r="GZ15" s="269"/>
      <c r="HA15" s="269"/>
      <c r="HB15" s="314">
        <f>-GZ15+HA15</f>
        <v>0</v>
      </c>
      <c r="HC15" s="269"/>
      <c r="HD15" s="269"/>
      <c r="HE15" s="269"/>
      <c r="HF15" s="314">
        <f>-HD15+HE15</f>
        <v>0</v>
      </c>
      <c r="HG15" s="269"/>
      <c r="HH15" s="269"/>
      <c r="HI15" s="269"/>
      <c r="HJ15" s="314">
        <f>-HH15+HI15</f>
        <v>0</v>
      </c>
      <c r="HK15" s="269"/>
      <c r="HL15" s="269"/>
      <c r="HM15" s="269"/>
      <c r="HN15" s="314">
        <f>-HL15+HM15</f>
        <v>0</v>
      </c>
      <c r="HO15" s="269"/>
      <c r="HP15" s="269"/>
      <c r="HQ15" s="269"/>
      <c r="HR15" s="314">
        <f>-HP15+HQ15</f>
        <v>0</v>
      </c>
      <c r="HS15" s="269"/>
      <c r="HT15" s="269"/>
      <c r="HU15" s="269"/>
      <c r="HV15" s="314">
        <f>-HT15+HU15</f>
        <v>0</v>
      </c>
      <c r="HW15" s="269"/>
      <c r="HX15" s="269"/>
      <c r="HY15" s="269"/>
      <c r="HZ15" s="314">
        <f>-HX15+HY15</f>
        <v>0</v>
      </c>
      <c r="IA15" s="269"/>
      <c r="IB15" s="269"/>
      <c r="IC15" s="269"/>
      <c r="ID15" s="314">
        <f>-IB15+IC15</f>
        <v>0</v>
      </c>
      <c r="IE15" s="269"/>
      <c r="IF15" s="269"/>
      <c r="IG15" s="269"/>
      <c r="IH15" s="314">
        <f>-IF15+IG15</f>
        <v>0</v>
      </c>
      <c r="II15" s="269"/>
      <c r="IJ15" s="269"/>
      <c r="IK15" s="269"/>
      <c r="IL15" s="314">
        <f>-IJ15+IK15</f>
        <v>0</v>
      </c>
      <c r="IM15" s="269"/>
      <c r="IN15" s="269"/>
      <c r="IO15" s="269"/>
      <c r="IP15" s="314">
        <f>-IN15+IO15</f>
        <v>0</v>
      </c>
      <c r="IQ15" s="277">
        <f t="shared" si="1"/>
        <v>0</v>
      </c>
      <c r="IR15" s="277">
        <f t="shared" si="1"/>
        <v>0</v>
      </c>
      <c r="IS15" s="277">
        <f t="shared" si="1"/>
        <v>0</v>
      </c>
      <c r="IT15" s="277">
        <f t="shared" si="1"/>
        <v>0</v>
      </c>
    </row>
    <row r="16" spans="1:254" ht="21.95" customHeight="1">
      <c r="A16" s="301">
        <v>323010</v>
      </c>
      <c r="B16" s="263" t="s">
        <v>487</v>
      </c>
      <c r="C16" s="269"/>
      <c r="D16" s="269"/>
      <c r="E16" s="269"/>
      <c r="F16" s="314">
        <f>-D16+E16</f>
        <v>0</v>
      </c>
      <c r="G16" s="269"/>
      <c r="H16" s="269"/>
      <c r="I16" s="269"/>
      <c r="J16" s="314">
        <f>-H16+I16</f>
        <v>0</v>
      </c>
      <c r="K16" s="269"/>
      <c r="L16" s="269"/>
      <c r="M16" s="269"/>
      <c r="N16" s="314">
        <f>-L16+M16</f>
        <v>0</v>
      </c>
      <c r="O16" s="269"/>
      <c r="P16" s="269"/>
      <c r="Q16" s="269"/>
      <c r="R16" s="314">
        <f>-P16+Q16</f>
        <v>0</v>
      </c>
      <c r="S16" s="269"/>
      <c r="T16" s="269"/>
      <c r="U16" s="269"/>
      <c r="V16" s="314">
        <f>-T16+U16</f>
        <v>0</v>
      </c>
      <c r="W16" s="269"/>
      <c r="X16" s="269"/>
      <c r="Y16" s="269"/>
      <c r="Z16" s="314">
        <f>-X16+Y16</f>
        <v>0</v>
      </c>
      <c r="AA16" s="269"/>
      <c r="AB16" s="269"/>
      <c r="AC16" s="269"/>
      <c r="AD16" s="314">
        <f>-AB16+AC16</f>
        <v>0</v>
      </c>
      <c r="AE16" s="269"/>
      <c r="AF16" s="269"/>
      <c r="AG16" s="269"/>
      <c r="AH16" s="314">
        <f>-AF16+AG16</f>
        <v>0</v>
      </c>
      <c r="AI16" s="269"/>
      <c r="AJ16" s="269"/>
      <c r="AK16" s="269"/>
      <c r="AL16" s="314">
        <f>-AJ16+AK16</f>
        <v>0</v>
      </c>
      <c r="AM16" s="269"/>
      <c r="AN16" s="269"/>
      <c r="AO16" s="269"/>
      <c r="AP16" s="314">
        <f>-AN16+AO16</f>
        <v>0</v>
      </c>
      <c r="AQ16" s="269"/>
      <c r="AR16" s="269"/>
      <c r="AS16" s="269"/>
      <c r="AT16" s="314">
        <f>-AR16+AS16</f>
        <v>0</v>
      </c>
      <c r="AU16" s="269"/>
      <c r="AV16" s="269"/>
      <c r="AW16" s="269"/>
      <c r="AX16" s="314">
        <f>-AV16+AW16</f>
        <v>0</v>
      </c>
      <c r="AY16" s="269"/>
      <c r="AZ16" s="269"/>
      <c r="BA16" s="269"/>
      <c r="BB16" s="314">
        <f>-AZ16+BA16</f>
        <v>0</v>
      </c>
      <c r="BC16" s="269"/>
      <c r="BD16" s="269"/>
      <c r="BE16" s="269"/>
      <c r="BF16" s="314">
        <f>-BD16+BE16</f>
        <v>0</v>
      </c>
      <c r="BG16" s="269"/>
      <c r="BH16" s="269"/>
      <c r="BI16" s="269"/>
      <c r="BJ16" s="314">
        <f>-BH16+BI16</f>
        <v>0</v>
      </c>
      <c r="BK16" s="269"/>
      <c r="BL16" s="269"/>
      <c r="BM16" s="269"/>
      <c r="BN16" s="314">
        <f>-BL16+BM16</f>
        <v>0</v>
      </c>
      <c r="BO16" s="269"/>
      <c r="BP16" s="269"/>
      <c r="BQ16" s="269"/>
      <c r="BR16" s="314">
        <f>-BP16+BQ16</f>
        <v>0</v>
      </c>
      <c r="BS16" s="269"/>
      <c r="BT16" s="269"/>
      <c r="BU16" s="269"/>
      <c r="BV16" s="314">
        <f>-BT16+BU16</f>
        <v>0</v>
      </c>
      <c r="BW16" s="269"/>
      <c r="BX16" s="269"/>
      <c r="BY16" s="269"/>
      <c r="BZ16" s="314">
        <f>-BX16+BY16</f>
        <v>0</v>
      </c>
      <c r="CA16" s="269"/>
      <c r="CB16" s="269"/>
      <c r="CC16" s="269"/>
      <c r="CD16" s="314">
        <f>-CB16+CC16</f>
        <v>0</v>
      </c>
      <c r="CE16" s="269"/>
      <c r="CF16" s="269"/>
      <c r="CG16" s="269"/>
      <c r="CH16" s="314">
        <f>-CF16+CG16</f>
        <v>0</v>
      </c>
      <c r="CI16" s="269"/>
      <c r="CJ16" s="269"/>
      <c r="CK16" s="269"/>
      <c r="CL16" s="314">
        <f>-CJ16+CK16</f>
        <v>0</v>
      </c>
      <c r="CM16" s="269"/>
      <c r="CN16" s="269"/>
      <c r="CO16" s="269"/>
      <c r="CP16" s="314">
        <f>-CN16+CO16</f>
        <v>0</v>
      </c>
      <c r="CQ16" s="269"/>
      <c r="CR16" s="269"/>
      <c r="CS16" s="269"/>
      <c r="CT16" s="314">
        <f>-CR16+CS16</f>
        <v>0</v>
      </c>
      <c r="CU16" s="269"/>
      <c r="CV16" s="269"/>
      <c r="CW16" s="269"/>
      <c r="CX16" s="314">
        <f>-CV16+CW16</f>
        <v>0</v>
      </c>
      <c r="CY16" s="269"/>
      <c r="CZ16" s="269"/>
      <c r="DA16" s="269"/>
      <c r="DB16" s="314">
        <f>-CZ16+DA16</f>
        <v>0</v>
      </c>
      <c r="DC16" s="269"/>
      <c r="DD16" s="269"/>
      <c r="DE16" s="269"/>
      <c r="DF16" s="314">
        <f>-DD16+DE16</f>
        <v>0</v>
      </c>
      <c r="DG16" s="269"/>
      <c r="DH16" s="269"/>
      <c r="DI16" s="269"/>
      <c r="DJ16" s="314">
        <f>-DH16+DI16</f>
        <v>0</v>
      </c>
      <c r="DK16" s="269"/>
      <c r="DL16" s="269"/>
      <c r="DM16" s="269"/>
      <c r="DN16" s="314">
        <f>-DL16+DM16</f>
        <v>0</v>
      </c>
      <c r="DO16" s="269"/>
      <c r="DP16" s="269"/>
      <c r="DQ16" s="269"/>
      <c r="DR16" s="314">
        <f>-DP16+DQ16</f>
        <v>0</v>
      </c>
      <c r="DS16" s="269"/>
      <c r="DT16" s="269"/>
      <c r="DU16" s="269"/>
      <c r="DV16" s="314">
        <f>-DT16+DU16</f>
        <v>0</v>
      </c>
      <c r="DW16" s="269"/>
      <c r="DX16" s="269"/>
      <c r="DY16" s="269"/>
      <c r="DZ16" s="314">
        <f>-DX16+DY16</f>
        <v>0</v>
      </c>
      <c r="EA16" s="269"/>
      <c r="EB16" s="269"/>
      <c r="EC16" s="269"/>
      <c r="ED16" s="314">
        <f>-EB16+EC16</f>
        <v>0</v>
      </c>
      <c r="EE16" s="269"/>
      <c r="EF16" s="269"/>
      <c r="EG16" s="269"/>
      <c r="EH16" s="314">
        <f>-EF16+EG16</f>
        <v>0</v>
      </c>
      <c r="EI16" s="269"/>
      <c r="EJ16" s="269"/>
      <c r="EK16" s="269"/>
      <c r="EL16" s="314">
        <f>-EJ16+EK16</f>
        <v>0</v>
      </c>
      <c r="EM16" s="269"/>
      <c r="EN16" s="269"/>
      <c r="EO16" s="269"/>
      <c r="EP16" s="314">
        <f>-EN16+EO16</f>
        <v>0</v>
      </c>
      <c r="EQ16" s="269"/>
      <c r="ER16" s="269"/>
      <c r="ES16" s="269"/>
      <c r="ET16" s="314">
        <f>-ER16+ES16</f>
        <v>0</v>
      </c>
      <c r="EU16" s="269"/>
      <c r="EV16" s="269"/>
      <c r="EW16" s="269"/>
      <c r="EX16" s="314">
        <f>-EV16+EW16</f>
        <v>0</v>
      </c>
      <c r="EY16" s="269"/>
      <c r="EZ16" s="269"/>
      <c r="FA16" s="269"/>
      <c r="FB16" s="314">
        <f>-EZ16+FA16</f>
        <v>0</v>
      </c>
      <c r="FC16" s="269"/>
      <c r="FD16" s="269"/>
      <c r="FE16" s="269"/>
      <c r="FF16" s="314">
        <f>-FD16+FE16</f>
        <v>0</v>
      </c>
      <c r="FG16" s="269"/>
      <c r="FH16" s="269"/>
      <c r="FI16" s="269"/>
      <c r="FJ16" s="314">
        <f>-FH16+FI16</f>
        <v>0</v>
      </c>
      <c r="FK16" s="269"/>
      <c r="FL16" s="269"/>
      <c r="FM16" s="269"/>
      <c r="FN16" s="314">
        <f>-FL16+FM16</f>
        <v>0</v>
      </c>
      <c r="FO16" s="269"/>
      <c r="FP16" s="269"/>
      <c r="FQ16" s="269"/>
      <c r="FR16" s="314">
        <f>-FP16+FQ16</f>
        <v>0</v>
      </c>
      <c r="FS16" s="269"/>
      <c r="FT16" s="269"/>
      <c r="FU16" s="269"/>
      <c r="FV16" s="314">
        <f>-FT16+FU16</f>
        <v>0</v>
      </c>
      <c r="FW16" s="269"/>
      <c r="FX16" s="269"/>
      <c r="FY16" s="269"/>
      <c r="FZ16" s="314">
        <f>-FX16+FY16</f>
        <v>0</v>
      </c>
      <c r="GA16" s="269"/>
      <c r="GB16" s="269"/>
      <c r="GC16" s="269"/>
      <c r="GD16" s="314">
        <f>-GB16+GC16</f>
        <v>0</v>
      </c>
      <c r="GE16" s="269"/>
      <c r="GF16" s="269"/>
      <c r="GG16" s="269"/>
      <c r="GH16" s="314">
        <f>-GF16+GG16</f>
        <v>0</v>
      </c>
      <c r="GI16" s="269"/>
      <c r="GJ16" s="269"/>
      <c r="GK16" s="269"/>
      <c r="GL16" s="314">
        <f>-GJ16+GK16</f>
        <v>0</v>
      </c>
      <c r="GM16" s="269"/>
      <c r="GN16" s="269"/>
      <c r="GO16" s="269"/>
      <c r="GP16" s="314">
        <f>-GN16+GO16</f>
        <v>0</v>
      </c>
      <c r="GQ16" s="269"/>
      <c r="GR16" s="269"/>
      <c r="GS16" s="269"/>
      <c r="GT16" s="314">
        <f>-GR16+GS16</f>
        <v>0</v>
      </c>
      <c r="GU16" s="269"/>
      <c r="GV16" s="269"/>
      <c r="GW16" s="269"/>
      <c r="GX16" s="314">
        <f>-GV16+GW16</f>
        <v>0</v>
      </c>
      <c r="GY16" s="269"/>
      <c r="GZ16" s="269"/>
      <c r="HA16" s="269"/>
      <c r="HB16" s="314">
        <f>-GZ16+HA16</f>
        <v>0</v>
      </c>
      <c r="HC16" s="269"/>
      <c r="HD16" s="269"/>
      <c r="HE16" s="269"/>
      <c r="HF16" s="314">
        <f>-HD16+HE16</f>
        <v>0</v>
      </c>
      <c r="HG16" s="269"/>
      <c r="HH16" s="269"/>
      <c r="HI16" s="269"/>
      <c r="HJ16" s="314">
        <f>-HH16+HI16</f>
        <v>0</v>
      </c>
      <c r="HK16" s="269"/>
      <c r="HL16" s="269"/>
      <c r="HM16" s="269"/>
      <c r="HN16" s="314">
        <f>-HL16+HM16</f>
        <v>0</v>
      </c>
      <c r="HO16" s="269"/>
      <c r="HP16" s="269"/>
      <c r="HQ16" s="269"/>
      <c r="HR16" s="314">
        <f>-HP16+HQ16</f>
        <v>0</v>
      </c>
      <c r="HS16" s="269"/>
      <c r="HT16" s="269"/>
      <c r="HU16" s="269"/>
      <c r="HV16" s="314">
        <f>-HT16+HU16</f>
        <v>0</v>
      </c>
      <c r="HW16" s="269"/>
      <c r="HX16" s="269"/>
      <c r="HY16" s="269"/>
      <c r="HZ16" s="314">
        <f>-HX16+HY16</f>
        <v>0</v>
      </c>
      <c r="IA16" s="269"/>
      <c r="IB16" s="269"/>
      <c r="IC16" s="269"/>
      <c r="ID16" s="314">
        <f>-IB16+IC16</f>
        <v>0</v>
      </c>
      <c r="IE16" s="269"/>
      <c r="IF16" s="269"/>
      <c r="IG16" s="269"/>
      <c r="IH16" s="314">
        <f>-IF16+IG16</f>
        <v>0</v>
      </c>
      <c r="II16" s="269"/>
      <c r="IJ16" s="269"/>
      <c r="IK16" s="269"/>
      <c r="IL16" s="314">
        <f>-IJ16+IK16</f>
        <v>0</v>
      </c>
      <c r="IM16" s="269"/>
      <c r="IN16" s="269"/>
      <c r="IO16" s="269"/>
      <c r="IP16" s="314">
        <f>-IN16+IO16</f>
        <v>0</v>
      </c>
      <c r="IQ16" s="277">
        <f t="shared" si="1"/>
        <v>0</v>
      </c>
      <c r="IR16" s="277">
        <f t="shared" si="1"/>
        <v>0</v>
      </c>
      <c r="IS16" s="277">
        <f t="shared" si="1"/>
        <v>0</v>
      </c>
      <c r="IT16" s="277">
        <f t="shared" si="1"/>
        <v>0</v>
      </c>
    </row>
    <row r="17" spans="1:254" ht="21.95" customHeight="1">
      <c r="A17" s="301">
        <v>323030</v>
      </c>
      <c r="B17" s="263" t="s">
        <v>486</v>
      </c>
      <c r="C17" s="269"/>
      <c r="D17" s="269"/>
      <c r="E17" s="269"/>
      <c r="F17" s="314">
        <f>-D17+E17</f>
        <v>0</v>
      </c>
      <c r="G17" s="269"/>
      <c r="H17" s="269"/>
      <c r="I17" s="269"/>
      <c r="J17" s="314">
        <f>-H17+I17</f>
        <v>0</v>
      </c>
      <c r="K17" s="269"/>
      <c r="L17" s="269"/>
      <c r="M17" s="269"/>
      <c r="N17" s="314">
        <f>-L17+M17</f>
        <v>0</v>
      </c>
      <c r="O17" s="269"/>
      <c r="P17" s="269"/>
      <c r="Q17" s="269"/>
      <c r="R17" s="314">
        <f>-P17+Q17</f>
        <v>0</v>
      </c>
      <c r="S17" s="269"/>
      <c r="T17" s="269"/>
      <c r="U17" s="269"/>
      <c r="V17" s="314">
        <f>-T17+U17</f>
        <v>0</v>
      </c>
      <c r="W17" s="269"/>
      <c r="X17" s="269"/>
      <c r="Y17" s="269"/>
      <c r="Z17" s="314">
        <f>-X17+Y17</f>
        <v>0</v>
      </c>
      <c r="AA17" s="269"/>
      <c r="AB17" s="269"/>
      <c r="AC17" s="269"/>
      <c r="AD17" s="314">
        <f>-AB17+AC17</f>
        <v>0</v>
      </c>
      <c r="AE17" s="269"/>
      <c r="AF17" s="269"/>
      <c r="AG17" s="269"/>
      <c r="AH17" s="314">
        <f>-AF17+AG17</f>
        <v>0</v>
      </c>
      <c r="AI17" s="269"/>
      <c r="AJ17" s="269"/>
      <c r="AK17" s="269"/>
      <c r="AL17" s="314">
        <f>-AJ17+AK17</f>
        <v>0</v>
      </c>
      <c r="AM17" s="269"/>
      <c r="AN17" s="269"/>
      <c r="AO17" s="269"/>
      <c r="AP17" s="314">
        <f>-AN17+AO17</f>
        <v>0</v>
      </c>
      <c r="AQ17" s="269"/>
      <c r="AR17" s="269"/>
      <c r="AS17" s="269"/>
      <c r="AT17" s="314">
        <f>-AR17+AS17</f>
        <v>0</v>
      </c>
      <c r="AU17" s="269"/>
      <c r="AV17" s="269"/>
      <c r="AW17" s="269"/>
      <c r="AX17" s="314">
        <f>-AV17+AW17</f>
        <v>0</v>
      </c>
      <c r="AY17" s="269"/>
      <c r="AZ17" s="269"/>
      <c r="BA17" s="269"/>
      <c r="BB17" s="314">
        <f>-AZ17+BA17</f>
        <v>0</v>
      </c>
      <c r="BC17" s="269"/>
      <c r="BD17" s="269"/>
      <c r="BE17" s="269"/>
      <c r="BF17" s="314">
        <f>-BD17+BE17</f>
        <v>0</v>
      </c>
      <c r="BG17" s="269"/>
      <c r="BH17" s="269"/>
      <c r="BI17" s="269"/>
      <c r="BJ17" s="314">
        <f>-BH17+BI17</f>
        <v>0</v>
      </c>
      <c r="BK17" s="269"/>
      <c r="BL17" s="269"/>
      <c r="BM17" s="269"/>
      <c r="BN17" s="314">
        <f>-BL17+BM17</f>
        <v>0</v>
      </c>
      <c r="BO17" s="269"/>
      <c r="BP17" s="269"/>
      <c r="BQ17" s="269"/>
      <c r="BR17" s="314">
        <f>-BP17+BQ17</f>
        <v>0</v>
      </c>
      <c r="BS17" s="269"/>
      <c r="BT17" s="269"/>
      <c r="BU17" s="269"/>
      <c r="BV17" s="314">
        <f>-BT17+BU17</f>
        <v>0</v>
      </c>
      <c r="BW17" s="269"/>
      <c r="BX17" s="269"/>
      <c r="BY17" s="269"/>
      <c r="BZ17" s="314">
        <f>-BX17+BY17</f>
        <v>0</v>
      </c>
      <c r="CA17" s="269"/>
      <c r="CB17" s="269"/>
      <c r="CC17" s="269"/>
      <c r="CD17" s="314">
        <f>-CB17+CC17</f>
        <v>0</v>
      </c>
      <c r="CE17" s="269"/>
      <c r="CF17" s="269"/>
      <c r="CG17" s="269"/>
      <c r="CH17" s="314">
        <f>-CF17+CG17</f>
        <v>0</v>
      </c>
      <c r="CI17" s="269"/>
      <c r="CJ17" s="269"/>
      <c r="CK17" s="269"/>
      <c r="CL17" s="314">
        <f>-CJ17+CK17</f>
        <v>0</v>
      </c>
      <c r="CM17" s="269"/>
      <c r="CN17" s="269"/>
      <c r="CO17" s="269"/>
      <c r="CP17" s="314">
        <f>-CN17+CO17</f>
        <v>0</v>
      </c>
      <c r="CQ17" s="269"/>
      <c r="CR17" s="269"/>
      <c r="CS17" s="269"/>
      <c r="CT17" s="314">
        <f>-CR17+CS17</f>
        <v>0</v>
      </c>
      <c r="CU17" s="269"/>
      <c r="CV17" s="269"/>
      <c r="CW17" s="269"/>
      <c r="CX17" s="314">
        <f>-CV17+CW17</f>
        <v>0</v>
      </c>
      <c r="CY17" s="269"/>
      <c r="CZ17" s="269"/>
      <c r="DA17" s="269"/>
      <c r="DB17" s="314">
        <f>-CZ17+DA17</f>
        <v>0</v>
      </c>
      <c r="DC17" s="269"/>
      <c r="DD17" s="269"/>
      <c r="DE17" s="269"/>
      <c r="DF17" s="314">
        <f>-DD17+DE17</f>
        <v>0</v>
      </c>
      <c r="DG17" s="269"/>
      <c r="DH17" s="269"/>
      <c r="DI17" s="269"/>
      <c r="DJ17" s="314">
        <f>-DH17+DI17</f>
        <v>0</v>
      </c>
      <c r="DK17" s="269"/>
      <c r="DL17" s="269"/>
      <c r="DM17" s="269"/>
      <c r="DN17" s="314">
        <f>-DL17+DM17</f>
        <v>0</v>
      </c>
      <c r="DO17" s="269"/>
      <c r="DP17" s="269"/>
      <c r="DQ17" s="269"/>
      <c r="DR17" s="314">
        <f>-DP17+DQ17</f>
        <v>0</v>
      </c>
      <c r="DS17" s="269"/>
      <c r="DT17" s="269"/>
      <c r="DU17" s="269"/>
      <c r="DV17" s="314">
        <f>-DT17+DU17</f>
        <v>0</v>
      </c>
      <c r="DW17" s="269"/>
      <c r="DX17" s="269"/>
      <c r="DY17" s="269"/>
      <c r="DZ17" s="314">
        <f>-DX17+DY17</f>
        <v>0</v>
      </c>
      <c r="EA17" s="269"/>
      <c r="EB17" s="269"/>
      <c r="EC17" s="269"/>
      <c r="ED17" s="314">
        <f>-EB17+EC17</f>
        <v>0</v>
      </c>
      <c r="EE17" s="269"/>
      <c r="EF17" s="269"/>
      <c r="EG17" s="269"/>
      <c r="EH17" s="314">
        <f>-EF17+EG17</f>
        <v>0</v>
      </c>
      <c r="EI17" s="269"/>
      <c r="EJ17" s="269"/>
      <c r="EK17" s="269"/>
      <c r="EL17" s="314">
        <f>-EJ17+EK17</f>
        <v>0</v>
      </c>
      <c r="EM17" s="269"/>
      <c r="EN17" s="269"/>
      <c r="EO17" s="269"/>
      <c r="EP17" s="314">
        <f>-EN17+EO17</f>
        <v>0</v>
      </c>
      <c r="EQ17" s="269"/>
      <c r="ER17" s="269"/>
      <c r="ES17" s="269"/>
      <c r="ET17" s="314">
        <f>-ER17+ES17</f>
        <v>0</v>
      </c>
      <c r="EU17" s="269"/>
      <c r="EV17" s="269"/>
      <c r="EW17" s="269"/>
      <c r="EX17" s="314">
        <f>-EV17+EW17</f>
        <v>0</v>
      </c>
      <c r="EY17" s="269"/>
      <c r="EZ17" s="269"/>
      <c r="FA17" s="269"/>
      <c r="FB17" s="314">
        <f>-EZ17+FA17</f>
        <v>0</v>
      </c>
      <c r="FC17" s="269"/>
      <c r="FD17" s="269"/>
      <c r="FE17" s="269"/>
      <c r="FF17" s="314">
        <f>-FD17+FE17</f>
        <v>0</v>
      </c>
      <c r="FG17" s="269"/>
      <c r="FH17" s="269"/>
      <c r="FI17" s="269"/>
      <c r="FJ17" s="314">
        <f>-FH17+FI17</f>
        <v>0</v>
      </c>
      <c r="FK17" s="269"/>
      <c r="FL17" s="269"/>
      <c r="FM17" s="269"/>
      <c r="FN17" s="314">
        <f>-FL17+FM17</f>
        <v>0</v>
      </c>
      <c r="FO17" s="269"/>
      <c r="FP17" s="269"/>
      <c r="FQ17" s="269"/>
      <c r="FR17" s="314">
        <f>-FP17+FQ17</f>
        <v>0</v>
      </c>
      <c r="FS17" s="269"/>
      <c r="FT17" s="269"/>
      <c r="FU17" s="269"/>
      <c r="FV17" s="314">
        <f>-FT17+FU17</f>
        <v>0</v>
      </c>
      <c r="FW17" s="269"/>
      <c r="FX17" s="269"/>
      <c r="FY17" s="269"/>
      <c r="FZ17" s="314">
        <f>-FX17+FY17</f>
        <v>0</v>
      </c>
      <c r="GA17" s="269"/>
      <c r="GB17" s="269"/>
      <c r="GC17" s="269"/>
      <c r="GD17" s="314">
        <f>-GB17+GC17</f>
        <v>0</v>
      </c>
      <c r="GE17" s="269"/>
      <c r="GF17" s="269"/>
      <c r="GG17" s="269"/>
      <c r="GH17" s="314">
        <f>-GF17+GG17</f>
        <v>0</v>
      </c>
      <c r="GI17" s="269"/>
      <c r="GJ17" s="269"/>
      <c r="GK17" s="269"/>
      <c r="GL17" s="314">
        <f>-GJ17+GK17</f>
        <v>0</v>
      </c>
      <c r="GM17" s="269"/>
      <c r="GN17" s="269"/>
      <c r="GO17" s="269"/>
      <c r="GP17" s="314">
        <f>-GN17+GO17</f>
        <v>0</v>
      </c>
      <c r="GQ17" s="269"/>
      <c r="GR17" s="269"/>
      <c r="GS17" s="269"/>
      <c r="GT17" s="314">
        <f>-GR17+GS17</f>
        <v>0</v>
      </c>
      <c r="GU17" s="269"/>
      <c r="GV17" s="269"/>
      <c r="GW17" s="269"/>
      <c r="GX17" s="314">
        <f>-GV17+GW17</f>
        <v>0</v>
      </c>
      <c r="GY17" s="269"/>
      <c r="GZ17" s="269"/>
      <c r="HA17" s="269"/>
      <c r="HB17" s="314">
        <f>-GZ17+HA17</f>
        <v>0</v>
      </c>
      <c r="HC17" s="269"/>
      <c r="HD17" s="269"/>
      <c r="HE17" s="269"/>
      <c r="HF17" s="314">
        <f>-HD17+HE17</f>
        <v>0</v>
      </c>
      <c r="HG17" s="269"/>
      <c r="HH17" s="269"/>
      <c r="HI17" s="269"/>
      <c r="HJ17" s="314">
        <f>-HH17+HI17</f>
        <v>0</v>
      </c>
      <c r="HK17" s="269"/>
      <c r="HL17" s="269"/>
      <c r="HM17" s="269"/>
      <c r="HN17" s="314">
        <f>-HL17+HM17</f>
        <v>0</v>
      </c>
      <c r="HO17" s="269"/>
      <c r="HP17" s="269"/>
      <c r="HQ17" s="269"/>
      <c r="HR17" s="314">
        <f>-HP17+HQ17</f>
        <v>0</v>
      </c>
      <c r="HS17" s="269"/>
      <c r="HT17" s="269"/>
      <c r="HU17" s="269"/>
      <c r="HV17" s="314">
        <f>-HT17+HU17</f>
        <v>0</v>
      </c>
      <c r="HW17" s="269"/>
      <c r="HX17" s="269"/>
      <c r="HY17" s="269"/>
      <c r="HZ17" s="314">
        <f>-HX17+HY17</f>
        <v>0</v>
      </c>
      <c r="IA17" s="269"/>
      <c r="IB17" s="269"/>
      <c r="IC17" s="269"/>
      <c r="ID17" s="314">
        <f>-IB17+IC17</f>
        <v>0</v>
      </c>
      <c r="IE17" s="269"/>
      <c r="IF17" s="269"/>
      <c r="IG17" s="269"/>
      <c r="IH17" s="314">
        <f>-IF17+IG17</f>
        <v>0</v>
      </c>
      <c r="II17" s="269"/>
      <c r="IJ17" s="269"/>
      <c r="IK17" s="269"/>
      <c r="IL17" s="314">
        <f>-IJ17+IK17</f>
        <v>0</v>
      </c>
      <c r="IM17" s="269"/>
      <c r="IN17" s="269"/>
      <c r="IO17" s="269"/>
      <c r="IP17" s="314">
        <f>-IN17+IO17</f>
        <v>0</v>
      </c>
      <c r="IQ17" s="277">
        <f t="shared" si="1"/>
        <v>0</v>
      </c>
      <c r="IR17" s="277">
        <f t="shared" si="1"/>
        <v>0</v>
      </c>
      <c r="IS17" s="277">
        <f t="shared" si="1"/>
        <v>0</v>
      </c>
      <c r="IT17" s="277">
        <f t="shared" si="1"/>
        <v>0</v>
      </c>
    </row>
    <row r="18" spans="1:254" ht="21.95" customHeight="1">
      <c r="A18" s="301">
        <v>323050</v>
      </c>
      <c r="B18" s="263" t="s">
        <v>488</v>
      </c>
      <c r="C18" s="269"/>
      <c r="D18" s="269"/>
      <c r="E18" s="269"/>
      <c r="F18" s="314">
        <f>-D18+E18</f>
        <v>0</v>
      </c>
      <c r="G18" s="269"/>
      <c r="H18" s="269"/>
      <c r="I18" s="269"/>
      <c r="J18" s="314">
        <f>-H18+I18</f>
        <v>0</v>
      </c>
      <c r="K18" s="269"/>
      <c r="L18" s="269"/>
      <c r="M18" s="269"/>
      <c r="N18" s="314">
        <f>-L18+M18</f>
        <v>0</v>
      </c>
      <c r="O18" s="269"/>
      <c r="P18" s="269"/>
      <c r="Q18" s="269"/>
      <c r="R18" s="314">
        <f>-P18+Q18</f>
        <v>0</v>
      </c>
      <c r="S18" s="269"/>
      <c r="T18" s="269"/>
      <c r="U18" s="269"/>
      <c r="V18" s="314">
        <f>-T18+U18</f>
        <v>0</v>
      </c>
      <c r="W18" s="269"/>
      <c r="X18" s="269"/>
      <c r="Y18" s="269"/>
      <c r="Z18" s="314">
        <f>-X18+Y18</f>
        <v>0</v>
      </c>
      <c r="AA18" s="269"/>
      <c r="AB18" s="269"/>
      <c r="AC18" s="269"/>
      <c r="AD18" s="314">
        <f>-AB18+AC18</f>
        <v>0</v>
      </c>
      <c r="AE18" s="269"/>
      <c r="AF18" s="269"/>
      <c r="AG18" s="269"/>
      <c r="AH18" s="314">
        <f>-AF18+AG18</f>
        <v>0</v>
      </c>
      <c r="AI18" s="269"/>
      <c r="AJ18" s="269"/>
      <c r="AK18" s="269"/>
      <c r="AL18" s="314">
        <f>-AJ18+AK18</f>
        <v>0</v>
      </c>
      <c r="AM18" s="269"/>
      <c r="AN18" s="269"/>
      <c r="AO18" s="269"/>
      <c r="AP18" s="314">
        <f>-AN18+AO18</f>
        <v>0</v>
      </c>
      <c r="AQ18" s="269"/>
      <c r="AR18" s="269"/>
      <c r="AS18" s="269"/>
      <c r="AT18" s="314">
        <f>-AR18+AS18</f>
        <v>0</v>
      </c>
      <c r="AU18" s="269"/>
      <c r="AV18" s="269"/>
      <c r="AW18" s="269"/>
      <c r="AX18" s="314">
        <f>-AV18+AW18</f>
        <v>0</v>
      </c>
      <c r="AY18" s="269"/>
      <c r="AZ18" s="269"/>
      <c r="BA18" s="269"/>
      <c r="BB18" s="314">
        <f>-AZ18+BA18</f>
        <v>0</v>
      </c>
      <c r="BC18" s="269"/>
      <c r="BD18" s="269"/>
      <c r="BE18" s="269"/>
      <c r="BF18" s="314">
        <f>-BD18+BE18</f>
        <v>0</v>
      </c>
      <c r="BG18" s="269"/>
      <c r="BH18" s="269"/>
      <c r="BI18" s="269"/>
      <c r="BJ18" s="314">
        <f>-BH18+BI18</f>
        <v>0</v>
      </c>
      <c r="BK18" s="269"/>
      <c r="BL18" s="269"/>
      <c r="BM18" s="269"/>
      <c r="BN18" s="314">
        <f>-BL18+BM18</f>
        <v>0</v>
      </c>
      <c r="BO18" s="269"/>
      <c r="BP18" s="269"/>
      <c r="BQ18" s="269"/>
      <c r="BR18" s="314">
        <f>-BP18+BQ18</f>
        <v>0</v>
      </c>
      <c r="BS18" s="269"/>
      <c r="BT18" s="269"/>
      <c r="BU18" s="269"/>
      <c r="BV18" s="314">
        <f>-BT18+BU18</f>
        <v>0</v>
      </c>
      <c r="BW18" s="269"/>
      <c r="BX18" s="269"/>
      <c r="BY18" s="269"/>
      <c r="BZ18" s="314">
        <f>-BX18+BY18</f>
        <v>0</v>
      </c>
      <c r="CA18" s="269"/>
      <c r="CB18" s="269"/>
      <c r="CC18" s="269"/>
      <c r="CD18" s="314">
        <f>-CB18+CC18</f>
        <v>0</v>
      </c>
      <c r="CE18" s="269"/>
      <c r="CF18" s="269"/>
      <c r="CG18" s="269"/>
      <c r="CH18" s="314">
        <f>-CF18+CG18</f>
        <v>0</v>
      </c>
      <c r="CI18" s="269"/>
      <c r="CJ18" s="269"/>
      <c r="CK18" s="269"/>
      <c r="CL18" s="314">
        <f>-CJ18+CK18</f>
        <v>0</v>
      </c>
      <c r="CM18" s="269"/>
      <c r="CN18" s="269"/>
      <c r="CO18" s="269"/>
      <c r="CP18" s="314">
        <f>-CN18+CO18</f>
        <v>0</v>
      </c>
      <c r="CQ18" s="269"/>
      <c r="CR18" s="269"/>
      <c r="CS18" s="269"/>
      <c r="CT18" s="314">
        <f>-CR18+CS18</f>
        <v>0</v>
      </c>
      <c r="CU18" s="269"/>
      <c r="CV18" s="269"/>
      <c r="CW18" s="269"/>
      <c r="CX18" s="314">
        <f>-CV18+CW18</f>
        <v>0</v>
      </c>
      <c r="CY18" s="269"/>
      <c r="CZ18" s="269"/>
      <c r="DA18" s="269"/>
      <c r="DB18" s="314">
        <f>-CZ18+DA18</f>
        <v>0</v>
      </c>
      <c r="DC18" s="269"/>
      <c r="DD18" s="269"/>
      <c r="DE18" s="269"/>
      <c r="DF18" s="314">
        <f>-DD18+DE18</f>
        <v>0</v>
      </c>
      <c r="DG18" s="269"/>
      <c r="DH18" s="269"/>
      <c r="DI18" s="269"/>
      <c r="DJ18" s="314">
        <f>-DH18+DI18</f>
        <v>0</v>
      </c>
      <c r="DK18" s="269"/>
      <c r="DL18" s="269"/>
      <c r="DM18" s="269"/>
      <c r="DN18" s="314">
        <f>-DL18+DM18</f>
        <v>0</v>
      </c>
      <c r="DO18" s="269"/>
      <c r="DP18" s="269"/>
      <c r="DQ18" s="269"/>
      <c r="DR18" s="314">
        <f>-DP18+DQ18</f>
        <v>0</v>
      </c>
      <c r="DS18" s="269"/>
      <c r="DT18" s="269"/>
      <c r="DU18" s="269"/>
      <c r="DV18" s="314">
        <f>-DT18+DU18</f>
        <v>0</v>
      </c>
      <c r="DW18" s="269"/>
      <c r="DX18" s="269"/>
      <c r="DY18" s="269"/>
      <c r="DZ18" s="314">
        <f>-DX18+DY18</f>
        <v>0</v>
      </c>
      <c r="EA18" s="269"/>
      <c r="EB18" s="269"/>
      <c r="EC18" s="269"/>
      <c r="ED18" s="314">
        <f>-EB18+EC18</f>
        <v>0</v>
      </c>
      <c r="EE18" s="269"/>
      <c r="EF18" s="269"/>
      <c r="EG18" s="269"/>
      <c r="EH18" s="314">
        <f>-EF18+EG18</f>
        <v>0</v>
      </c>
      <c r="EI18" s="269"/>
      <c r="EJ18" s="269"/>
      <c r="EK18" s="269"/>
      <c r="EL18" s="314">
        <f>-EJ18+EK18</f>
        <v>0</v>
      </c>
      <c r="EM18" s="269"/>
      <c r="EN18" s="269"/>
      <c r="EO18" s="269"/>
      <c r="EP18" s="314">
        <f>-EN18+EO18</f>
        <v>0</v>
      </c>
      <c r="EQ18" s="269"/>
      <c r="ER18" s="269"/>
      <c r="ES18" s="269"/>
      <c r="ET18" s="314">
        <f>-ER18+ES18</f>
        <v>0</v>
      </c>
      <c r="EU18" s="269"/>
      <c r="EV18" s="269"/>
      <c r="EW18" s="269"/>
      <c r="EX18" s="314">
        <f>-EV18+EW18</f>
        <v>0</v>
      </c>
      <c r="EY18" s="269"/>
      <c r="EZ18" s="269"/>
      <c r="FA18" s="269"/>
      <c r="FB18" s="314">
        <f>-EZ18+FA18</f>
        <v>0</v>
      </c>
      <c r="FC18" s="269"/>
      <c r="FD18" s="269"/>
      <c r="FE18" s="269"/>
      <c r="FF18" s="314">
        <f>-FD18+FE18</f>
        <v>0</v>
      </c>
      <c r="FG18" s="269"/>
      <c r="FH18" s="269"/>
      <c r="FI18" s="269"/>
      <c r="FJ18" s="314">
        <f>-FH18+FI18</f>
        <v>0</v>
      </c>
      <c r="FK18" s="269"/>
      <c r="FL18" s="269"/>
      <c r="FM18" s="269"/>
      <c r="FN18" s="314">
        <f>-FL18+FM18</f>
        <v>0</v>
      </c>
      <c r="FO18" s="269"/>
      <c r="FP18" s="269"/>
      <c r="FQ18" s="269"/>
      <c r="FR18" s="314">
        <f>-FP18+FQ18</f>
        <v>0</v>
      </c>
      <c r="FS18" s="269"/>
      <c r="FT18" s="269"/>
      <c r="FU18" s="269"/>
      <c r="FV18" s="314">
        <f>-FT18+FU18</f>
        <v>0</v>
      </c>
      <c r="FW18" s="269"/>
      <c r="FX18" s="269"/>
      <c r="FY18" s="269"/>
      <c r="FZ18" s="314">
        <f>-FX18+FY18</f>
        <v>0</v>
      </c>
      <c r="GA18" s="269"/>
      <c r="GB18" s="269"/>
      <c r="GC18" s="269"/>
      <c r="GD18" s="314">
        <f>-GB18+GC18</f>
        <v>0</v>
      </c>
      <c r="GE18" s="269"/>
      <c r="GF18" s="269"/>
      <c r="GG18" s="269"/>
      <c r="GH18" s="314">
        <f>-GF18+GG18</f>
        <v>0</v>
      </c>
      <c r="GI18" s="269"/>
      <c r="GJ18" s="269"/>
      <c r="GK18" s="269"/>
      <c r="GL18" s="314">
        <f>-GJ18+GK18</f>
        <v>0</v>
      </c>
      <c r="GM18" s="269"/>
      <c r="GN18" s="269"/>
      <c r="GO18" s="269"/>
      <c r="GP18" s="314">
        <f>-GN18+GO18</f>
        <v>0</v>
      </c>
      <c r="GQ18" s="269"/>
      <c r="GR18" s="269"/>
      <c r="GS18" s="269"/>
      <c r="GT18" s="314">
        <f>-GR18+GS18</f>
        <v>0</v>
      </c>
      <c r="GU18" s="269"/>
      <c r="GV18" s="269"/>
      <c r="GW18" s="269"/>
      <c r="GX18" s="314">
        <f>-GV18+GW18</f>
        <v>0</v>
      </c>
      <c r="GY18" s="269"/>
      <c r="GZ18" s="269"/>
      <c r="HA18" s="269"/>
      <c r="HB18" s="314">
        <f>-GZ18+HA18</f>
        <v>0</v>
      </c>
      <c r="HC18" s="269"/>
      <c r="HD18" s="269"/>
      <c r="HE18" s="269"/>
      <c r="HF18" s="314">
        <f>-HD18+HE18</f>
        <v>0</v>
      </c>
      <c r="HG18" s="269"/>
      <c r="HH18" s="269"/>
      <c r="HI18" s="269"/>
      <c r="HJ18" s="314">
        <f>-HH18+HI18</f>
        <v>0</v>
      </c>
      <c r="HK18" s="269"/>
      <c r="HL18" s="269"/>
      <c r="HM18" s="269"/>
      <c r="HN18" s="314">
        <f>-HL18+HM18</f>
        <v>0</v>
      </c>
      <c r="HO18" s="269"/>
      <c r="HP18" s="269"/>
      <c r="HQ18" s="269"/>
      <c r="HR18" s="314">
        <f>-HP18+HQ18</f>
        <v>0</v>
      </c>
      <c r="HS18" s="269"/>
      <c r="HT18" s="269"/>
      <c r="HU18" s="269"/>
      <c r="HV18" s="314">
        <f>-HT18+HU18</f>
        <v>0</v>
      </c>
      <c r="HW18" s="269"/>
      <c r="HX18" s="269"/>
      <c r="HY18" s="269"/>
      <c r="HZ18" s="314">
        <f>-HX18+HY18</f>
        <v>0</v>
      </c>
      <c r="IA18" s="269"/>
      <c r="IB18" s="269"/>
      <c r="IC18" s="269"/>
      <c r="ID18" s="314">
        <f>-IB18+IC18</f>
        <v>0</v>
      </c>
      <c r="IE18" s="269"/>
      <c r="IF18" s="269"/>
      <c r="IG18" s="269"/>
      <c r="IH18" s="314">
        <f>-IF18+IG18</f>
        <v>0</v>
      </c>
      <c r="II18" s="269"/>
      <c r="IJ18" s="269"/>
      <c r="IK18" s="269"/>
      <c r="IL18" s="314">
        <f>-IJ18+IK18</f>
        <v>0</v>
      </c>
      <c r="IM18" s="269"/>
      <c r="IN18" s="269"/>
      <c r="IO18" s="269"/>
      <c r="IP18" s="314">
        <f>-IN18+IO18</f>
        <v>0</v>
      </c>
      <c r="IQ18" s="277">
        <f t="shared" si="1"/>
        <v>0</v>
      </c>
      <c r="IR18" s="277">
        <f t="shared" si="1"/>
        <v>0</v>
      </c>
      <c r="IS18" s="277">
        <f t="shared" si="1"/>
        <v>0</v>
      </c>
      <c r="IT18" s="277">
        <f t="shared" si="1"/>
        <v>0</v>
      </c>
    </row>
    <row r="19" spans="1:254" ht="30" customHeight="1">
      <c r="A19" s="429"/>
      <c r="B19" s="435" t="s">
        <v>493</v>
      </c>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7"/>
      <c r="CO19" s="277"/>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c r="DS19" s="277"/>
      <c r="DT19" s="277"/>
      <c r="DU19" s="277"/>
      <c r="DV19" s="277"/>
      <c r="DW19" s="277"/>
      <c r="DX19" s="277"/>
      <c r="DY19" s="277"/>
      <c r="DZ19" s="277"/>
      <c r="EA19" s="277"/>
      <c r="EB19" s="277"/>
      <c r="EC19" s="277"/>
      <c r="ED19" s="277"/>
      <c r="EE19" s="277"/>
      <c r="EF19" s="277"/>
      <c r="EG19" s="277"/>
      <c r="EH19" s="277"/>
      <c r="EI19" s="277"/>
      <c r="EJ19" s="277"/>
      <c r="EK19" s="277"/>
      <c r="EL19" s="277"/>
      <c r="EM19" s="277"/>
      <c r="EN19" s="277"/>
      <c r="EO19" s="277"/>
      <c r="EP19" s="277"/>
      <c r="EQ19" s="277"/>
      <c r="ER19" s="277"/>
      <c r="ES19" s="277"/>
      <c r="ET19" s="277"/>
      <c r="EU19" s="277"/>
      <c r="EV19" s="277"/>
      <c r="EW19" s="277"/>
      <c r="EX19" s="277"/>
      <c r="EY19" s="277"/>
      <c r="EZ19" s="277"/>
      <c r="FA19" s="277"/>
      <c r="FB19" s="277"/>
      <c r="FC19" s="277"/>
      <c r="FD19" s="277"/>
      <c r="FE19" s="277"/>
      <c r="FF19" s="277"/>
      <c r="FG19" s="277"/>
      <c r="FH19" s="277"/>
      <c r="FI19" s="277"/>
      <c r="FJ19" s="277"/>
      <c r="FK19" s="277"/>
      <c r="FL19" s="277"/>
      <c r="FM19" s="277"/>
      <c r="FN19" s="277"/>
      <c r="FO19" s="277"/>
      <c r="FP19" s="277"/>
      <c r="FQ19" s="277"/>
      <c r="FR19" s="277"/>
      <c r="FS19" s="277"/>
      <c r="FT19" s="277"/>
      <c r="FU19" s="277"/>
      <c r="FV19" s="277"/>
      <c r="FW19" s="277"/>
      <c r="FX19" s="277"/>
      <c r="FY19" s="277"/>
      <c r="FZ19" s="277"/>
      <c r="GA19" s="277"/>
      <c r="GB19" s="277"/>
      <c r="GC19" s="277"/>
      <c r="GD19" s="277"/>
      <c r="GE19" s="277"/>
      <c r="GF19" s="277"/>
      <c r="GG19" s="277"/>
      <c r="GH19" s="277"/>
      <c r="GI19" s="277"/>
      <c r="GJ19" s="277"/>
      <c r="GK19" s="277"/>
      <c r="GL19" s="277"/>
      <c r="GM19" s="277"/>
      <c r="GN19" s="277"/>
      <c r="GO19" s="277"/>
      <c r="GP19" s="277"/>
      <c r="GQ19" s="277"/>
      <c r="GR19" s="277"/>
      <c r="GS19" s="277"/>
      <c r="GT19" s="277"/>
      <c r="GU19" s="277"/>
      <c r="GV19" s="277"/>
      <c r="GW19" s="277"/>
      <c r="GX19" s="277"/>
      <c r="GY19" s="277"/>
      <c r="GZ19" s="277"/>
      <c r="HA19" s="277"/>
      <c r="HB19" s="277"/>
      <c r="HC19" s="277"/>
      <c r="HD19" s="277"/>
      <c r="HE19" s="277"/>
      <c r="HF19" s="277"/>
      <c r="HG19" s="277"/>
      <c r="HH19" s="277"/>
      <c r="HI19" s="277"/>
      <c r="HJ19" s="277"/>
      <c r="HK19" s="277"/>
      <c r="HL19" s="277"/>
      <c r="HM19" s="277"/>
      <c r="HN19" s="277"/>
      <c r="HO19" s="277"/>
      <c r="HP19" s="277"/>
      <c r="HQ19" s="277"/>
      <c r="HR19" s="277"/>
      <c r="HS19" s="277"/>
      <c r="HT19" s="277"/>
      <c r="HU19" s="277"/>
      <c r="HV19" s="277"/>
      <c r="HW19" s="277"/>
      <c r="HX19" s="277"/>
      <c r="HY19" s="277"/>
      <c r="HZ19" s="277"/>
      <c r="IA19" s="277"/>
      <c r="IB19" s="277"/>
      <c r="IC19" s="277"/>
      <c r="ID19" s="277"/>
      <c r="IE19" s="277"/>
      <c r="IF19" s="277"/>
      <c r="IG19" s="277"/>
      <c r="IH19" s="277"/>
      <c r="II19" s="277"/>
      <c r="IJ19" s="277"/>
      <c r="IK19" s="277"/>
      <c r="IL19" s="277"/>
      <c r="IM19" s="277"/>
      <c r="IN19" s="277"/>
      <c r="IO19" s="277"/>
      <c r="IP19" s="277"/>
      <c r="IQ19" s="277"/>
      <c r="IR19" s="277"/>
      <c r="IS19" s="277"/>
      <c r="IT19" s="277"/>
    </row>
    <row r="20" spans="1:254" ht="21.95" customHeight="1">
      <c r="A20" s="301">
        <v>331000</v>
      </c>
      <c r="B20" s="263" t="s">
        <v>489</v>
      </c>
      <c r="C20" s="269"/>
      <c r="D20" s="269"/>
      <c r="E20" s="269"/>
      <c r="F20" s="314">
        <f t="shared" ref="F20:F25" si="2">-D20+E20</f>
        <v>0</v>
      </c>
      <c r="G20" s="269"/>
      <c r="H20" s="269"/>
      <c r="I20" s="269"/>
      <c r="J20" s="314">
        <f t="shared" ref="J20:J25" si="3">-H20+I20</f>
        <v>0</v>
      </c>
      <c r="K20" s="269"/>
      <c r="L20" s="269"/>
      <c r="M20" s="269"/>
      <c r="N20" s="314">
        <f t="shared" ref="N20:N25" si="4">-L20+M20</f>
        <v>0</v>
      </c>
      <c r="O20" s="269"/>
      <c r="P20" s="269"/>
      <c r="Q20" s="269"/>
      <c r="R20" s="314">
        <f t="shared" ref="R20:R25" si="5">-P20+Q20</f>
        <v>0</v>
      </c>
      <c r="S20" s="269"/>
      <c r="T20" s="269"/>
      <c r="U20" s="269"/>
      <c r="V20" s="314">
        <f t="shared" ref="V20:V25" si="6">-T20+U20</f>
        <v>0</v>
      </c>
      <c r="W20" s="269"/>
      <c r="X20" s="269"/>
      <c r="Y20" s="269"/>
      <c r="Z20" s="314">
        <f t="shared" ref="Z20:Z25" si="7">-X20+Y20</f>
        <v>0</v>
      </c>
      <c r="AA20" s="269"/>
      <c r="AB20" s="269"/>
      <c r="AC20" s="269"/>
      <c r="AD20" s="314">
        <f t="shared" ref="AD20:AD25" si="8">-AB20+AC20</f>
        <v>0</v>
      </c>
      <c r="AE20" s="269"/>
      <c r="AF20" s="269"/>
      <c r="AG20" s="269"/>
      <c r="AH20" s="314">
        <f t="shared" ref="AH20:AH25" si="9">-AF20+AG20</f>
        <v>0</v>
      </c>
      <c r="AI20" s="269"/>
      <c r="AJ20" s="269"/>
      <c r="AK20" s="269"/>
      <c r="AL20" s="314">
        <f t="shared" ref="AL20:AL25" si="10">-AJ20+AK20</f>
        <v>0</v>
      </c>
      <c r="AM20" s="269"/>
      <c r="AN20" s="269"/>
      <c r="AO20" s="269"/>
      <c r="AP20" s="314">
        <f t="shared" ref="AP20:AP25" si="11">-AN20+AO20</f>
        <v>0</v>
      </c>
      <c r="AQ20" s="269"/>
      <c r="AR20" s="269"/>
      <c r="AS20" s="269"/>
      <c r="AT20" s="314">
        <f t="shared" ref="AT20:AT25" si="12">-AR20+AS20</f>
        <v>0</v>
      </c>
      <c r="AU20" s="269"/>
      <c r="AV20" s="269"/>
      <c r="AW20" s="269"/>
      <c r="AX20" s="314">
        <f t="shared" ref="AX20:AX25" si="13">-AV20+AW20</f>
        <v>0</v>
      </c>
      <c r="AY20" s="269"/>
      <c r="AZ20" s="269"/>
      <c r="BA20" s="269"/>
      <c r="BB20" s="314">
        <f t="shared" ref="BB20:BB25" si="14">-AZ20+BA20</f>
        <v>0</v>
      </c>
      <c r="BC20" s="269"/>
      <c r="BD20" s="269"/>
      <c r="BE20" s="269"/>
      <c r="BF20" s="314">
        <f t="shared" ref="BF20:BF25" si="15">-BD20+BE20</f>
        <v>0</v>
      </c>
      <c r="BG20" s="269"/>
      <c r="BH20" s="269"/>
      <c r="BI20" s="269"/>
      <c r="BJ20" s="314">
        <f t="shared" ref="BJ20:BJ25" si="16">-BH20+BI20</f>
        <v>0</v>
      </c>
      <c r="BK20" s="269"/>
      <c r="BL20" s="269"/>
      <c r="BM20" s="269"/>
      <c r="BN20" s="314">
        <f t="shared" ref="BN20:BN25" si="17">-BL20+BM20</f>
        <v>0</v>
      </c>
      <c r="BO20" s="269"/>
      <c r="BP20" s="269"/>
      <c r="BQ20" s="269"/>
      <c r="BR20" s="314">
        <f t="shared" ref="BR20:BR25" si="18">-BP20+BQ20</f>
        <v>0</v>
      </c>
      <c r="BS20" s="269"/>
      <c r="BT20" s="269"/>
      <c r="BU20" s="269"/>
      <c r="BV20" s="314">
        <f t="shared" ref="BV20:BV25" si="19">-BT20+BU20</f>
        <v>0</v>
      </c>
      <c r="BW20" s="269"/>
      <c r="BX20" s="269"/>
      <c r="BY20" s="269"/>
      <c r="BZ20" s="314">
        <f t="shared" ref="BZ20:BZ25" si="20">-BX20+BY20</f>
        <v>0</v>
      </c>
      <c r="CA20" s="269"/>
      <c r="CB20" s="269"/>
      <c r="CC20" s="269"/>
      <c r="CD20" s="314">
        <f t="shared" ref="CD20:CD25" si="21">-CB20+CC20</f>
        <v>0</v>
      </c>
      <c r="CE20" s="269"/>
      <c r="CF20" s="269"/>
      <c r="CG20" s="269"/>
      <c r="CH20" s="314">
        <f t="shared" ref="CH20:CH25" si="22">-CF20+CG20</f>
        <v>0</v>
      </c>
      <c r="CI20" s="269"/>
      <c r="CJ20" s="269"/>
      <c r="CK20" s="269"/>
      <c r="CL20" s="314">
        <f t="shared" ref="CL20:CL25" si="23">-CJ20+CK20</f>
        <v>0</v>
      </c>
      <c r="CM20" s="269"/>
      <c r="CN20" s="269"/>
      <c r="CO20" s="269"/>
      <c r="CP20" s="314">
        <f t="shared" ref="CP20:CP25" si="24">-CN20+CO20</f>
        <v>0</v>
      </c>
      <c r="CQ20" s="269"/>
      <c r="CR20" s="269"/>
      <c r="CS20" s="269"/>
      <c r="CT20" s="314">
        <f t="shared" ref="CT20:CT25" si="25">-CR20+CS20</f>
        <v>0</v>
      </c>
      <c r="CU20" s="269"/>
      <c r="CV20" s="269"/>
      <c r="CW20" s="269"/>
      <c r="CX20" s="314">
        <f t="shared" ref="CX20:CX25" si="26">-CV20+CW20</f>
        <v>0</v>
      </c>
      <c r="CY20" s="269"/>
      <c r="CZ20" s="269"/>
      <c r="DA20" s="269"/>
      <c r="DB20" s="314">
        <f t="shared" ref="DB20:DB25" si="27">-CZ20+DA20</f>
        <v>0</v>
      </c>
      <c r="DC20" s="269"/>
      <c r="DD20" s="269"/>
      <c r="DE20" s="269"/>
      <c r="DF20" s="314">
        <f t="shared" ref="DF20:DF25" si="28">-DD20+DE20</f>
        <v>0</v>
      </c>
      <c r="DG20" s="269"/>
      <c r="DH20" s="269"/>
      <c r="DI20" s="269"/>
      <c r="DJ20" s="314">
        <f t="shared" ref="DJ20:DJ25" si="29">-DH20+DI20</f>
        <v>0</v>
      </c>
      <c r="DK20" s="269"/>
      <c r="DL20" s="269"/>
      <c r="DM20" s="269"/>
      <c r="DN20" s="314">
        <f t="shared" ref="DN20:DN25" si="30">-DL20+DM20</f>
        <v>0</v>
      </c>
      <c r="DO20" s="269"/>
      <c r="DP20" s="269"/>
      <c r="DQ20" s="269"/>
      <c r="DR20" s="314">
        <f t="shared" ref="DR20:DR25" si="31">-DP20+DQ20</f>
        <v>0</v>
      </c>
      <c r="DS20" s="269"/>
      <c r="DT20" s="269"/>
      <c r="DU20" s="269"/>
      <c r="DV20" s="314">
        <f t="shared" ref="DV20:DV25" si="32">-DT20+DU20</f>
        <v>0</v>
      </c>
      <c r="DW20" s="269"/>
      <c r="DX20" s="269"/>
      <c r="DY20" s="269"/>
      <c r="DZ20" s="314">
        <f t="shared" ref="DZ20:DZ25" si="33">-DX20+DY20</f>
        <v>0</v>
      </c>
      <c r="EA20" s="269"/>
      <c r="EB20" s="269"/>
      <c r="EC20" s="269"/>
      <c r="ED20" s="314">
        <f t="shared" ref="ED20:ED25" si="34">-EB20+EC20</f>
        <v>0</v>
      </c>
      <c r="EE20" s="269"/>
      <c r="EF20" s="269"/>
      <c r="EG20" s="269"/>
      <c r="EH20" s="314">
        <f t="shared" ref="EH20:EH25" si="35">-EF20+EG20</f>
        <v>0</v>
      </c>
      <c r="EI20" s="269"/>
      <c r="EJ20" s="269"/>
      <c r="EK20" s="269"/>
      <c r="EL20" s="314">
        <f t="shared" ref="EL20:EL25" si="36">-EJ20+EK20</f>
        <v>0</v>
      </c>
      <c r="EM20" s="269"/>
      <c r="EN20" s="269"/>
      <c r="EO20" s="269"/>
      <c r="EP20" s="314">
        <f t="shared" ref="EP20:EP25" si="37">-EN20+EO20</f>
        <v>0</v>
      </c>
      <c r="EQ20" s="269"/>
      <c r="ER20" s="269"/>
      <c r="ES20" s="269"/>
      <c r="ET20" s="314">
        <f t="shared" ref="ET20:ET25" si="38">-ER20+ES20</f>
        <v>0</v>
      </c>
      <c r="EU20" s="269"/>
      <c r="EV20" s="269"/>
      <c r="EW20" s="269"/>
      <c r="EX20" s="314">
        <f t="shared" ref="EX20:EX25" si="39">-EV20+EW20</f>
        <v>0</v>
      </c>
      <c r="EY20" s="269"/>
      <c r="EZ20" s="269"/>
      <c r="FA20" s="269"/>
      <c r="FB20" s="314">
        <f t="shared" ref="FB20:FB25" si="40">-EZ20+FA20</f>
        <v>0</v>
      </c>
      <c r="FC20" s="269"/>
      <c r="FD20" s="269"/>
      <c r="FE20" s="269"/>
      <c r="FF20" s="314">
        <f t="shared" ref="FF20:FF25" si="41">-FD20+FE20</f>
        <v>0</v>
      </c>
      <c r="FG20" s="269"/>
      <c r="FH20" s="269"/>
      <c r="FI20" s="269"/>
      <c r="FJ20" s="314">
        <f t="shared" ref="FJ20:FJ25" si="42">-FH20+FI20</f>
        <v>0</v>
      </c>
      <c r="FK20" s="269"/>
      <c r="FL20" s="269"/>
      <c r="FM20" s="269"/>
      <c r="FN20" s="314">
        <f t="shared" ref="FN20:FN25" si="43">-FL20+FM20</f>
        <v>0</v>
      </c>
      <c r="FO20" s="269"/>
      <c r="FP20" s="269"/>
      <c r="FQ20" s="269"/>
      <c r="FR20" s="314">
        <f t="shared" ref="FR20:FR25" si="44">-FP20+FQ20</f>
        <v>0</v>
      </c>
      <c r="FS20" s="269"/>
      <c r="FT20" s="269"/>
      <c r="FU20" s="269"/>
      <c r="FV20" s="314">
        <f t="shared" ref="FV20:FV25" si="45">-FT20+FU20</f>
        <v>0</v>
      </c>
      <c r="FW20" s="269"/>
      <c r="FX20" s="269"/>
      <c r="FY20" s="269"/>
      <c r="FZ20" s="314">
        <f t="shared" ref="FZ20:FZ25" si="46">-FX20+FY20</f>
        <v>0</v>
      </c>
      <c r="GA20" s="269"/>
      <c r="GB20" s="269"/>
      <c r="GC20" s="269"/>
      <c r="GD20" s="314">
        <f t="shared" ref="GD20:GD25" si="47">-GB20+GC20</f>
        <v>0</v>
      </c>
      <c r="GE20" s="269"/>
      <c r="GF20" s="269"/>
      <c r="GG20" s="269"/>
      <c r="GH20" s="314">
        <f t="shared" ref="GH20:GH25" si="48">-GF20+GG20</f>
        <v>0</v>
      </c>
      <c r="GI20" s="269"/>
      <c r="GJ20" s="269"/>
      <c r="GK20" s="269"/>
      <c r="GL20" s="314">
        <f t="shared" ref="GL20:GL25" si="49">-GJ20+GK20</f>
        <v>0</v>
      </c>
      <c r="GM20" s="269"/>
      <c r="GN20" s="269"/>
      <c r="GO20" s="269"/>
      <c r="GP20" s="314">
        <f t="shared" ref="GP20:GP25" si="50">-GN20+GO20</f>
        <v>0</v>
      </c>
      <c r="GQ20" s="269"/>
      <c r="GR20" s="269"/>
      <c r="GS20" s="269"/>
      <c r="GT20" s="314">
        <f t="shared" ref="GT20:GT25" si="51">-GR20+GS20</f>
        <v>0</v>
      </c>
      <c r="GU20" s="269"/>
      <c r="GV20" s="269"/>
      <c r="GW20" s="269"/>
      <c r="GX20" s="314">
        <f t="shared" ref="GX20:GX25" si="52">-GV20+GW20</f>
        <v>0</v>
      </c>
      <c r="GY20" s="269"/>
      <c r="GZ20" s="269"/>
      <c r="HA20" s="269"/>
      <c r="HB20" s="314">
        <f t="shared" ref="HB20:HB25" si="53">-GZ20+HA20</f>
        <v>0</v>
      </c>
      <c r="HC20" s="269"/>
      <c r="HD20" s="269"/>
      <c r="HE20" s="269"/>
      <c r="HF20" s="314">
        <f t="shared" ref="HF20:HF25" si="54">-HD20+HE20</f>
        <v>0</v>
      </c>
      <c r="HG20" s="269"/>
      <c r="HH20" s="269"/>
      <c r="HI20" s="269"/>
      <c r="HJ20" s="314">
        <f t="shared" ref="HJ20:HJ25" si="55">-HH20+HI20</f>
        <v>0</v>
      </c>
      <c r="HK20" s="269"/>
      <c r="HL20" s="269"/>
      <c r="HM20" s="269"/>
      <c r="HN20" s="314">
        <f t="shared" ref="HN20:HN25" si="56">-HL20+HM20</f>
        <v>0</v>
      </c>
      <c r="HO20" s="269"/>
      <c r="HP20" s="269"/>
      <c r="HQ20" s="269"/>
      <c r="HR20" s="314">
        <f t="shared" ref="HR20:HR25" si="57">-HP20+HQ20</f>
        <v>0</v>
      </c>
      <c r="HS20" s="269"/>
      <c r="HT20" s="269"/>
      <c r="HU20" s="269"/>
      <c r="HV20" s="314">
        <f t="shared" ref="HV20:HV25" si="58">-HT20+HU20</f>
        <v>0</v>
      </c>
      <c r="HW20" s="269"/>
      <c r="HX20" s="269"/>
      <c r="HY20" s="269"/>
      <c r="HZ20" s="314">
        <f t="shared" ref="HZ20:HZ25" si="59">-HX20+HY20</f>
        <v>0</v>
      </c>
      <c r="IA20" s="269"/>
      <c r="IB20" s="269"/>
      <c r="IC20" s="269"/>
      <c r="ID20" s="314">
        <f t="shared" ref="ID20:ID25" si="60">-IB20+IC20</f>
        <v>0</v>
      </c>
      <c r="IE20" s="269"/>
      <c r="IF20" s="269"/>
      <c r="IG20" s="269"/>
      <c r="IH20" s="314">
        <f t="shared" ref="IH20:IH25" si="61">-IF20+IG20</f>
        <v>0</v>
      </c>
      <c r="II20" s="269"/>
      <c r="IJ20" s="269"/>
      <c r="IK20" s="269"/>
      <c r="IL20" s="314">
        <f t="shared" ref="IL20:IL25" si="62">-IJ20+IK20</f>
        <v>0</v>
      </c>
      <c r="IM20" s="269"/>
      <c r="IN20" s="269"/>
      <c r="IO20" s="269"/>
      <c r="IP20" s="314">
        <f t="shared" ref="IP20:IP25" si="63">-IN20+IO20</f>
        <v>0</v>
      </c>
      <c r="IQ20" s="277">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77">
        <f t="shared" si="64"/>
        <v>0</v>
      </c>
      <c r="IS20" s="277">
        <f t="shared" si="64"/>
        <v>0</v>
      </c>
      <c r="IT20" s="277">
        <f t="shared" si="64"/>
        <v>0</v>
      </c>
    </row>
    <row r="21" spans="1:254" ht="21.95" customHeight="1">
      <c r="A21" s="301" t="s">
        <v>2608</v>
      </c>
      <c r="B21" s="263" t="s">
        <v>490</v>
      </c>
      <c r="C21" s="269"/>
      <c r="D21" s="269"/>
      <c r="E21" s="269"/>
      <c r="F21" s="314">
        <f t="shared" si="2"/>
        <v>0</v>
      </c>
      <c r="G21" s="269"/>
      <c r="H21" s="269"/>
      <c r="I21" s="269"/>
      <c r="J21" s="314">
        <f t="shared" si="3"/>
        <v>0</v>
      </c>
      <c r="K21" s="269"/>
      <c r="L21" s="269"/>
      <c r="M21" s="269"/>
      <c r="N21" s="314">
        <f t="shared" si="4"/>
        <v>0</v>
      </c>
      <c r="O21" s="269"/>
      <c r="P21" s="269"/>
      <c r="Q21" s="269"/>
      <c r="R21" s="314">
        <f t="shared" si="5"/>
        <v>0</v>
      </c>
      <c r="S21" s="269"/>
      <c r="T21" s="269"/>
      <c r="U21" s="269"/>
      <c r="V21" s="314">
        <f t="shared" si="6"/>
        <v>0</v>
      </c>
      <c r="W21" s="269"/>
      <c r="X21" s="269"/>
      <c r="Y21" s="269"/>
      <c r="Z21" s="314">
        <f t="shared" si="7"/>
        <v>0</v>
      </c>
      <c r="AA21" s="269"/>
      <c r="AB21" s="269"/>
      <c r="AC21" s="269"/>
      <c r="AD21" s="314">
        <f t="shared" si="8"/>
        <v>0</v>
      </c>
      <c r="AE21" s="269"/>
      <c r="AF21" s="269"/>
      <c r="AG21" s="269"/>
      <c r="AH21" s="314">
        <f t="shared" si="9"/>
        <v>0</v>
      </c>
      <c r="AI21" s="269"/>
      <c r="AJ21" s="269"/>
      <c r="AK21" s="269"/>
      <c r="AL21" s="314">
        <f t="shared" si="10"/>
        <v>0</v>
      </c>
      <c r="AM21" s="269"/>
      <c r="AN21" s="269"/>
      <c r="AO21" s="269"/>
      <c r="AP21" s="314">
        <f t="shared" si="11"/>
        <v>0</v>
      </c>
      <c r="AQ21" s="269"/>
      <c r="AR21" s="269"/>
      <c r="AS21" s="269"/>
      <c r="AT21" s="314">
        <f t="shared" si="12"/>
        <v>0</v>
      </c>
      <c r="AU21" s="269"/>
      <c r="AV21" s="269"/>
      <c r="AW21" s="269"/>
      <c r="AX21" s="314">
        <f t="shared" si="13"/>
        <v>0</v>
      </c>
      <c r="AY21" s="269"/>
      <c r="AZ21" s="269"/>
      <c r="BA21" s="269"/>
      <c r="BB21" s="314">
        <f t="shared" si="14"/>
        <v>0</v>
      </c>
      <c r="BC21" s="269"/>
      <c r="BD21" s="269"/>
      <c r="BE21" s="269"/>
      <c r="BF21" s="314">
        <f t="shared" si="15"/>
        <v>0</v>
      </c>
      <c r="BG21" s="269"/>
      <c r="BH21" s="269"/>
      <c r="BI21" s="269"/>
      <c r="BJ21" s="314">
        <f t="shared" si="16"/>
        <v>0</v>
      </c>
      <c r="BK21" s="269"/>
      <c r="BL21" s="269"/>
      <c r="BM21" s="269"/>
      <c r="BN21" s="314">
        <f t="shared" si="17"/>
        <v>0</v>
      </c>
      <c r="BO21" s="269"/>
      <c r="BP21" s="269"/>
      <c r="BQ21" s="269"/>
      <c r="BR21" s="314">
        <f t="shared" si="18"/>
        <v>0</v>
      </c>
      <c r="BS21" s="269"/>
      <c r="BT21" s="269"/>
      <c r="BU21" s="269"/>
      <c r="BV21" s="314">
        <f t="shared" si="19"/>
        <v>0</v>
      </c>
      <c r="BW21" s="269"/>
      <c r="BX21" s="269"/>
      <c r="BY21" s="269"/>
      <c r="BZ21" s="314">
        <f t="shared" si="20"/>
        <v>0</v>
      </c>
      <c r="CA21" s="269"/>
      <c r="CB21" s="269"/>
      <c r="CC21" s="269"/>
      <c r="CD21" s="314">
        <f t="shared" si="21"/>
        <v>0</v>
      </c>
      <c r="CE21" s="269"/>
      <c r="CF21" s="269"/>
      <c r="CG21" s="269"/>
      <c r="CH21" s="314">
        <f t="shared" si="22"/>
        <v>0</v>
      </c>
      <c r="CI21" s="269"/>
      <c r="CJ21" s="269"/>
      <c r="CK21" s="269"/>
      <c r="CL21" s="314">
        <f t="shared" si="23"/>
        <v>0</v>
      </c>
      <c r="CM21" s="269"/>
      <c r="CN21" s="269"/>
      <c r="CO21" s="269"/>
      <c r="CP21" s="314">
        <f t="shared" si="24"/>
        <v>0</v>
      </c>
      <c r="CQ21" s="269"/>
      <c r="CR21" s="269"/>
      <c r="CS21" s="269"/>
      <c r="CT21" s="314">
        <f t="shared" si="25"/>
        <v>0</v>
      </c>
      <c r="CU21" s="269"/>
      <c r="CV21" s="269"/>
      <c r="CW21" s="269"/>
      <c r="CX21" s="314">
        <f t="shared" si="26"/>
        <v>0</v>
      </c>
      <c r="CY21" s="269"/>
      <c r="CZ21" s="269"/>
      <c r="DA21" s="269"/>
      <c r="DB21" s="314">
        <f t="shared" si="27"/>
        <v>0</v>
      </c>
      <c r="DC21" s="269"/>
      <c r="DD21" s="269"/>
      <c r="DE21" s="269"/>
      <c r="DF21" s="314">
        <f t="shared" si="28"/>
        <v>0</v>
      </c>
      <c r="DG21" s="269"/>
      <c r="DH21" s="269"/>
      <c r="DI21" s="269"/>
      <c r="DJ21" s="314">
        <f t="shared" si="29"/>
        <v>0</v>
      </c>
      <c r="DK21" s="269"/>
      <c r="DL21" s="269"/>
      <c r="DM21" s="269"/>
      <c r="DN21" s="314">
        <f t="shared" si="30"/>
        <v>0</v>
      </c>
      <c r="DO21" s="269"/>
      <c r="DP21" s="269"/>
      <c r="DQ21" s="269"/>
      <c r="DR21" s="314">
        <f t="shared" si="31"/>
        <v>0</v>
      </c>
      <c r="DS21" s="269"/>
      <c r="DT21" s="269"/>
      <c r="DU21" s="269"/>
      <c r="DV21" s="314">
        <f t="shared" si="32"/>
        <v>0</v>
      </c>
      <c r="DW21" s="269"/>
      <c r="DX21" s="269"/>
      <c r="DY21" s="269"/>
      <c r="DZ21" s="314">
        <f t="shared" si="33"/>
        <v>0</v>
      </c>
      <c r="EA21" s="269"/>
      <c r="EB21" s="269"/>
      <c r="EC21" s="269"/>
      <c r="ED21" s="314">
        <f t="shared" si="34"/>
        <v>0</v>
      </c>
      <c r="EE21" s="269"/>
      <c r="EF21" s="269"/>
      <c r="EG21" s="269"/>
      <c r="EH21" s="314">
        <f t="shared" si="35"/>
        <v>0</v>
      </c>
      <c r="EI21" s="269"/>
      <c r="EJ21" s="269"/>
      <c r="EK21" s="269"/>
      <c r="EL21" s="314">
        <f t="shared" si="36"/>
        <v>0</v>
      </c>
      <c r="EM21" s="269"/>
      <c r="EN21" s="269"/>
      <c r="EO21" s="269"/>
      <c r="EP21" s="314">
        <f t="shared" si="37"/>
        <v>0</v>
      </c>
      <c r="EQ21" s="269"/>
      <c r="ER21" s="269"/>
      <c r="ES21" s="269"/>
      <c r="ET21" s="314">
        <f t="shared" si="38"/>
        <v>0</v>
      </c>
      <c r="EU21" s="269"/>
      <c r="EV21" s="269"/>
      <c r="EW21" s="269"/>
      <c r="EX21" s="314">
        <f t="shared" si="39"/>
        <v>0</v>
      </c>
      <c r="EY21" s="269"/>
      <c r="EZ21" s="269"/>
      <c r="FA21" s="269"/>
      <c r="FB21" s="314">
        <f t="shared" si="40"/>
        <v>0</v>
      </c>
      <c r="FC21" s="269"/>
      <c r="FD21" s="269"/>
      <c r="FE21" s="269"/>
      <c r="FF21" s="314">
        <f t="shared" si="41"/>
        <v>0</v>
      </c>
      <c r="FG21" s="269"/>
      <c r="FH21" s="269"/>
      <c r="FI21" s="269"/>
      <c r="FJ21" s="314">
        <f t="shared" si="42"/>
        <v>0</v>
      </c>
      <c r="FK21" s="269"/>
      <c r="FL21" s="269"/>
      <c r="FM21" s="269"/>
      <c r="FN21" s="314">
        <f t="shared" si="43"/>
        <v>0</v>
      </c>
      <c r="FO21" s="269"/>
      <c r="FP21" s="269"/>
      <c r="FQ21" s="269"/>
      <c r="FR21" s="314">
        <f t="shared" si="44"/>
        <v>0</v>
      </c>
      <c r="FS21" s="269"/>
      <c r="FT21" s="269"/>
      <c r="FU21" s="269"/>
      <c r="FV21" s="314">
        <f t="shared" si="45"/>
        <v>0</v>
      </c>
      <c r="FW21" s="269"/>
      <c r="FX21" s="269"/>
      <c r="FY21" s="269"/>
      <c r="FZ21" s="314">
        <f t="shared" si="46"/>
        <v>0</v>
      </c>
      <c r="GA21" s="269"/>
      <c r="GB21" s="269"/>
      <c r="GC21" s="269"/>
      <c r="GD21" s="314">
        <f t="shared" si="47"/>
        <v>0</v>
      </c>
      <c r="GE21" s="269"/>
      <c r="GF21" s="269"/>
      <c r="GG21" s="269"/>
      <c r="GH21" s="314">
        <f t="shared" si="48"/>
        <v>0</v>
      </c>
      <c r="GI21" s="269"/>
      <c r="GJ21" s="269"/>
      <c r="GK21" s="269"/>
      <c r="GL21" s="314">
        <f t="shared" si="49"/>
        <v>0</v>
      </c>
      <c r="GM21" s="269"/>
      <c r="GN21" s="269"/>
      <c r="GO21" s="269"/>
      <c r="GP21" s="314">
        <f t="shared" si="50"/>
        <v>0</v>
      </c>
      <c r="GQ21" s="269"/>
      <c r="GR21" s="269"/>
      <c r="GS21" s="269"/>
      <c r="GT21" s="314">
        <f t="shared" si="51"/>
        <v>0</v>
      </c>
      <c r="GU21" s="269"/>
      <c r="GV21" s="269"/>
      <c r="GW21" s="269"/>
      <c r="GX21" s="314">
        <f t="shared" si="52"/>
        <v>0</v>
      </c>
      <c r="GY21" s="269"/>
      <c r="GZ21" s="269"/>
      <c r="HA21" s="269"/>
      <c r="HB21" s="314">
        <f t="shared" si="53"/>
        <v>0</v>
      </c>
      <c r="HC21" s="269"/>
      <c r="HD21" s="269"/>
      <c r="HE21" s="269"/>
      <c r="HF21" s="314">
        <f t="shared" si="54"/>
        <v>0</v>
      </c>
      <c r="HG21" s="269"/>
      <c r="HH21" s="269"/>
      <c r="HI21" s="269"/>
      <c r="HJ21" s="314">
        <f t="shared" si="55"/>
        <v>0</v>
      </c>
      <c r="HK21" s="269"/>
      <c r="HL21" s="269"/>
      <c r="HM21" s="269"/>
      <c r="HN21" s="314">
        <f t="shared" si="56"/>
        <v>0</v>
      </c>
      <c r="HO21" s="269"/>
      <c r="HP21" s="269"/>
      <c r="HQ21" s="269"/>
      <c r="HR21" s="314">
        <f t="shared" si="57"/>
        <v>0</v>
      </c>
      <c r="HS21" s="269"/>
      <c r="HT21" s="269"/>
      <c r="HU21" s="269"/>
      <c r="HV21" s="314">
        <f t="shared" si="58"/>
        <v>0</v>
      </c>
      <c r="HW21" s="269"/>
      <c r="HX21" s="269"/>
      <c r="HY21" s="269"/>
      <c r="HZ21" s="314">
        <f t="shared" si="59"/>
        <v>0</v>
      </c>
      <c r="IA21" s="269"/>
      <c r="IB21" s="269"/>
      <c r="IC21" s="269"/>
      <c r="ID21" s="314">
        <f t="shared" si="60"/>
        <v>0</v>
      </c>
      <c r="IE21" s="269"/>
      <c r="IF21" s="269"/>
      <c r="IG21" s="269"/>
      <c r="IH21" s="314">
        <f t="shared" si="61"/>
        <v>0</v>
      </c>
      <c r="II21" s="269"/>
      <c r="IJ21" s="269"/>
      <c r="IK21" s="269"/>
      <c r="IL21" s="314">
        <f t="shared" si="62"/>
        <v>0</v>
      </c>
      <c r="IM21" s="269"/>
      <c r="IN21" s="269"/>
      <c r="IO21" s="269"/>
      <c r="IP21" s="314">
        <f t="shared" si="63"/>
        <v>0</v>
      </c>
      <c r="IQ21" s="277">
        <f t="shared" si="64"/>
        <v>0</v>
      </c>
      <c r="IR21" s="277">
        <f t="shared" si="64"/>
        <v>0</v>
      </c>
      <c r="IS21" s="277">
        <f t="shared" si="64"/>
        <v>0</v>
      </c>
      <c r="IT21" s="277">
        <f t="shared" si="64"/>
        <v>0</v>
      </c>
    </row>
    <row r="22" spans="1:254" ht="21.95" customHeight="1">
      <c r="A22" s="301">
        <v>334000</v>
      </c>
      <c r="B22" s="263" t="s">
        <v>491</v>
      </c>
      <c r="C22" s="269"/>
      <c r="D22" s="269"/>
      <c r="E22" s="269"/>
      <c r="F22" s="314">
        <f t="shared" si="2"/>
        <v>0</v>
      </c>
      <c r="G22" s="269"/>
      <c r="H22" s="269"/>
      <c r="I22" s="269"/>
      <c r="J22" s="314">
        <f t="shared" si="3"/>
        <v>0</v>
      </c>
      <c r="K22" s="269"/>
      <c r="L22" s="269"/>
      <c r="M22" s="269"/>
      <c r="N22" s="314">
        <f t="shared" si="4"/>
        <v>0</v>
      </c>
      <c r="O22" s="269"/>
      <c r="P22" s="269"/>
      <c r="Q22" s="269"/>
      <c r="R22" s="314">
        <f t="shared" si="5"/>
        <v>0</v>
      </c>
      <c r="S22" s="269"/>
      <c r="T22" s="269"/>
      <c r="U22" s="269"/>
      <c r="V22" s="314">
        <f t="shared" si="6"/>
        <v>0</v>
      </c>
      <c r="W22" s="269"/>
      <c r="X22" s="269"/>
      <c r="Y22" s="269"/>
      <c r="Z22" s="314">
        <f t="shared" si="7"/>
        <v>0</v>
      </c>
      <c r="AA22" s="269"/>
      <c r="AB22" s="269"/>
      <c r="AC22" s="269"/>
      <c r="AD22" s="314">
        <f t="shared" si="8"/>
        <v>0</v>
      </c>
      <c r="AE22" s="269"/>
      <c r="AF22" s="269"/>
      <c r="AG22" s="269"/>
      <c r="AH22" s="314">
        <f t="shared" si="9"/>
        <v>0</v>
      </c>
      <c r="AI22" s="269"/>
      <c r="AJ22" s="269"/>
      <c r="AK22" s="269"/>
      <c r="AL22" s="314">
        <f t="shared" si="10"/>
        <v>0</v>
      </c>
      <c r="AM22" s="269"/>
      <c r="AN22" s="269"/>
      <c r="AO22" s="269"/>
      <c r="AP22" s="314">
        <f t="shared" si="11"/>
        <v>0</v>
      </c>
      <c r="AQ22" s="269"/>
      <c r="AR22" s="269"/>
      <c r="AS22" s="269"/>
      <c r="AT22" s="314">
        <f t="shared" si="12"/>
        <v>0</v>
      </c>
      <c r="AU22" s="269"/>
      <c r="AV22" s="269"/>
      <c r="AW22" s="269"/>
      <c r="AX22" s="314">
        <f t="shared" si="13"/>
        <v>0</v>
      </c>
      <c r="AY22" s="269"/>
      <c r="AZ22" s="269"/>
      <c r="BA22" s="269"/>
      <c r="BB22" s="314">
        <f t="shared" si="14"/>
        <v>0</v>
      </c>
      <c r="BC22" s="269"/>
      <c r="BD22" s="269"/>
      <c r="BE22" s="269"/>
      <c r="BF22" s="314">
        <f t="shared" si="15"/>
        <v>0</v>
      </c>
      <c r="BG22" s="269"/>
      <c r="BH22" s="269"/>
      <c r="BI22" s="269"/>
      <c r="BJ22" s="314">
        <f t="shared" si="16"/>
        <v>0</v>
      </c>
      <c r="BK22" s="269"/>
      <c r="BL22" s="269"/>
      <c r="BM22" s="269"/>
      <c r="BN22" s="314">
        <f t="shared" si="17"/>
        <v>0</v>
      </c>
      <c r="BO22" s="269"/>
      <c r="BP22" s="269"/>
      <c r="BQ22" s="269"/>
      <c r="BR22" s="314">
        <f t="shared" si="18"/>
        <v>0</v>
      </c>
      <c r="BS22" s="269"/>
      <c r="BT22" s="269"/>
      <c r="BU22" s="269"/>
      <c r="BV22" s="314">
        <f t="shared" si="19"/>
        <v>0</v>
      </c>
      <c r="BW22" s="269"/>
      <c r="BX22" s="269"/>
      <c r="BY22" s="269"/>
      <c r="BZ22" s="314">
        <f t="shared" si="20"/>
        <v>0</v>
      </c>
      <c r="CA22" s="269"/>
      <c r="CB22" s="269"/>
      <c r="CC22" s="269"/>
      <c r="CD22" s="314">
        <f t="shared" si="21"/>
        <v>0</v>
      </c>
      <c r="CE22" s="269"/>
      <c r="CF22" s="269"/>
      <c r="CG22" s="269"/>
      <c r="CH22" s="314">
        <f t="shared" si="22"/>
        <v>0</v>
      </c>
      <c r="CI22" s="269"/>
      <c r="CJ22" s="269"/>
      <c r="CK22" s="269"/>
      <c r="CL22" s="314">
        <f t="shared" si="23"/>
        <v>0</v>
      </c>
      <c r="CM22" s="269"/>
      <c r="CN22" s="269"/>
      <c r="CO22" s="269"/>
      <c r="CP22" s="314">
        <f t="shared" si="24"/>
        <v>0</v>
      </c>
      <c r="CQ22" s="269"/>
      <c r="CR22" s="269"/>
      <c r="CS22" s="269"/>
      <c r="CT22" s="314">
        <f t="shared" si="25"/>
        <v>0</v>
      </c>
      <c r="CU22" s="269"/>
      <c r="CV22" s="269"/>
      <c r="CW22" s="269"/>
      <c r="CX22" s="314">
        <f t="shared" si="26"/>
        <v>0</v>
      </c>
      <c r="CY22" s="269"/>
      <c r="CZ22" s="269"/>
      <c r="DA22" s="269"/>
      <c r="DB22" s="314">
        <f t="shared" si="27"/>
        <v>0</v>
      </c>
      <c r="DC22" s="269"/>
      <c r="DD22" s="269"/>
      <c r="DE22" s="269"/>
      <c r="DF22" s="314">
        <f t="shared" si="28"/>
        <v>0</v>
      </c>
      <c r="DG22" s="269"/>
      <c r="DH22" s="269"/>
      <c r="DI22" s="269"/>
      <c r="DJ22" s="314">
        <f t="shared" si="29"/>
        <v>0</v>
      </c>
      <c r="DK22" s="269"/>
      <c r="DL22" s="269"/>
      <c r="DM22" s="269"/>
      <c r="DN22" s="314">
        <f t="shared" si="30"/>
        <v>0</v>
      </c>
      <c r="DO22" s="269"/>
      <c r="DP22" s="269"/>
      <c r="DQ22" s="269"/>
      <c r="DR22" s="314">
        <f t="shared" si="31"/>
        <v>0</v>
      </c>
      <c r="DS22" s="269"/>
      <c r="DT22" s="269"/>
      <c r="DU22" s="269"/>
      <c r="DV22" s="314">
        <f t="shared" si="32"/>
        <v>0</v>
      </c>
      <c r="DW22" s="269"/>
      <c r="DX22" s="269"/>
      <c r="DY22" s="269"/>
      <c r="DZ22" s="314">
        <f t="shared" si="33"/>
        <v>0</v>
      </c>
      <c r="EA22" s="269"/>
      <c r="EB22" s="269"/>
      <c r="EC22" s="269"/>
      <c r="ED22" s="314">
        <f t="shared" si="34"/>
        <v>0</v>
      </c>
      <c r="EE22" s="269"/>
      <c r="EF22" s="269"/>
      <c r="EG22" s="269"/>
      <c r="EH22" s="314">
        <f t="shared" si="35"/>
        <v>0</v>
      </c>
      <c r="EI22" s="269"/>
      <c r="EJ22" s="269"/>
      <c r="EK22" s="269"/>
      <c r="EL22" s="314">
        <f t="shared" si="36"/>
        <v>0</v>
      </c>
      <c r="EM22" s="269"/>
      <c r="EN22" s="269"/>
      <c r="EO22" s="269"/>
      <c r="EP22" s="314">
        <f t="shared" si="37"/>
        <v>0</v>
      </c>
      <c r="EQ22" s="269"/>
      <c r="ER22" s="269"/>
      <c r="ES22" s="269"/>
      <c r="ET22" s="314">
        <f t="shared" si="38"/>
        <v>0</v>
      </c>
      <c r="EU22" s="269"/>
      <c r="EV22" s="269"/>
      <c r="EW22" s="269"/>
      <c r="EX22" s="314">
        <f t="shared" si="39"/>
        <v>0</v>
      </c>
      <c r="EY22" s="269"/>
      <c r="EZ22" s="269"/>
      <c r="FA22" s="269"/>
      <c r="FB22" s="314">
        <f t="shared" si="40"/>
        <v>0</v>
      </c>
      <c r="FC22" s="269"/>
      <c r="FD22" s="269"/>
      <c r="FE22" s="269"/>
      <c r="FF22" s="314">
        <f t="shared" si="41"/>
        <v>0</v>
      </c>
      <c r="FG22" s="269"/>
      <c r="FH22" s="269"/>
      <c r="FI22" s="269"/>
      <c r="FJ22" s="314">
        <f t="shared" si="42"/>
        <v>0</v>
      </c>
      <c r="FK22" s="269"/>
      <c r="FL22" s="269"/>
      <c r="FM22" s="269"/>
      <c r="FN22" s="314">
        <f t="shared" si="43"/>
        <v>0</v>
      </c>
      <c r="FO22" s="269"/>
      <c r="FP22" s="269"/>
      <c r="FQ22" s="269"/>
      <c r="FR22" s="314">
        <f t="shared" si="44"/>
        <v>0</v>
      </c>
      <c r="FS22" s="269"/>
      <c r="FT22" s="269"/>
      <c r="FU22" s="269"/>
      <c r="FV22" s="314">
        <f t="shared" si="45"/>
        <v>0</v>
      </c>
      <c r="FW22" s="269"/>
      <c r="FX22" s="269"/>
      <c r="FY22" s="269"/>
      <c r="FZ22" s="314">
        <f t="shared" si="46"/>
        <v>0</v>
      </c>
      <c r="GA22" s="269"/>
      <c r="GB22" s="269"/>
      <c r="GC22" s="269"/>
      <c r="GD22" s="314">
        <f t="shared" si="47"/>
        <v>0</v>
      </c>
      <c r="GE22" s="269"/>
      <c r="GF22" s="269"/>
      <c r="GG22" s="269"/>
      <c r="GH22" s="314">
        <f t="shared" si="48"/>
        <v>0</v>
      </c>
      <c r="GI22" s="269"/>
      <c r="GJ22" s="269"/>
      <c r="GK22" s="269"/>
      <c r="GL22" s="314">
        <f t="shared" si="49"/>
        <v>0</v>
      </c>
      <c r="GM22" s="269"/>
      <c r="GN22" s="269"/>
      <c r="GO22" s="269"/>
      <c r="GP22" s="314">
        <f t="shared" si="50"/>
        <v>0</v>
      </c>
      <c r="GQ22" s="269"/>
      <c r="GR22" s="269"/>
      <c r="GS22" s="269"/>
      <c r="GT22" s="314">
        <f t="shared" si="51"/>
        <v>0</v>
      </c>
      <c r="GU22" s="269"/>
      <c r="GV22" s="269"/>
      <c r="GW22" s="269"/>
      <c r="GX22" s="314">
        <f t="shared" si="52"/>
        <v>0</v>
      </c>
      <c r="GY22" s="269"/>
      <c r="GZ22" s="269"/>
      <c r="HA22" s="269"/>
      <c r="HB22" s="314">
        <f t="shared" si="53"/>
        <v>0</v>
      </c>
      <c r="HC22" s="269"/>
      <c r="HD22" s="269"/>
      <c r="HE22" s="269"/>
      <c r="HF22" s="314">
        <f t="shared" si="54"/>
        <v>0</v>
      </c>
      <c r="HG22" s="269"/>
      <c r="HH22" s="269"/>
      <c r="HI22" s="269"/>
      <c r="HJ22" s="314">
        <f t="shared" si="55"/>
        <v>0</v>
      </c>
      <c r="HK22" s="269"/>
      <c r="HL22" s="269"/>
      <c r="HM22" s="269"/>
      <c r="HN22" s="314">
        <f t="shared" si="56"/>
        <v>0</v>
      </c>
      <c r="HO22" s="269"/>
      <c r="HP22" s="269"/>
      <c r="HQ22" s="269"/>
      <c r="HR22" s="314">
        <f t="shared" si="57"/>
        <v>0</v>
      </c>
      <c r="HS22" s="269"/>
      <c r="HT22" s="269"/>
      <c r="HU22" s="269"/>
      <c r="HV22" s="314">
        <f t="shared" si="58"/>
        <v>0</v>
      </c>
      <c r="HW22" s="269"/>
      <c r="HX22" s="269"/>
      <c r="HY22" s="269"/>
      <c r="HZ22" s="314">
        <f t="shared" si="59"/>
        <v>0</v>
      </c>
      <c r="IA22" s="269"/>
      <c r="IB22" s="269"/>
      <c r="IC22" s="269"/>
      <c r="ID22" s="314">
        <f t="shared" si="60"/>
        <v>0</v>
      </c>
      <c r="IE22" s="269"/>
      <c r="IF22" s="269"/>
      <c r="IG22" s="269"/>
      <c r="IH22" s="314">
        <f t="shared" si="61"/>
        <v>0</v>
      </c>
      <c r="II22" s="269"/>
      <c r="IJ22" s="269"/>
      <c r="IK22" s="269"/>
      <c r="IL22" s="314">
        <f t="shared" si="62"/>
        <v>0</v>
      </c>
      <c r="IM22" s="269"/>
      <c r="IN22" s="269"/>
      <c r="IO22" s="269"/>
      <c r="IP22" s="314">
        <f t="shared" si="63"/>
        <v>0</v>
      </c>
      <c r="IQ22" s="277">
        <f t="shared" si="64"/>
        <v>0</v>
      </c>
      <c r="IR22" s="277">
        <f t="shared" si="64"/>
        <v>0</v>
      </c>
      <c r="IS22" s="277">
        <f t="shared" si="64"/>
        <v>0</v>
      </c>
      <c r="IT22" s="277">
        <f t="shared" si="64"/>
        <v>0</v>
      </c>
    </row>
    <row r="23" spans="1:254" ht="21.95" customHeight="1">
      <c r="A23" s="301" t="s">
        <v>2609</v>
      </c>
      <c r="B23" s="263" t="s">
        <v>492</v>
      </c>
      <c r="C23" s="269">
        <v>5800</v>
      </c>
      <c r="D23" s="269">
        <v>5800</v>
      </c>
      <c r="E23" s="269">
        <v>5238.78</v>
      </c>
      <c r="F23" s="314">
        <f t="shared" si="2"/>
        <v>-561.22000000000025</v>
      </c>
      <c r="G23" s="269"/>
      <c r="H23" s="269"/>
      <c r="I23" s="269"/>
      <c r="J23" s="314">
        <f t="shared" si="3"/>
        <v>0</v>
      </c>
      <c r="K23" s="269">
        <v>467</v>
      </c>
      <c r="L23" s="269">
        <v>467</v>
      </c>
      <c r="M23" s="269">
        <v>0</v>
      </c>
      <c r="N23" s="314">
        <f t="shared" si="4"/>
        <v>-467</v>
      </c>
      <c r="O23" s="269"/>
      <c r="P23" s="269"/>
      <c r="Q23" s="269"/>
      <c r="R23" s="314">
        <f t="shared" si="5"/>
        <v>0</v>
      </c>
      <c r="S23" s="269"/>
      <c r="T23" s="269"/>
      <c r="U23" s="269"/>
      <c r="V23" s="314">
        <f t="shared" si="6"/>
        <v>0</v>
      </c>
      <c r="W23" s="269"/>
      <c r="X23" s="269"/>
      <c r="Y23" s="269"/>
      <c r="Z23" s="314">
        <f t="shared" si="7"/>
        <v>0</v>
      </c>
      <c r="AA23" s="269"/>
      <c r="AB23" s="269"/>
      <c r="AC23" s="269"/>
      <c r="AD23" s="314">
        <f t="shared" si="8"/>
        <v>0</v>
      </c>
      <c r="AE23" s="269"/>
      <c r="AF23" s="269"/>
      <c r="AG23" s="269"/>
      <c r="AH23" s="314">
        <f t="shared" si="9"/>
        <v>0</v>
      </c>
      <c r="AI23" s="269"/>
      <c r="AJ23" s="269"/>
      <c r="AK23" s="269"/>
      <c r="AL23" s="314">
        <f t="shared" si="10"/>
        <v>0</v>
      </c>
      <c r="AM23" s="269"/>
      <c r="AN23" s="269"/>
      <c r="AO23" s="269"/>
      <c r="AP23" s="314">
        <f t="shared" si="11"/>
        <v>0</v>
      </c>
      <c r="AQ23" s="269"/>
      <c r="AR23" s="269"/>
      <c r="AS23" s="269"/>
      <c r="AT23" s="314">
        <f t="shared" si="12"/>
        <v>0</v>
      </c>
      <c r="AU23" s="269"/>
      <c r="AV23" s="269"/>
      <c r="AW23" s="269"/>
      <c r="AX23" s="314">
        <f t="shared" si="13"/>
        <v>0</v>
      </c>
      <c r="AY23" s="269"/>
      <c r="AZ23" s="269"/>
      <c r="BA23" s="269"/>
      <c r="BB23" s="314">
        <f t="shared" si="14"/>
        <v>0</v>
      </c>
      <c r="BC23" s="269"/>
      <c r="BD23" s="269"/>
      <c r="BE23" s="269"/>
      <c r="BF23" s="314">
        <f t="shared" si="15"/>
        <v>0</v>
      </c>
      <c r="BG23" s="269"/>
      <c r="BH23" s="269"/>
      <c r="BI23" s="269"/>
      <c r="BJ23" s="314">
        <f t="shared" si="16"/>
        <v>0</v>
      </c>
      <c r="BK23" s="269"/>
      <c r="BL23" s="269"/>
      <c r="BM23" s="269"/>
      <c r="BN23" s="314">
        <f t="shared" si="17"/>
        <v>0</v>
      </c>
      <c r="BO23" s="269"/>
      <c r="BP23" s="269"/>
      <c r="BQ23" s="269"/>
      <c r="BR23" s="314">
        <f t="shared" si="18"/>
        <v>0</v>
      </c>
      <c r="BS23" s="269"/>
      <c r="BT23" s="269"/>
      <c r="BU23" s="269"/>
      <c r="BV23" s="314">
        <f t="shared" si="19"/>
        <v>0</v>
      </c>
      <c r="BW23" s="269"/>
      <c r="BX23" s="269"/>
      <c r="BY23" s="269"/>
      <c r="BZ23" s="314">
        <f t="shared" si="20"/>
        <v>0</v>
      </c>
      <c r="CA23" s="269"/>
      <c r="CB23" s="269"/>
      <c r="CC23" s="269"/>
      <c r="CD23" s="314">
        <f t="shared" si="21"/>
        <v>0</v>
      </c>
      <c r="CE23" s="269"/>
      <c r="CF23" s="269"/>
      <c r="CG23" s="269"/>
      <c r="CH23" s="314">
        <f t="shared" si="22"/>
        <v>0</v>
      </c>
      <c r="CI23" s="269"/>
      <c r="CJ23" s="269"/>
      <c r="CK23" s="269"/>
      <c r="CL23" s="314">
        <f t="shared" si="23"/>
        <v>0</v>
      </c>
      <c r="CM23" s="269"/>
      <c r="CN23" s="269"/>
      <c r="CO23" s="269"/>
      <c r="CP23" s="314">
        <f t="shared" si="24"/>
        <v>0</v>
      </c>
      <c r="CQ23" s="269"/>
      <c r="CR23" s="269"/>
      <c r="CS23" s="269"/>
      <c r="CT23" s="314">
        <f t="shared" si="25"/>
        <v>0</v>
      </c>
      <c r="CU23" s="269"/>
      <c r="CV23" s="269"/>
      <c r="CW23" s="269"/>
      <c r="CX23" s="314">
        <f t="shared" si="26"/>
        <v>0</v>
      </c>
      <c r="CY23" s="269"/>
      <c r="CZ23" s="269"/>
      <c r="DA23" s="269"/>
      <c r="DB23" s="314">
        <f t="shared" si="27"/>
        <v>0</v>
      </c>
      <c r="DC23" s="269"/>
      <c r="DD23" s="269"/>
      <c r="DE23" s="269"/>
      <c r="DF23" s="314">
        <f t="shared" si="28"/>
        <v>0</v>
      </c>
      <c r="DG23" s="269"/>
      <c r="DH23" s="269"/>
      <c r="DI23" s="269"/>
      <c r="DJ23" s="314">
        <f t="shared" si="29"/>
        <v>0</v>
      </c>
      <c r="DK23" s="269"/>
      <c r="DL23" s="269"/>
      <c r="DM23" s="269"/>
      <c r="DN23" s="314">
        <f t="shared" si="30"/>
        <v>0</v>
      </c>
      <c r="DO23" s="269"/>
      <c r="DP23" s="269"/>
      <c r="DQ23" s="269"/>
      <c r="DR23" s="314">
        <f t="shared" si="31"/>
        <v>0</v>
      </c>
      <c r="DS23" s="269"/>
      <c r="DT23" s="269"/>
      <c r="DU23" s="269"/>
      <c r="DV23" s="314">
        <f t="shared" si="32"/>
        <v>0</v>
      </c>
      <c r="DW23" s="269"/>
      <c r="DX23" s="269"/>
      <c r="DY23" s="269"/>
      <c r="DZ23" s="314">
        <f t="shared" si="33"/>
        <v>0</v>
      </c>
      <c r="EA23" s="269"/>
      <c r="EB23" s="269"/>
      <c r="EC23" s="269"/>
      <c r="ED23" s="314">
        <f t="shared" si="34"/>
        <v>0</v>
      </c>
      <c r="EE23" s="269"/>
      <c r="EF23" s="269"/>
      <c r="EG23" s="269"/>
      <c r="EH23" s="314">
        <f t="shared" si="35"/>
        <v>0</v>
      </c>
      <c r="EI23" s="269"/>
      <c r="EJ23" s="269"/>
      <c r="EK23" s="269"/>
      <c r="EL23" s="314">
        <f t="shared" si="36"/>
        <v>0</v>
      </c>
      <c r="EM23" s="269"/>
      <c r="EN23" s="269"/>
      <c r="EO23" s="269"/>
      <c r="EP23" s="314">
        <f t="shared" si="37"/>
        <v>0</v>
      </c>
      <c r="EQ23" s="269"/>
      <c r="ER23" s="269"/>
      <c r="ES23" s="269"/>
      <c r="ET23" s="314">
        <f t="shared" si="38"/>
        <v>0</v>
      </c>
      <c r="EU23" s="269"/>
      <c r="EV23" s="269"/>
      <c r="EW23" s="269"/>
      <c r="EX23" s="314">
        <f t="shared" si="39"/>
        <v>0</v>
      </c>
      <c r="EY23" s="269"/>
      <c r="EZ23" s="269"/>
      <c r="FA23" s="269"/>
      <c r="FB23" s="314">
        <f t="shared" si="40"/>
        <v>0</v>
      </c>
      <c r="FC23" s="269"/>
      <c r="FD23" s="269"/>
      <c r="FE23" s="269"/>
      <c r="FF23" s="314">
        <f t="shared" si="41"/>
        <v>0</v>
      </c>
      <c r="FG23" s="269"/>
      <c r="FH23" s="269"/>
      <c r="FI23" s="269"/>
      <c r="FJ23" s="314">
        <f t="shared" si="42"/>
        <v>0</v>
      </c>
      <c r="FK23" s="269"/>
      <c r="FL23" s="269"/>
      <c r="FM23" s="269"/>
      <c r="FN23" s="314">
        <f t="shared" si="43"/>
        <v>0</v>
      </c>
      <c r="FO23" s="269"/>
      <c r="FP23" s="269"/>
      <c r="FQ23" s="269"/>
      <c r="FR23" s="314">
        <f t="shared" si="44"/>
        <v>0</v>
      </c>
      <c r="FS23" s="269"/>
      <c r="FT23" s="269"/>
      <c r="FU23" s="269"/>
      <c r="FV23" s="314">
        <f t="shared" si="45"/>
        <v>0</v>
      </c>
      <c r="FW23" s="269"/>
      <c r="FX23" s="269"/>
      <c r="FY23" s="269"/>
      <c r="FZ23" s="314">
        <f t="shared" si="46"/>
        <v>0</v>
      </c>
      <c r="GA23" s="269"/>
      <c r="GB23" s="269"/>
      <c r="GC23" s="269"/>
      <c r="GD23" s="314">
        <f t="shared" si="47"/>
        <v>0</v>
      </c>
      <c r="GE23" s="269"/>
      <c r="GF23" s="269"/>
      <c r="GG23" s="269"/>
      <c r="GH23" s="314">
        <f t="shared" si="48"/>
        <v>0</v>
      </c>
      <c r="GI23" s="269"/>
      <c r="GJ23" s="269"/>
      <c r="GK23" s="269"/>
      <c r="GL23" s="314">
        <f t="shared" si="49"/>
        <v>0</v>
      </c>
      <c r="GM23" s="269"/>
      <c r="GN23" s="269"/>
      <c r="GO23" s="269"/>
      <c r="GP23" s="314">
        <f t="shared" si="50"/>
        <v>0</v>
      </c>
      <c r="GQ23" s="269"/>
      <c r="GR23" s="269"/>
      <c r="GS23" s="269"/>
      <c r="GT23" s="314">
        <f t="shared" si="51"/>
        <v>0</v>
      </c>
      <c r="GU23" s="269"/>
      <c r="GV23" s="269"/>
      <c r="GW23" s="269"/>
      <c r="GX23" s="314">
        <f t="shared" si="52"/>
        <v>0</v>
      </c>
      <c r="GY23" s="269"/>
      <c r="GZ23" s="269"/>
      <c r="HA23" s="269"/>
      <c r="HB23" s="314">
        <f t="shared" si="53"/>
        <v>0</v>
      </c>
      <c r="HC23" s="269"/>
      <c r="HD23" s="269"/>
      <c r="HE23" s="269"/>
      <c r="HF23" s="314">
        <f t="shared" si="54"/>
        <v>0</v>
      </c>
      <c r="HG23" s="269"/>
      <c r="HH23" s="269"/>
      <c r="HI23" s="269"/>
      <c r="HJ23" s="314">
        <f t="shared" si="55"/>
        <v>0</v>
      </c>
      <c r="HK23" s="269"/>
      <c r="HL23" s="269"/>
      <c r="HM23" s="269"/>
      <c r="HN23" s="314">
        <f t="shared" si="56"/>
        <v>0</v>
      </c>
      <c r="HO23" s="269"/>
      <c r="HP23" s="269"/>
      <c r="HQ23" s="269"/>
      <c r="HR23" s="314">
        <f t="shared" si="57"/>
        <v>0</v>
      </c>
      <c r="HS23" s="269"/>
      <c r="HT23" s="269"/>
      <c r="HU23" s="269"/>
      <c r="HV23" s="314">
        <f t="shared" si="58"/>
        <v>0</v>
      </c>
      <c r="HW23" s="269"/>
      <c r="HX23" s="269"/>
      <c r="HY23" s="269"/>
      <c r="HZ23" s="314">
        <f t="shared" si="59"/>
        <v>0</v>
      </c>
      <c r="IA23" s="269"/>
      <c r="IB23" s="269"/>
      <c r="IC23" s="269"/>
      <c r="ID23" s="314">
        <f t="shared" si="60"/>
        <v>0</v>
      </c>
      <c r="IE23" s="269"/>
      <c r="IF23" s="269"/>
      <c r="IG23" s="269"/>
      <c r="IH23" s="314">
        <f t="shared" si="61"/>
        <v>0</v>
      </c>
      <c r="II23" s="269"/>
      <c r="IJ23" s="269"/>
      <c r="IK23" s="269"/>
      <c r="IL23" s="314">
        <f t="shared" si="62"/>
        <v>0</v>
      </c>
      <c r="IM23" s="269"/>
      <c r="IN23" s="269"/>
      <c r="IO23" s="269"/>
      <c r="IP23" s="314">
        <f t="shared" si="63"/>
        <v>0</v>
      </c>
      <c r="IQ23" s="277">
        <f t="shared" si="64"/>
        <v>6267</v>
      </c>
      <c r="IR23" s="277">
        <f t="shared" si="64"/>
        <v>6267</v>
      </c>
      <c r="IS23" s="277">
        <f t="shared" si="64"/>
        <v>5238.78</v>
      </c>
      <c r="IT23" s="277">
        <f t="shared" si="64"/>
        <v>-1028.2200000000003</v>
      </c>
    </row>
    <row r="24" spans="1:254" ht="21.95" customHeight="1">
      <c r="A24" s="301">
        <v>337000</v>
      </c>
      <c r="B24" s="263" t="s">
        <v>1150</v>
      </c>
      <c r="C24" s="269"/>
      <c r="D24" s="269"/>
      <c r="E24" s="269"/>
      <c r="F24" s="314">
        <f t="shared" si="2"/>
        <v>0</v>
      </c>
      <c r="G24" s="269"/>
      <c r="H24" s="269"/>
      <c r="I24" s="269"/>
      <c r="J24" s="314">
        <f t="shared" si="3"/>
        <v>0</v>
      </c>
      <c r="K24" s="269"/>
      <c r="L24" s="269"/>
      <c r="M24" s="269"/>
      <c r="N24" s="314">
        <f t="shared" si="4"/>
        <v>0</v>
      </c>
      <c r="O24" s="269"/>
      <c r="P24" s="269"/>
      <c r="Q24" s="269"/>
      <c r="R24" s="314">
        <f t="shared" si="5"/>
        <v>0</v>
      </c>
      <c r="S24" s="269"/>
      <c r="T24" s="269"/>
      <c r="U24" s="269"/>
      <c r="V24" s="314">
        <f t="shared" si="6"/>
        <v>0</v>
      </c>
      <c r="W24" s="269"/>
      <c r="X24" s="269"/>
      <c r="Y24" s="269"/>
      <c r="Z24" s="314">
        <f t="shared" si="7"/>
        <v>0</v>
      </c>
      <c r="AA24" s="269"/>
      <c r="AB24" s="269"/>
      <c r="AC24" s="269"/>
      <c r="AD24" s="314">
        <f t="shared" si="8"/>
        <v>0</v>
      </c>
      <c r="AE24" s="269"/>
      <c r="AF24" s="269"/>
      <c r="AG24" s="269"/>
      <c r="AH24" s="314">
        <f t="shared" si="9"/>
        <v>0</v>
      </c>
      <c r="AI24" s="269"/>
      <c r="AJ24" s="269"/>
      <c r="AK24" s="269"/>
      <c r="AL24" s="314">
        <f t="shared" si="10"/>
        <v>0</v>
      </c>
      <c r="AM24" s="269"/>
      <c r="AN24" s="269"/>
      <c r="AO24" s="269"/>
      <c r="AP24" s="314">
        <f t="shared" si="11"/>
        <v>0</v>
      </c>
      <c r="AQ24" s="269"/>
      <c r="AR24" s="269"/>
      <c r="AS24" s="269"/>
      <c r="AT24" s="314">
        <f t="shared" si="12"/>
        <v>0</v>
      </c>
      <c r="AU24" s="269"/>
      <c r="AV24" s="269"/>
      <c r="AW24" s="269"/>
      <c r="AX24" s="314">
        <f t="shared" si="13"/>
        <v>0</v>
      </c>
      <c r="AY24" s="269"/>
      <c r="AZ24" s="269"/>
      <c r="BA24" s="269"/>
      <c r="BB24" s="314">
        <f t="shared" si="14"/>
        <v>0</v>
      </c>
      <c r="BC24" s="269"/>
      <c r="BD24" s="269"/>
      <c r="BE24" s="269"/>
      <c r="BF24" s="314">
        <f t="shared" si="15"/>
        <v>0</v>
      </c>
      <c r="BG24" s="269"/>
      <c r="BH24" s="269"/>
      <c r="BI24" s="269"/>
      <c r="BJ24" s="314">
        <f t="shared" si="16"/>
        <v>0</v>
      </c>
      <c r="BK24" s="269"/>
      <c r="BL24" s="269"/>
      <c r="BM24" s="269"/>
      <c r="BN24" s="314">
        <f t="shared" si="17"/>
        <v>0</v>
      </c>
      <c r="BO24" s="269"/>
      <c r="BP24" s="269"/>
      <c r="BQ24" s="269"/>
      <c r="BR24" s="314">
        <f t="shared" si="18"/>
        <v>0</v>
      </c>
      <c r="BS24" s="269"/>
      <c r="BT24" s="269"/>
      <c r="BU24" s="269"/>
      <c r="BV24" s="314">
        <f t="shared" si="19"/>
        <v>0</v>
      </c>
      <c r="BW24" s="269"/>
      <c r="BX24" s="269"/>
      <c r="BY24" s="269"/>
      <c r="BZ24" s="314">
        <f t="shared" si="20"/>
        <v>0</v>
      </c>
      <c r="CA24" s="269"/>
      <c r="CB24" s="269"/>
      <c r="CC24" s="269"/>
      <c r="CD24" s="314">
        <f t="shared" si="21"/>
        <v>0</v>
      </c>
      <c r="CE24" s="269"/>
      <c r="CF24" s="269"/>
      <c r="CG24" s="269"/>
      <c r="CH24" s="314">
        <f t="shared" si="22"/>
        <v>0</v>
      </c>
      <c r="CI24" s="269"/>
      <c r="CJ24" s="269"/>
      <c r="CK24" s="269"/>
      <c r="CL24" s="314">
        <f t="shared" si="23"/>
        <v>0</v>
      </c>
      <c r="CM24" s="269"/>
      <c r="CN24" s="269"/>
      <c r="CO24" s="269"/>
      <c r="CP24" s="314">
        <f t="shared" si="24"/>
        <v>0</v>
      </c>
      <c r="CQ24" s="269"/>
      <c r="CR24" s="269"/>
      <c r="CS24" s="269"/>
      <c r="CT24" s="314">
        <f t="shared" si="25"/>
        <v>0</v>
      </c>
      <c r="CU24" s="269"/>
      <c r="CV24" s="269"/>
      <c r="CW24" s="269"/>
      <c r="CX24" s="314">
        <f t="shared" si="26"/>
        <v>0</v>
      </c>
      <c r="CY24" s="269"/>
      <c r="CZ24" s="269"/>
      <c r="DA24" s="269"/>
      <c r="DB24" s="314">
        <f t="shared" si="27"/>
        <v>0</v>
      </c>
      <c r="DC24" s="269"/>
      <c r="DD24" s="269"/>
      <c r="DE24" s="269"/>
      <c r="DF24" s="314">
        <f t="shared" si="28"/>
        <v>0</v>
      </c>
      <c r="DG24" s="269"/>
      <c r="DH24" s="269"/>
      <c r="DI24" s="269"/>
      <c r="DJ24" s="314">
        <f t="shared" si="29"/>
        <v>0</v>
      </c>
      <c r="DK24" s="269"/>
      <c r="DL24" s="269"/>
      <c r="DM24" s="269"/>
      <c r="DN24" s="314">
        <f t="shared" si="30"/>
        <v>0</v>
      </c>
      <c r="DO24" s="269"/>
      <c r="DP24" s="269"/>
      <c r="DQ24" s="269"/>
      <c r="DR24" s="314">
        <f t="shared" si="31"/>
        <v>0</v>
      </c>
      <c r="DS24" s="269"/>
      <c r="DT24" s="269"/>
      <c r="DU24" s="269"/>
      <c r="DV24" s="314">
        <f t="shared" si="32"/>
        <v>0</v>
      </c>
      <c r="DW24" s="269"/>
      <c r="DX24" s="269"/>
      <c r="DY24" s="269"/>
      <c r="DZ24" s="314">
        <f t="shared" si="33"/>
        <v>0</v>
      </c>
      <c r="EA24" s="269"/>
      <c r="EB24" s="269"/>
      <c r="EC24" s="269"/>
      <c r="ED24" s="314">
        <f t="shared" si="34"/>
        <v>0</v>
      </c>
      <c r="EE24" s="269"/>
      <c r="EF24" s="269"/>
      <c r="EG24" s="269"/>
      <c r="EH24" s="314">
        <f t="shared" si="35"/>
        <v>0</v>
      </c>
      <c r="EI24" s="269"/>
      <c r="EJ24" s="269"/>
      <c r="EK24" s="269"/>
      <c r="EL24" s="314">
        <f t="shared" si="36"/>
        <v>0</v>
      </c>
      <c r="EM24" s="269"/>
      <c r="EN24" s="269"/>
      <c r="EO24" s="269"/>
      <c r="EP24" s="314">
        <f t="shared" si="37"/>
        <v>0</v>
      </c>
      <c r="EQ24" s="269"/>
      <c r="ER24" s="269"/>
      <c r="ES24" s="269"/>
      <c r="ET24" s="314">
        <f t="shared" si="38"/>
        <v>0</v>
      </c>
      <c r="EU24" s="269"/>
      <c r="EV24" s="269"/>
      <c r="EW24" s="269"/>
      <c r="EX24" s="314">
        <f t="shared" si="39"/>
        <v>0</v>
      </c>
      <c r="EY24" s="269"/>
      <c r="EZ24" s="269"/>
      <c r="FA24" s="269"/>
      <c r="FB24" s="314">
        <f t="shared" si="40"/>
        <v>0</v>
      </c>
      <c r="FC24" s="269"/>
      <c r="FD24" s="269"/>
      <c r="FE24" s="269"/>
      <c r="FF24" s="314">
        <f t="shared" si="41"/>
        <v>0</v>
      </c>
      <c r="FG24" s="269"/>
      <c r="FH24" s="269"/>
      <c r="FI24" s="269"/>
      <c r="FJ24" s="314">
        <f t="shared" si="42"/>
        <v>0</v>
      </c>
      <c r="FK24" s="269"/>
      <c r="FL24" s="269"/>
      <c r="FM24" s="269"/>
      <c r="FN24" s="314">
        <f t="shared" si="43"/>
        <v>0</v>
      </c>
      <c r="FO24" s="269"/>
      <c r="FP24" s="269"/>
      <c r="FQ24" s="269"/>
      <c r="FR24" s="314">
        <f t="shared" si="44"/>
        <v>0</v>
      </c>
      <c r="FS24" s="269"/>
      <c r="FT24" s="269"/>
      <c r="FU24" s="269"/>
      <c r="FV24" s="314">
        <f t="shared" si="45"/>
        <v>0</v>
      </c>
      <c r="FW24" s="269"/>
      <c r="FX24" s="269"/>
      <c r="FY24" s="269"/>
      <c r="FZ24" s="314">
        <f t="shared" si="46"/>
        <v>0</v>
      </c>
      <c r="GA24" s="269"/>
      <c r="GB24" s="269"/>
      <c r="GC24" s="269"/>
      <c r="GD24" s="314">
        <f t="shared" si="47"/>
        <v>0</v>
      </c>
      <c r="GE24" s="269"/>
      <c r="GF24" s="269"/>
      <c r="GG24" s="269"/>
      <c r="GH24" s="314">
        <f t="shared" si="48"/>
        <v>0</v>
      </c>
      <c r="GI24" s="269"/>
      <c r="GJ24" s="269"/>
      <c r="GK24" s="269"/>
      <c r="GL24" s="314">
        <f t="shared" si="49"/>
        <v>0</v>
      </c>
      <c r="GM24" s="269"/>
      <c r="GN24" s="269"/>
      <c r="GO24" s="269"/>
      <c r="GP24" s="314">
        <f t="shared" si="50"/>
        <v>0</v>
      </c>
      <c r="GQ24" s="269"/>
      <c r="GR24" s="269"/>
      <c r="GS24" s="269"/>
      <c r="GT24" s="314">
        <f t="shared" si="51"/>
        <v>0</v>
      </c>
      <c r="GU24" s="269"/>
      <c r="GV24" s="269"/>
      <c r="GW24" s="269"/>
      <c r="GX24" s="314">
        <f t="shared" si="52"/>
        <v>0</v>
      </c>
      <c r="GY24" s="269"/>
      <c r="GZ24" s="269"/>
      <c r="HA24" s="269"/>
      <c r="HB24" s="314">
        <f t="shared" si="53"/>
        <v>0</v>
      </c>
      <c r="HC24" s="269"/>
      <c r="HD24" s="269"/>
      <c r="HE24" s="269"/>
      <c r="HF24" s="314">
        <f t="shared" si="54"/>
        <v>0</v>
      </c>
      <c r="HG24" s="269"/>
      <c r="HH24" s="269"/>
      <c r="HI24" s="269"/>
      <c r="HJ24" s="314">
        <f t="shared" si="55"/>
        <v>0</v>
      </c>
      <c r="HK24" s="269"/>
      <c r="HL24" s="269"/>
      <c r="HM24" s="269"/>
      <c r="HN24" s="314">
        <f t="shared" si="56"/>
        <v>0</v>
      </c>
      <c r="HO24" s="269"/>
      <c r="HP24" s="269"/>
      <c r="HQ24" s="269"/>
      <c r="HR24" s="314">
        <f t="shared" si="57"/>
        <v>0</v>
      </c>
      <c r="HS24" s="269"/>
      <c r="HT24" s="269"/>
      <c r="HU24" s="269"/>
      <c r="HV24" s="314">
        <f t="shared" si="58"/>
        <v>0</v>
      </c>
      <c r="HW24" s="269"/>
      <c r="HX24" s="269"/>
      <c r="HY24" s="269"/>
      <c r="HZ24" s="314">
        <f t="shared" si="59"/>
        <v>0</v>
      </c>
      <c r="IA24" s="269"/>
      <c r="IB24" s="269"/>
      <c r="IC24" s="269"/>
      <c r="ID24" s="314">
        <f t="shared" si="60"/>
        <v>0</v>
      </c>
      <c r="IE24" s="269"/>
      <c r="IF24" s="269"/>
      <c r="IG24" s="269"/>
      <c r="IH24" s="314">
        <f t="shared" si="61"/>
        <v>0</v>
      </c>
      <c r="II24" s="269"/>
      <c r="IJ24" s="269"/>
      <c r="IK24" s="269"/>
      <c r="IL24" s="314">
        <f t="shared" si="62"/>
        <v>0</v>
      </c>
      <c r="IM24" s="269"/>
      <c r="IN24" s="269"/>
      <c r="IO24" s="269"/>
      <c r="IP24" s="314">
        <f t="shared" si="63"/>
        <v>0</v>
      </c>
      <c r="IQ24" s="277">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77">
        <f t="shared" si="65"/>
        <v>0</v>
      </c>
      <c r="IS24" s="277">
        <f t="shared" si="65"/>
        <v>0</v>
      </c>
      <c r="IT24" s="277">
        <f t="shared" si="65"/>
        <v>0</v>
      </c>
    </row>
    <row r="25" spans="1:254" ht="21.95" customHeight="1">
      <c r="A25" s="301">
        <v>338000</v>
      </c>
      <c r="B25" s="263" t="s">
        <v>1151</v>
      </c>
      <c r="C25" s="269"/>
      <c r="D25" s="269"/>
      <c r="E25" s="269"/>
      <c r="F25" s="314">
        <f t="shared" si="2"/>
        <v>0</v>
      </c>
      <c r="G25" s="269"/>
      <c r="H25" s="269"/>
      <c r="I25" s="269"/>
      <c r="J25" s="314">
        <f t="shared" si="3"/>
        <v>0</v>
      </c>
      <c r="K25" s="269"/>
      <c r="L25" s="269"/>
      <c r="M25" s="269"/>
      <c r="N25" s="314">
        <f t="shared" si="4"/>
        <v>0</v>
      </c>
      <c r="O25" s="269"/>
      <c r="P25" s="269"/>
      <c r="Q25" s="269"/>
      <c r="R25" s="314">
        <f t="shared" si="5"/>
        <v>0</v>
      </c>
      <c r="S25" s="269"/>
      <c r="T25" s="269"/>
      <c r="U25" s="269"/>
      <c r="V25" s="314">
        <f t="shared" si="6"/>
        <v>0</v>
      </c>
      <c r="W25" s="269"/>
      <c r="X25" s="269"/>
      <c r="Y25" s="269"/>
      <c r="Z25" s="314">
        <f t="shared" si="7"/>
        <v>0</v>
      </c>
      <c r="AA25" s="269"/>
      <c r="AB25" s="269"/>
      <c r="AC25" s="269"/>
      <c r="AD25" s="314">
        <f t="shared" si="8"/>
        <v>0</v>
      </c>
      <c r="AE25" s="269"/>
      <c r="AF25" s="269"/>
      <c r="AG25" s="269"/>
      <c r="AH25" s="314">
        <f t="shared" si="9"/>
        <v>0</v>
      </c>
      <c r="AI25" s="269"/>
      <c r="AJ25" s="269"/>
      <c r="AK25" s="269"/>
      <c r="AL25" s="314">
        <f t="shared" si="10"/>
        <v>0</v>
      </c>
      <c r="AM25" s="269"/>
      <c r="AN25" s="269"/>
      <c r="AO25" s="269"/>
      <c r="AP25" s="314">
        <f t="shared" si="11"/>
        <v>0</v>
      </c>
      <c r="AQ25" s="269"/>
      <c r="AR25" s="269"/>
      <c r="AS25" s="269"/>
      <c r="AT25" s="314">
        <f t="shared" si="12"/>
        <v>0</v>
      </c>
      <c r="AU25" s="269"/>
      <c r="AV25" s="269"/>
      <c r="AW25" s="269"/>
      <c r="AX25" s="314">
        <f t="shared" si="13"/>
        <v>0</v>
      </c>
      <c r="AY25" s="269"/>
      <c r="AZ25" s="269"/>
      <c r="BA25" s="269"/>
      <c r="BB25" s="314">
        <f t="shared" si="14"/>
        <v>0</v>
      </c>
      <c r="BC25" s="269"/>
      <c r="BD25" s="269"/>
      <c r="BE25" s="269"/>
      <c r="BF25" s="314">
        <f t="shared" si="15"/>
        <v>0</v>
      </c>
      <c r="BG25" s="269"/>
      <c r="BH25" s="269"/>
      <c r="BI25" s="269"/>
      <c r="BJ25" s="314">
        <f t="shared" si="16"/>
        <v>0</v>
      </c>
      <c r="BK25" s="269"/>
      <c r="BL25" s="269"/>
      <c r="BM25" s="269"/>
      <c r="BN25" s="314">
        <f t="shared" si="17"/>
        <v>0</v>
      </c>
      <c r="BO25" s="269"/>
      <c r="BP25" s="269"/>
      <c r="BQ25" s="269"/>
      <c r="BR25" s="314">
        <f t="shared" si="18"/>
        <v>0</v>
      </c>
      <c r="BS25" s="269"/>
      <c r="BT25" s="269"/>
      <c r="BU25" s="269"/>
      <c r="BV25" s="314">
        <f t="shared" si="19"/>
        <v>0</v>
      </c>
      <c r="BW25" s="269"/>
      <c r="BX25" s="269"/>
      <c r="BY25" s="269"/>
      <c r="BZ25" s="314">
        <f t="shared" si="20"/>
        <v>0</v>
      </c>
      <c r="CA25" s="269"/>
      <c r="CB25" s="269"/>
      <c r="CC25" s="269"/>
      <c r="CD25" s="314">
        <f t="shared" si="21"/>
        <v>0</v>
      </c>
      <c r="CE25" s="269"/>
      <c r="CF25" s="269"/>
      <c r="CG25" s="269"/>
      <c r="CH25" s="314">
        <f t="shared" si="22"/>
        <v>0</v>
      </c>
      <c r="CI25" s="269"/>
      <c r="CJ25" s="269"/>
      <c r="CK25" s="269"/>
      <c r="CL25" s="314">
        <f t="shared" si="23"/>
        <v>0</v>
      </c>
      <c r="CM25" s="269"/>
      <c r="CN25" s="269"/>
      <c r="CO25" s="269"/>
      <c r="CP25" s="314">
        <f t="shared" si="24"/>
        <v>0</v>
      </c>
      <c r="CQ25" s="269"/>
      <c r="CR25" s="269"/>
      <c r="CS25" s="269"/>
      <c r="CT25" s="314">
        <f t="shared" si="25"/>
        <v>0</v>
      </c>
      <c r="CU25" s="269"/>
      <c r="CV25" s="269"/>
      <c r="CW25" s="269"/>
      <c r="CX25" s="314">
        <f t="shared" si="26"/>
        <v>0</v>
      </c>
      <c r="CY25" s="269"/>
      <c r="CZ25" s="269"/>
      <c r="DA25" s="269"/>
      <c r="DB25" s="314">
        <f t="shared" si="27"/>
        <v>0</v>
      </c>
      <c r="DC25" s="269"/>
      <c r="DD25" s="269"/>
      <c r="DE25" s="269"/>
      <c r="DF25" s="314">
        <f t="shared" si="28"/>
        <v>0</v>
      </c>
      <c r="DG25" s="269"/>
      <c r="DH25" s="269"/>
      <c r="DI25" s="269"/>
      <c r="DJ25" s="314">
        <f t="shared" si="29"/>
        <v>0</v>
      </c>
      <c r="DK25" s="269"/>
      <c r="DL25" s="269"/>
      <c r="DM25" s="269"/>
      <c r="DN25" s="314">
        <f t="shared" si="30"/>
        <v>0</v>
      </c>
      <c r="DO25" s="269"/>
      <c r="DP25" s="269"/>
      <c r="DQ25" s="269"/>
      <c r="DR25" s="314">
        <f t="shared" si="31"/>
        <v>0</v>
      </c>
      <c r="DS25" s="269"/>
      <c r="DT25" s="269"/>
      <c r="DU25" s="269"/>
      <c r="DV25" s="314">
        <f t="shared" si="32"/>
        <v>0</v>
      </c>
      <c r="DW25" s="269"/>
      <c r="DX25" s="269"/>
      <c r="DY25" s="269"/>
      <c r="DZ25" s="314">
        <f t="shared" si="33"/>
        <v>0</v>
      </c>
      <c r="EA25" s="269"/>
      <c r="EB25" s="269"/>
      <c r="EC25" s="269"/>
      <c r="ED25" s="314">
        <f t="shared" si="34"/>
        <v>0</v>
      </c>
      <c r="EE25" s="269"/>
      <c r="EF25" s="269"/>
      <c r="EG25" s="269"/>
      <c r="EH25" s="314">
        <f t="shared" si="35"/>
        <v>0</v>
      </c>
      <c r="EI25" s="269"/>
      <c r="EJ25" s="269"/>
      <c r="EK25" s="269"/>
      <c r="EL25" s="314">
        <f t="shared" si="36"/>
        <v>0</v>
      </c>
      <c r="EM25" s="269"/>
      <c r="EN25" s="269"/>
      <c r="EO25" s="269"/>
      <c r="EP25" s="314">
        <f t="shared" si="37"/>
        <v>0</v>
      </c>
      <c r="EQ25" s="269"/>
      <c r="ER25" s="269"/>
      <c r="ES25" s="269"/>
      <c r="ET25" s="314">
        <f t="shared" si="38"/>
        <v>0</v>
      </c>
      <c r="EU25" s="269"/>
      <c r="EV25" s="269"/>
      <c r="EW25" s="269"/>
      <c r="EX25" s="314">
        <f t="shared" si="39"/>
        <v>0</v>
      </c>
      <c r="EY25" s="269"/>
      <c r="EZ25" s="269"/>
      <c r="FA25" s="269"/>
      <c r="FB25" s="314">
        <f t="shared" si="40"/>
        <v>0</v>
      </c>
      <c r="FC25" s="269"/>
      <c r="FD25" s="269"/>
      <c r="FE25" s="269"/>
      <c r="FF25" s="314">
        <f t="shared" si="41"/>
        <v>0</v>
      </c>
      <c r="FG25" s="269"/>
      <c r="FH25" s="269"/>
      <c r="FI25" s="269"/>
      <c r="FJ25" s="314">
        <f t="shared" si="42"/>
        <v>0</v>
      </c>
      <c r="FK25" s="269"/>
      <c r="FL25" s="269"/>
      <c r="FM25" s="269"/>
      <c r="FN25" s="314">
        <f t="shared" si="43"/>
        <v>0</v>
      </c>
      <c r="FO25" s="269"/>
      <c r="FP25" s="269"/>
      <c r="FQ25" s="269"/>
      <c r="FR25" s="314">
        <f t="shared" si="44"/>
        <v>0</v>
      </c>
      <c r="FS25" s="269"/>
      <c r="FT25" s="269"/>
      <c r="FU25" s="269"/>
      <c r="FV25" s="314">
        <f t="shared" si="45"/>
        <v>0</v>
      </c>
      <c r="FW25" s="269"/>
      <c r="FX25" s="269"/>
      <c r="FY25" s="269"/>
      <c r="FZ25" s="314">
        <f t="shared" si="46"/>
        <v>0</v>
      </c>
      <c r="GA25" s="269"/>
      <c r="GB25" s="269"/>
      <c r="GC25" s="269"/>
      <c r="GD25" s="314">
        <f t="shared" si="47"/>
        <v>0</v>
      </c>
      <c r="GE25" s="269"/>
      <c r="GF25" s="269"/>
      <c r="GG25" s="269"/>
      <c r="GH25" s="314">
        <f t="shared" si="48"/>
        <v>0</v>
      </c>
      <c r="GI25" s="269"/>
      <c r="GJ25" s="269"/>
      <c r="GK25" s="269"/>
      <c r="GL25" s="314">
        <f t="shared" si="49"/>
        <v>0</v>
      </c>
      <c r="GM25" s="269"/>
      <c r="GN25" s="269"/>
      <c r="GO25" s="269"/>
      <c r="GP25" s="314">
        <f t="shared" si="50"/>
        <v>0</v>
      </c>
      <c r="GQ25" s="269"/>
      <c r="GR25" s="269"/>
      <c r="GS25" s="269"/>
      <c r="GT25" s="314">
        <f t="shared" si="51"/>
        <v>0</v>
      </c>
      <c r="GU25" s="269"/>
      <c r="GV25" s="269"/>
      <c r="GW25" s="269"/>
      <c r="GX25" s="314">
        <f t="shared" si="52"/>
        <v>0</v>
      </c>
      <c r="GY25" s="269"/>
      <c r="GZ25" s="269"/>
      <c r="HA25" s="269"/>
      <c r="HB25" s="314">
        <f t="shared" si="53"/>
        <v>0</v>
      </c>
      <c r="HC25" s="269"/>
      <c r="HD25" s="269"/>
      <c r="HE25" s="269"/>
      <c r="HF25" s="314">
        <f t="shared" si="54"/>
        <v>0</v>
      </c>
      <c r="HG25" s="269"/>
      <c r="HH25" s="269"/>
      <c r="HI25" s="269"/>
      <c r="HJ25" s="314">
        <f t="shared" si="55"/>
        <v>0</v>
      </c>
      <c r="HK25" s="269"/>
      <c r="HL25" s="269"/>
      <c r="HM25" s="269"/>
      <c r="HN25" s="314">
        <f t="shared" si="56"/>
        <v>0</v>
      </c>
      <c r="HO25" s="269"/>
      <c r="HP25" s="269"/>
      <c r="HQ25" s="269"/>
      <c r="HR25" s="314">
        <f t="shared" si="57"/>
        <v>0</v>
      </c>
      <c r="HS25" s="269"/>
      <c r="HT25" s="269"/>
      <c r="HU25" s="269"/>
      <c r="HV25" s="314">
        <f t="shared" si="58"/>
        <v>0</v>
      </c>
      <c r="HW25" s="269"/>
      <c r="HX25" s="269"/>
      <c r="HY25" s="269"/>
      <c r="HZ25" s="314">
        <f t="shared" si="59"/>
        <v>0</v>
      </c>
      <c r="IA25" s="269"/>
      <c r="IB25" s="269"/>
      <c r="IC25" s="269"/>
      <c r="ID25" s="314">
        <f t="shared" si="60"/>
        <v>0</v>
      </c>
      <c r="IE25" s="269"/>
      <c r="IF25" s="269"/>
      <c r="IG25" s="269"/>
      <c r="IH25" s="314">
        <f t="shared" si="61"/>
        <v>0</v>
      </c>
      <c r="II25" s="269"/>
      <c r="IJ25" s="269"/>
      <c r="IK25" s="269"/>
      <c r="IL25" s="314">
        <f t="shared" si="62"/>
        <v>0</v>
      </c>
      <c r="IM25" s="269"/>
      <c r="IN25" s="269"/>
      <c r="IO25" s="269"/>
      <c r="IP25" s="314">
        <f t="shared" si="63"/>
        <v>0</v>
      </c>
      <c r="IQ25" s="277">
        <f t="shared" si="65"/>
        <v>0</v>
      </c>
      <c r="IR25" s="277">
        <f t="shared" si="65"/>
        <v>0</v>
      </c>
      <c r="IS25" s="277">
        <f t="shared" si="65"/>
        <v>0</v>
      </c>
      <c r="IT25" s="277">
        <f t="shared" si="65"/>
        <v>0</v>
      </c>
    </row>
    <row r="26" spans="1:254" ht="21.95" customHeight="1">
      <c r="A26" s="429"/>
      <c r="B26" s="431" t="s">
        <v>212</v>
      </c>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77"/>
      <c r="CB26" s="277"/>
      <c r="CC26" s="277"/>
      <c r="CD26" s="277"/>
      <c r="CE26" s="277"/>
      <c r="CF26" s="277"/>
      <c r="CG26" s="277"/>
      <c r="CH26" s="277"/>
      <c r="CI26" s="277"/>
      <c r="CJ26" s="277"/>
      <c r="CK26" s="277"/>
      <c r="CL26" s="277"/>
      <c r="CM26" s="277"/>
      <c r="CN26" s="277"/>
      <c r="CO26" s="277"/>
      <c r="CP26" s="277"/>
      <c r="CQ26" s="277"/>
      <c r="CR26" s="277"/>
      <c r="CS26" s="277"/>
      <c r="CT26" s="277"/>
      <c r="CU26" s="277"/>
      <c r="CV26" s="277"/>
      <c r="CW26" s="277"/>
      <c r="CX26" s="277"/>
      <c r="CY26" s="277"/>
      <c r="CZ26" s="277"/>
      <c r="DA26" s="277"/>
      <c r="DB26" s="277"/>
      <c r="DC26" s="277"/>
      <c r="DD26" s="277"/>
      <c r="DE26" s="277"/>
      <c r="DF26" s="277"/>
      <c r="DG26" s="277"/>
      <c r="DH26" s="277"/>
      <c r="DI26" s="277"/>
      <c r="DJ26" s="277"/>
      <c r="DK26" s="277"/>
      <c r="DL26" s="277"/>
      <c r="DM26" s="277"/>
      <c r="DN26" s="277"/>
      <c r="DO26" s="277"/>
      <c r="DP26" s="277"/>
      <c r="DQ26" s="277"/>
      <c r="DR26" s="277"/>
      <c r="DS26" s="277"/>
      <c r="DT26" s="277"/>
      <c r="DU26" s="277"/>
      <c r="DV26" s="277"/>
      <c r="DW26" s="277"/>
      <c r="DX26" s="277"/>
      <c r="DY26" s="277"/>
      <c r="DZ26" s="277"/>
      <c r="EA26" s="277"/>
      <c r="EB26" s="277"/>
      <c r="EC26" s="277"/>
      <c r="ED26" s="277"/>
      <c r="EE26" s="277"/>
      <c r="EF26" s="277"/>
      <c r="EG26" s="277"/>
      <c r="EH26" s="277"/>
      <c r="EI26" s="277"/>
      <c r="EJ26" s="277"/>
      <c r="EK26" s="277"/>
      <c r="EL26" s="277"/>
      <c r="EM26" s="277"/>
      <c r="EN26" s="277"/>
      <c r="EO26" s="277"/>
      <c r="EP26" s="277"/>
      <c r="EQ26" s="277"/>
      <c r="ER26" s="277"/>
      <c r="ES26" s="277"/>
      <c r="ET26" s="277"/>
      <c r="EU26" s="277"/>
      <c r="EV26" s="277"/>
      <c r="EW26" s="277"/>
      <c r="EX26" s="277"/>
      <c r="EY26" s="277"/>
      <c r="EZ26" s="277"/>
      <c r="FA26" s="277"/>
      <c r="FB26" s="277"/>
      <c r="FC26" s="277"/>
      <c r="FD26" s="277"/>
      <c r="FE26" s="277"/>
      <c r="FF26" s="277"/>
      <c r="FG26" s="277"/>
      <c r="FH26" s="277"/>
      <c r="FI26" s="277"/>
      <c r="FJ26" s="277"/>
      <c r="FK26" s="277"/>
      <c r="FL26" s="277"/>
      <c r="FM26" s="277"/>
      <c r="FN26" s="277"/>
      <c r="FO26" s="277"/>
      <c r="FP26" s="277"/>
      <c r="FQ26" s="277"/>
      <c r="FR26" s="277"/>
      <c r="FS26" s="277"/>
      <c r="FT26" s="277"/>
      <c r="FU26" s="277"/>
      <c r="FV26" s="277"/>
      <c r="FW26" s="277"/>
      <c r="FX26" s="277"/>
      <c r="FY26" s="277"/>
      <c r="FZ26" s="277"/>
      <c r="GA26" s="277"/>
      <c r="GB26" s="277"/>
      <c r="GC26" s="277"/>
      <c r="GD26" s="277"/>
      <c r="GE26" s="277"/>
      <c r="GF26" s="277"/>
      <c r="GG26" s="277"/>
      <c r="GH26" s="277"/>
      <c r="GI26" s="277"/>
      <c r="GJ26" s="277"/>
      <c r="GK26" s="277"/>
      <c r="GL26" s="277"/>
      <c r="GM26" s="277"/>
      <c r="GN26" s="277"/>
      <c r="GO26" s="277"/>
      <c r="GP26" s="277"/>
      <c r="GQ26" s="277"/>
      <c r="GR26" s="277"/>
      <c r="GS26" s="277"/>
      <c r="GT26" s="277"/>
      <c r="GU26" s="277"/>
      <c r="GV26" s="277"/>
      <c r="GW26" s="277"/>
      <c r="GX26" s="277"/>
      <c r="GY26" s="277"/>
      <c r="GZ26" s="277"/>
      <c r="HA26" s="277"/>
      <c r="HB26" s="277"/>
      <c r="HC26" s="277"/>
      <c r="HD26" s="277"/>
      <c r="HE26" s="277"/>
      <c r="HF26" s="277"/>
      <c r="HG26" s="277"/>
      <c r="HH26" s="277"/>
      <c r="HI26" s="277"/>
      <c r="HJ26" s="277"/>
      <c r="HK26" s="277"/>
      <c r="HL26" s="277"/>
      <c r="HM26" s="277"/>
      <c r="HN26" s="277"/>
      <c r="HO26" s="277"/>
      <c r="HP26" s="277"/>
      <c r="HQ26" s="277"/>
      <c r="HR26" s="277"/>
      <c r="HS26" s="277"/>
      <c r="HT26" s="277"/>
      <c r="HU26" s="277"/>
      <c r="HV26" s="277"/>
      <c r="HW26" s="277"/>
      <c r="HX26" s="277"/>
      <c r="HY26" s="277"/>
      <c r="HZ26" s="277"/>
      <c r="IA26" s="277"/>
      <c r="IB26" s="277"/>
      <c r="IC26" s="277"/>
      <c r="ID26" s="277"/>
      <c r="IE26" s="277"/>
      <c r="IF26" s="277"/>
      <c r="IG26" s="277"/>
      <c r="IH26" s="277"/>
      <c r="II26" s="277"/>
      <c r="IJ26" s="277"/>
      <c r="IK26" s="277"/>
      <c r="IL26" s="277"/>
      <c r="IM26" s="277"/>
      <c r="IN26" s="277"/>
      <c r="IO26" s="277"/>
      <c r="IP26" s="277"/>
      <c r="IQ26" s="277"/>
      <c r="IR26" s="277"/>
      <c r="IS26" s="277"/>
      <c r="IT26" s="277"/>
    </row>
    <row r="27" spans="1:254" ht="21.95" customHeight="1">
      <c r="A27" s="301">
        <v>341000</v>
      </c>
      <c r="B27" s="263" t="s">
        <v>494</v>
      </c>
      <c r="C27" s="269"/>
      <c r="D27" s="269"/>
      <c r="E27" s="269"/>
      <c r="F27" s="314">
        <f t="shared" ref="F27:F32" si="66">-D27+E27</f>
        <v>0</v>
      </c>
      <c r="G27" s="269"/>
      <c r="H27" s="269"/>
      <c r="I27" s="269"/>
      <c r="J27" s="314">
        <f t="shared" ref="J27:J32" si="67">-H27+I27</f>
        <v>0</v>
      </c>
      <c r="K27" s="269"/>
      <c r="L27" s="269"/>
      <c r="M27" s="269"/>
      <c r="N27" s="314">
        <f t="shared" ref="N27:N32" si="68">-L27+M27</f>
        <v>0</v>
      </c>
      <c r="O27" s="269"/>
      <c r="P27" s="269"/>
      <c r="Q27" s="269"/>
      <c r="R27" s="314">
        <f t="shared" ref="R27:R32" si="69">-P27+Q27</f>
        <v>0</v>
      </c>
      <c r="S27" s="269"/>
      <c r="T27" s="269"/>
      <c r="U27" s="269"/>
      <c r="V27" s="314">
        <f t="shared" ref="V27:V32" si="70">-T27+U27</f>
        <v>0</v>
      </c>
      <c r="W27" s="269"/>
      <c r="X27" s="269"/>
      <c r="Y27" s="269"/>
      <c r="Z27" s="314">
        <f t="shared" ref="Z27:Z32" si="71">-X27+Y27</f>
        <v>0</v>
      </c>
      <c r="AA27" s="269"/>
      <c r="AB27" s="269"/>
      <c r="AC27" s="269"/>
      <c r="AD27" s="314">
        <f t="shared" ref="AD27:AD32" si="72">-AB27+AC27</f>
        <v>0</v>
      </c>
      <c r="AE27" s="269"/>
      <c r="AF27" s="269"/>
      <c r="AG27" s="269"/>
      <c r="AH27" s="314">
        <f t="shared" ref="AH27:AH32" si="73">-AF27+AG27</f>
        <v>0</v>
      </c>
      <c r="AI27" s="269"/>
      <c r="AJ27" s="269"/>
      <c r="AK27" s="269"/>
      <c r="AL27" s="314">
        <f t="shared" ref="AL27:AL32" si="74">-AJ27+AK27</f>
        <v>0</v>
      </c>
      <c r="AM27" s="269"/>
      <c r="AN27" s="269"/>
      <c r="AO27" s="269"/>
      <c r="AP27" s="314">
        <f t="shared" ref="AP27:AP32" si="75">-AN27+AO27</f>
        <v>0</v>
      </c>
      <c r="AQ27" s="269"/>
      <c r="AR27" s="269"/>
      <c r="AS27" s="269"/>
      <c r="AT27" s="314">
        <f t="shared" ref="AT27:AT32" si="76">-AR27+AS27</f>
        <v>0</v>
      </c>
      <c r="AU27" s="269"/>
      <c r="AV27" s="269"/>
      <c r="AW27" s="269"/>
      <c r="AX27" s="314">
        <f t="shared" ref="AX27:AX32" si="77">-AV27+AW27</f>
        <v>0</v>
      </c>
      <c r="AY27" s="269"/>
      <c r="AZ27" s="269"/>
      <c r="BA27" s="269"/>
      <c r="BB27" s="314">
        <f t="shared" ref="BB27:BB32" si="78">-AZ27+BA27</f>
        <v>0</v>
      </c>
      <c r="BC27" s="269"/>
      <c r="BD27" s="269"/>
      <c r="BE27" s="269"/>
      <c r="BF27" s="314">
        <f t="shared" ref="BF27:BF32" si="79">-BD27+BE27</f>
        <v>0</v>
      </c>
      <c r="BG27" s="269"/>
      <c r="BH27" s="269"/>
      <c r="BI27" s="269"/>
      <c r="BJ27" s="314">
        <f t="shared" ref="BJ27:BJ32" si="80">-BH27+BI27</f>
        <v>0</v>
      </c>
      <c r="BK27" s="269"/>
      <c r="BL27" s="269"/>
      <c r="BM27" s="269"/>
      <c r="BN27" s="314">
        <f t="shared" ref="BN27:BN32" si="81">-BL27+BM27</f>
        <v>0</v>
      </c>
      <c r="BO27" s="269"/>
      <c r="BP27" s="269"/>
      <c r="BQ27" s="269"/>
      <c r="BR27" s="314">
        <f t="shared" ref="BR27:BR32" si="82">-BP27+BQ27</f>
        <v>0</v>
      </c>
      <c r="BS27" s="269"/>
      <c r="BT27" s="269"/>
      <c r="BU27" s="269"/>
      <c r="BV27" s="314">
        <f t="shared" ref="BV27:BV32" si="83">-BT27+BU27</f>
        <v>0</v>
      </c>
      <c r="BW27" s="269"/>
      <c r="BX27" s="269"/>
      <c r="BY27" s="269"/>
      <c r="BZ27" s="314">
        <f t="shared" ref="BZ27:BZ32" si="84">-BX27+BY27</f>
        <v>0</v>
      </c>
      <c r="CA27" s="269"/>
      <c r="CB27" s="269"/>
      <c r="CC27" s="269"/>
      <c r="CD27" s="314">
        <f t="shared" ref="CD27:CD32" si="85">-CB27+CC27</f>
        <v>0</v>
      </c>
      <c r="CE27" s="269"/>
      <c r="CF27" s="269"/>
      <c r="CG27" s="269"/>
      <c r="CH27" s="314">
        <f t="shared" ref="CH27:CH32" si="86">-CF27+CG27</f>
        <v>0</v>
      </c>
      <c r="CI27" s="269"/>
      <c r="CJ27" s="269"/>
      <c r="CK27" s="269"/>
      <c r="CL27" s="314">
        <f t="shared" ref="CL27:CL32" si="87">-CJ27+CK27</f>
        <v>0</v>
      </c>
      <c r="CM27" s="269"/>
      <c r="CN27" s="269"/>
      <c r="CO27" s="269"/>
      <c r="CP27" s="314">
        <f t="shared" ref="CP27:CP32" si="88">-CN27+CO27</f>
        <v>0</v>
      </c>
      <c r="CQ27" s="269"/>
      <c r="CR27" s="269"/>
      <c r="CS27" s="269"/>
      <c r="CT27" s="314">
        <f t="shared" ref="CT27:CT32" si="89">-CR27+CS27</f>
        <v>0</v>
      </c>
      <c r="CU27" s="269"/>
      <c r="CV27" s="269"/>
      <c r="CW27" s="269"/>
      <c r="CX27" s="314">
        <f t="shared" ref="CX27:CX32" si="90">-CV27+CW27</f>
        <v>0</v>
      </c>
      <c r="CY27" s="269"/>
      <c r="CZ27" s="269"/>
      <c r="DA27" s="269"/>
      <c r="DB27" s="314">
        <f t="shared" ref="DB27:DB32" si="91">-CZ27+DA27</f>
        <v>0</v>
      </c>
      <c r="DC27" s="269"/>
      <c r="DD27" s="269"/>
      <c r="DE27" s="269"/>
      <c r="DF27" s="314">
        <f t="shared" ref="DF27:DF32" si="92">-DD27+DE27</f>
        <v>0</v>
      </c>
      <c r="DG27" s="269"/>
      <c r="DH27" s="269"/>
      <c r="DI27" s="269"/>
      <c r="DJ27" s="314">
        <f t="shared" ref="DJ27:DJ32" si="93">-DH27+DI27</f>
        <v>0</v>
      </c>
      <c r="DK27" s="269"/>
      <c r="DL27" s="269"/>
      <c r="DM27" s="269"/>
      <c r="DN27" s="314">
        <f t="shared" ref="DN27:DN32" si="94">-DL27+DM27</f>
        <v>0</v>
      </c>
      <c r="DO27" s="269"/>
      <c r="DP27" s="269"/>
      <c r="DQ27" s="269"/>
      <c r="DR27" s="314">
        <f t="shared" ref="DR27:DR32" si="95">-DP27+DQ27</f>
        <v>0</v>
      </c>
      <c r="DS27" s="269"/>
      <c r="DT27" s="269"/>
      <c r="DU27" s="269"/>
      <c r="DV27" s="314">
        <f t="shared" ref="DV27:DV32" si="96">-DT27+DU27</f>
        <v>0</v>
      </c>
      <c r="DW27" s="269"/>
      <c r="DX27" s="269"/>
      <c r="DY27" s="269"/>
      <c r="DZ27" s="314">
        <f t="shared" ref="DZ27:DZ32" si="97">-DX27+DY27</f>
        <v>0</v>
      </c>
      <c r="EA27" s="269"/>
      <c r="EB27" s="269"/>
      <c r="EC27" s="269"/>
      <c r="ED27" s="314">
        <f t="shared" ref="ED27:ED32" si="98">-EB27+EC27</f>
        <v>0</v>
      </c>
      <c r="EE27" s="269"/>
      <c r="EF27" s="269"/>
      <c r="EG27" s="269"/>
      <c r="EH27" s="314">
        <f t="shared" ref="EH27:EH32" si="99">-EF27+EG27</f>
        <v>0</v>
      </c>
      <c r="EI27" s="269"/>
      <c r="EJ27" s="269"/>
      <c r="EK27" s="269"/>
      <c r="EL27" s="314">
        <f t="shared" ref="EL27:EL32" si="100">-EJ27+EK27</f>
        <v>0</v>
      </c>
      <c r="EM27" s="269"/>
      <c r="EN27" s="269"/>
      <c r="EO27" s="269"/>
      <c r="EP27" s="314">
        <f t="shared" ref="EP27:EP32" si="101">-EN27+EO27</f>
        <v>0</v>
      </c>
      <c r="EQ27" s="269"/>
      <c r="ER27" s="269"/>
      <c r="ES27" s="269"/>
      <c r="ET27" s="314">
        <f t="shared" ref="ET27:ET32" si="102">-ER27+ES27</f>
        <v>0</v>
      </c>
      <c r="EU27" s="269"/>
      <c r="EV27" s="269"/>
      <c r="EW27" s="269"/>
      <c r="EX27" s="314">
        <f t="shared" ref="EX27:EX32" si="103">-EV27+EW27</f>
        <v>0</v>
      </c>
      <c r="EY27" s="269"/>
      <c r="EZ27" s="269"/>
      <c r="FA27" s="269"/>
      <c r="FB27" s="314">
        <f t="shared" ref="FB27:FB32" si="104">-EZ27+FA27</f>
        <v>0</v>
      </c>
      <c r="FC27" s="269"/>
      <c r="FD27" s="269"/>
      <c r="FE27" s="269"/>
      <c r="FF27" s="314">
        <f t="shared" ref="FF27:FF32" si="105">-FD27+FE27</f>
        <v>0</v>
      </c>
      <c r="FG27" s="269"/>
      <c r="FH27" s="269"/>
      <c r="FI27" s="269"/>
      <c r="FJ27" s="314">
        <f t="shared" ref="FJ27:FJ32" si="106">-FH27+FI27</f>
        <v>0</v>
      </c>
      <c r="FK27" s="269"/>
      <c r="FL27" s="269"/>
      <c r="FM27" s="269"/>
      <c r="FN27" s="314">
        <f t="shared" ref="FN27:FN32" si="107">-FL27+FM27</f>
        <v>0</v>
      </c>
      <c r="FO27" s="269"/>
      <c r="FP27" s="269"/>
      <c r="FQ27" s="269"/>
      <c r="FR27" s="314">
        <f t="shared" ref="FR27:FR32" si="108">-FP27+FQ27</f>
        <v>0</v>
      </c>
      <c r="FS27" s="269"/>
      <c r="FT27" s="269"/>
      <c r="FU27" s="269"/>
      <c r="FV27" s="314">
        <f t="shared" ref="FV27:FV32" si="109">-FT27+FU27</f>
        <v>0</v>
      </c>
      <c r="FW27" s="269"/>
      <c r="FX27" s="269"/>
      <c r="FY27" s="269"/>
      <c r="FZ27" s="314">
        <f t="shared" ref="FZ27:FZ32" si="110">-FX27+FY27</f>
        <v>0</v>
      </c>
      <c r="GA27" s="269"/>
      <c r="GB27" s="269"/>
      <c r="GC27" s="269"/>
      <c r="GD27" s="314">
        <f t="shared" ref="GD27:GD32" si="111">-GB27+GC27</f>
        <v>0</v>
      </c>
      <c r="GE27" s="269"/>
      <c r="GF27" s="269"/>
      <c r="GG27" s="269"/>
      <c r="GH27" s="314">
        <f t="shared" ref="GH27:GH32" si="112">-GF27+GG27</f>
        <v>0</v>
      </c>
      <c r="GI27" s="269"/>
      <c r="GJ27" s="269"/>
      <c r="GK27" s="269"/>
      <c r="GL27" s="314">
        <f t="shared" ref="GL27:GL32" si="113">-GJ27+GK27</f>
        <v>0</v>
      </c>
      <c r="GM27" s="269"/>
      <c r="GN27" s="269"/>
      <c r="GO27" s="269"/>
      <c r="GP27" s="314">
        <f t="shared" ref="GP27:GP32" si="114">-GN27+GO27</f>
        <v>0</v>
      </c>
      <c r="GQ27" s="269"/>
      <c r="GR27" s="269"/>
      <c r="GS27" s="269"/>
      <c r="GT27" s="314">
        <f t="shared" ref="GT27:GT32" si="115">-GR27+GS27</f>
        <v>0</v>
      </c>
      <c r="GU27" s="269"/>
      <c r="GV27" s="269"/>
      <c r="GW27" s="269"/>
      <c r="GX27" s="314">
        <f t="shared" ref="GX27:GX32" si="116">-GV27+GW27</f>
        <v>0</v>
      </c>
      <c r="GY27" s="269"/>
      <c r="GZ27" s="269"/>
      <c r="HA27" s="269"/>
      <c r="HB27" s="314">
        <f t="shared" ref="HB27:HB32" si="117">-GZ27+HA27</f>
        <v>0</v>
      </c>
      <c r="HC27" s="269"/>
      <c r="HD27" s="269"/>
      <c r="HE27" s="269"/>
      <c r="HF27" s="314">
        <f t="shared" ref="HF27:HF32" si="118">-HD27+HE27</f>
        <v>0</v>
      </c>
      <c r="HG27" s="269"/>
      <c r="HH27" s="269"/>
      <c r="HI27" s="269"/>
      <c r="HJ27" s="314">
        <f t="shared" ref="HJ27:HJ32" si="119">-HH27+HI27</f>
        <v>0</v>
      </c>
      <c r="HK27" s="269"/>
      <c r="HL27" s="269"/>
      <c r="HM27" s="269"/>
      <c r="HN27" s="314">
        <f t="shared" ref="HN27:HN32" si="120">-HL27+HM27</f>
        <v>0</v>
      </c>
      <c r="HO27" s="269"/>
      <c r="HP27" s="269"/>
      <c r="HQ27" s="269"/>
      <c r="HR27" s="314">
        <f t="shared" ref="HR27:HR32" si="121">-HP27+HQ27</f>
        <v>0</v>
      </c>
      <c r="HS27" s="269"/>
      <c r="HT27" s="269"/>
      <c r="HU27" s="269"/>
      <c r="HV27" s="314">
        <f t="shared" ref="HV27:HV32" si="122">-HT27+HU27</f>
        <v>0</v>
      </c>
      <c r="HW27" s="269"/>
      <c r="HX27" s="269"/>
      <c r="HY27" s="269"/>
      <c r="HZ27" s="314">
        <f t="shared" ref="HZ27:HZ32" si="123">-HX27+HY27</f>
        <v>0</v>
      </c>
      <c r="IA27" s="269"/>
      <c r="IB27" s="269"/>
      <c r="IC27" s="269"/>
      <c r="ID27" s="314">
        <f t="shared" ref="ID27:ID32" si="124">-IB27+IC27</f>
        <v>0</v>
      </c>
      <c r="IE27" s="269"/>
      <c r="IF27" s="269"/>
      <c r="IG27" s="269"/>
      <c r="IH27" s="314">
        <f t="shared" ref="IH27:IH32" si="125">-IF27+IG27</f>
        <v>0</v>
      </c>
      <c r="II27" s="269"/>
      <c r="IJ27" s="269"/>
      <c r="IK27" s="269"/>
      <c r="IL27" s="314">
        <f t="shared" ref="IL27:IL32" si="126">-IJ27+IK27</f>
        <v>0</v>
      </c>
      <c r="IM27" s="269"/>
      <c r="IN27" s="269"/>
      <c r="IO27" s="269"/>
      <c r="IP27" s="314">
        <f t="shared" ref="IP27:IP32" si="127">-IN27+IO27</f>
        <v>0</v>
      </c>
      <c r="IQ27" s="277">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77">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77">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77">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c r="A28" s="301">
        <v>342000</v>
      </c>
      <c r="B28" s="263" t="s">
        <v>219</v>
      </c>
      <c r="C28" s="269"/>
      <c r="D28" s="269"/>
      <c r="E28" s="269"/>
      <c r="F28" s="314">
        <f t="shared" si="66"/>
        <v>0</v>
      </c>
      <c r="G28" s="269"/>
      <c r="H28" s="269"/>
      <c r="I28" s="269"/>
      <c r="J28" s="314">
        <f t="shared" si="67"/>
        <v>0</v>
      </c>
      <c r="K28" s="269"/>
      <c r="L28" s="269"/>
      <c r="M28" s="269"/>
      <c r="N28" s="314">
        <f t="shared" si="68"/>
        <v>0</v>
      </c>
      <c r="O28" s="269"/>
      <c r="P28" s="269"/>
      <c r="Q28" s="269"/>
      <c r="R28" s="314">
        <f t="shared" si="69"/>
        <v>0</v>
      </c>
      <c r="S28" s="269"/>
      <c r="T28" s="269"/>
      <c r="U28" s="269"/>
      <c r="V28" s="314">
        <f t="shared" si="70"/>
        <v>0</v>
      </c>
      <c r="W28" s="269"/>
      <c r="X28" s="269"/>
      <c r="Y28" s="269"/>
      <c r="Z28" s="314">
        <f t="shared" si="71"/>
        <v>0</v>
      </c>
      <c r="AA28" s="269"/>
      <c r="AB28" s="269"/>
      <c r="AC28" s="269"/>
      <c r="AD28" s="314">
        <f t="shared" si="72"/>
        <v>0</v>
      </c>
      <c r="AE28" s="269"/>
      <c r="AF28" s="269"/>
      <c r="AG28" s="269"/>
      <c r="AH28" s="314">
        <f t="shared" si="73"/>
        <v>0</v>
      </c>
      <c r="AI28" s="269"/>
      <c r="AJ28" s="269"/>
      <c r="AK28" s="269"/>
      <c r="AL28" s="314">
        <f t="shared" si="74"/>
        <v>0</v>
      </c>
      <c r="AM28" s="269"/>
      <c r="AN28" s="269"/>
      <c r="AO28" s="269"/>
      <c r="AP28" s="314">
        <f t="shared" si="75"/>
        <v>0</v>
      </c>
      <c r="AQ28" s="269"/>
      <c r="AR28" s="269"/>
      <c r="AS28" s="269"/>
      <c r="AT28" s="314">
        <f t="shared" si="76"/>
        <v>0</v>
      </c>
      <c r="AU28" s="269"/>
      <c r="AV28" s="269"/>
      <c r="AW28" s="269"/>
      <c r="AX28" s="314">
        <f t="shared" si="77"/>
        <v>0</v>
      </c>
      <c r="AY28" s="269"/>
      <c r="AZ28" s="269"/>
      <c r="BA28" s="269"/>
      <c r="BB28" s="314">
        <f t="shared" si="78"/>
        <v>0</v>
      </c>
      <c r="BC28" s="269"/>
      <c r="BD28" s="269"/>
      <c r="BE28" s="269"/>
      <c r="BF28" s="314">
        <f t="shared" si="79"/>
        <v>0</v>
      </c>
      <c r="BG28" s="269"/>
      <c r="BH28" s="269"/>
      <c r="BI28" s="269"/>
      <c r="BJ28" s="314">
        <f t="shared" si="80"/>
        <v>0</v>
      </c>
      <c r="BK28" s="269"/>
      <c r="BL28" s="269"/>
      <c r="BM28" s="269"/>
      <c r="BN28" s="314">
        <f t="shared" si="81"/>
        <v>0</v>
      </c>
      <c r="BO28" s="269"/>
      <c r="BP28" s="269"/>
      <c r="BQ28" s="269"/>
      <c r="BR28" s="314">
        <f t="shared" si="82"/>
        <v>0</v>
      </c>
      <c r="BS28" s="269"/>
      <c r="BT28" s="269"/>
      <c r="BU28" s="269"/>
      <c r="BV28" s="314">
        <f t="shared" si="83"/>
        <v>0</v>
      </c>
      <c r="BW28" s="269"/>
      <c r="BX28" s="269"/>
      <c r="BY28" s="269"/>
      <c r="BZ28" s="314">
        <f t="shared" si="84"/>
        <v>0</v>
      </c>
      <c r="CA28" s="269"/>
      <c r="CB28" s="269"/>
      <c r="CC28" s="269"/>
      <c r="CD28" s="314">
        <f t="shared" si="85"/>
        <v>0</v>
      </c>
      <c r="CE28" s="269"/>
      <c r="CF28" s="269"/>
      <c r="CG28" s="269"/>
      <c r="CH28" s="314">
        <f t="shared" si="86"/>
        <v>0</v>
      </c>
      <c r="CI28" s="269"/>
      <c r="CJ28" s="269"/>
      <c r="CK28" s="269"/>
      <c r="CL28" s="314">
        <f t="shared" si="87"/>
        <v>0</v>
      </c>
      <c r="CM28" s="269"/>
      <c r="CN28" s="269"/>
      <c r="CO28" s="269"/>
      <c r="CP28" s="314">
        <f t="shared" si="88"/>
        <v>0</v>
      </c>
      <c r="CQ28" s="269"/>
      <c r="CR28" s="269"/>
      <c r="CS28" s="269"/>
      <c r="CT28" s="314">
        <f t="shared" si="89"/>
        <v>0</v>
      </c>
      <c r="CU28" s="269"/>
      <c r="CV28" s="269"/>
      <c r="CW28" s="269"/>
      <c r="CX28" s="314">
        <f t="shared" si="90"/>
        <v>0</v>
      </c>
      <c r="CY28" s="269"/>
      <c r="CZ28" s="269"/>
      <c r="DA28" s="269"/>
      <c r="DB28" s="314">
        <f t="shared" si="91"/>
        <v>0</v>
      </c>
      <c r="DC28" s="269"/>
      <c r="DD28" s="269"/>
      <c r="DE28" s="269"/>
      <c r="DF28" s="314">
        <f t="shared" si="92"/>
        <v>0</v>
      </c>
      <c r="DG28" s="269"/>
      <c r="DH28" s="269"/>
      <c r="DI28" s="269"/>
      <c r="DJ28" s="314">
        <f t="shared" si="93"/>
        <v>0</v>
      </c>
      <c r="DK28" s="269"/>
      <c r="DL28" s="269"/>
      <c r="DM28" s="269"/>
      <c r="DN28" s="314">
        <f t="shared" si="94"/>
        <v>0</v>
      </c>
      <c r="DO28" s="269"/>
      <c r="DP28" s="269"/>
      <c r="DQ28" s="269"/>
      <c r="DR28" s="314">
        <f t="shared" si="95"/>
        <v>0</v>
      </c>
      <c r="DS28" s="269"/>
      <c r="DT28" s="269"/>
      <c r="DU28" s="269"/>
      <c r="DV28" s="314">
        <f t="shared" si="96"/>
        <v>0</v>
      </c>
      <c r="DW28" s="269"/>
      <c r="DX28" s="269"/>
      <c r="DY28" s="269"/>
      <c r="DZ28" s="314">
        <f t="shared" si="97"/>
        <v>0</v>
      </c>
      <c r="EA28" s="269"/>
      <c r="EB28" s="269"/>
      <c r="EC28" s="269"/>
      <c r="ED28" s="314">
        <f t="shared" si="98"/>
        <v>0</v>
      </c>
      <c r="EE28" s="269"/>
      <c r="EF28" s="269"/>
      <c r="EG28" s="269"/>
      <c r="EH28" s="314">
        <f t="shared" si="99"/>
        <v>0</v>
      </c>
      <c r="EI28" s="269"/>
      <c r="EJ28" s="269"/>
      <c r="EK28" s="269"/>
      <c r="EL28" s="314">
        <f t="shared" si="100"/>
        <v>0</v>
      </c>
      <c r="EM28" s="269"/>
      <c r="EN28" s="269"/>
      <c r="EO28" s="269"/>
      <c r="EP28" s="314">
        <f t="shared" si="101"/>
        <v>0</v>
      </c>
      <c r="EQ28" s="269"/>
      <c r="ER28" s="269"/>
      <c r="ES28" s="269"/>
      <c r="ET28" s="314">
        <f t="shared" si="102"/>
        <v>0</v>
      </c>
      <c r="EU28" s="269"/>
      <c r="EV28" s="269"/>
      <c r="EW28" s="269"/>
      <c r="EX28" s="314">
        <f t="shared" si="103"/>
        <v>0</v>
      </c>
      <c r="EY28" s="269"/>
      <c r="EZ28" s="269"/>
      <c r="FA28" s="269"/>
      <c r="FB28" s="314">
        <f t="shared" si="104"/>
        <v>0</v>
      </c>
      <c r="FC28" s="269"/>
      <c r="FD28" s="269"/>
      <c r="FE28" s="269"/>
      <c r="FF28" s="314">
        <f t="shared" si="105"/>
        <v>0</v>
      </c>
      <c r="FG28" s="269"/>
      <c r="FH28" s="269"/>
      <c r="FI28" s="269"/>
      <c r="FJ28" s="314">
        <f t="shared" si="106"/>
        <v>0</v>
      </c>
      <c r="FK28" s="269"/>
      <c r="FL28" s="269"/>
      <c r="FM28" s="269"/>
      <c r="FN28" s="314">
        <f t="shared" si="107"/>
        <v>0</v>
      </c>
      <c r="FO28" s="269"/>
      <c r="FP28" s="269"/>
      <c r="FQ28" s="269"/>
      <c r="FR28" s="314">
        <f t="shared" si="108"/>
        <v>0</v>
      </c>
      <c r="FS28" s="269"/>
      <c r="FT28" s="269"/>
      <c r="FU28" s="269"/>
      <c r="FV28" s="314">
        <f t="shared" si="109"/>
        <v>0</v>
      </c>
      <c r="FW28" s="269"/>
      <c r="FX28" s="269"/>
      <c r="FY28" s="269"/>
      <c r="FZ28" s="314">
        <f t="shared" si="110"/>
        <v>0</v>
      </c>
      <c r="GA28" s="269"/>
      <c r="GB28" s="269"/>
      <c r="GC28" s="269"/>
      <c r="GD28" s="314">
        <f t="shared" si="111"/>
        <v>0</v>
      </c>
      <c r="GE28" s="269"/>
      <c r="GF28" s="269"/>
      <c r="GG28" s="269"/>
      <c r="GH28" s="314">
        <f t="shared" si="112"/>
        <v>0</v>
      </c>
      <c r="GI28" s="269"/>
      <c r="GJ28" s="269"/>
      <c r="GK28" s="269"/>
      <c r="GL28" s="314">
        <f t="shared" si="113"/>
        <v>0</v>
      </c>
      <c r="GM28" s="269"/>
      <c r="GN28" s="269"/>
      <c r="GO28" s="269"/>
      <c r="GP28" s="314">
        <f t="shared" si="114"/>
        <v>0</v>
      </c>
      <c r="GQ28" s="269"/>
      <c r="GR28" s="269"/>
      <c r="GS28" s="269"/>
      <c r="GT28" s="314">
        <f t="shared" si="115"/>
        <v>0</v>
      </c>
      <c r="GU28" s="269"/>
      <c r="GV28" s="269"/>
      <c r="GW28" s="269"/>
      <c r="GX28" s="314">
        <f t="shared" si="116"/>
        <v>0</v>
      </c>
      <c r="GY28" s="269"/>
      <c r="GZ28" s="269"/>
      <c r="HA28" s="269"/>
      <c r="HB28" s="314">
        <f t="shared" si="117"/>
        <v>0</v>
      </c>
      <c r="HC28" s="269"/>
      <c r="HD28" s="269"/>
      <c r="HE28" s="269"/>
      <c r="HF28" s="314">
        <f t="shared" si="118"/>
        <v>0</v>
      </c>
      <c r="HG28" s="269"/>
      <c r="HH28" s="269"/>
      <c r="HI28" s="269"/>
      <c r="HJ28" s="314">
        <f t="shared" si="119"/>
        <v>0</v>
      </c>
      <c r="HK28" s="269"/>
      <c r="HL28" s="269"/>
      <c r="HM28" s="269"/>
      <c r="HN28" s="314">
        <f t="shared" si="120"/>
        <v>0</v>
      </c>
      <c r="HO28" s="269"/>
      <c r="HP28" s="269"/>
      <c r="HQ28" s="269"/>
      <c r="HR28" s="314">
        <f t="shared" si="121"/>
        <v>0</v>
      </c>
      <c r="HS28" s="269"/>
      <c r="HT28" s="269"/>
      <c r="HU28" s="269"/>
      <c r="HV28" s="314">
        <f t="shared" si="122"/>
        <v>0</v>
      </c>
      <c r="HW28" s="269"/>
      <c r="HX28" s="269"/>
      <c r="HY28" s="269"/>
      <c r="HZ28" s="314">
        <f t="shared" si="123"/>
        <v>0</v>
      </c>
      <c r="IA28" s="269"/>
      <c r="IB28" s="269"/>
      <c r="IC28" s="269"/>
      <c r="ID28" s="314">
        <f t="shared" si="124"/>
        <v>0</v>
      </c>
      <c r="IE28" s="269"/>
      <c r="IF28" s="269"/>
      <c r="IG28" s="269"/>
      <c r="IH28" s="314">
        <f t="shared" si="125"/>
        <v>0</v>
      </c>
      <c r="II28" s="269"/>
      <c r="IJ28" s="269"/>
      <c r="IK28" s="269"/>
      <c r="IL28" s="314">
        <f t="shared" si="126"/>
        <v>0</v>
      </c>
      <c r="IM28" s="269"/>
      <c r="IN28" s="269"/>
      <c r="IO28" s="269"/>
      <c r="IP28" s="314">
        <f t="shared" si="127"/>
        <v>0</v>
      </c>
      <c r="IQ28" s="277">
        <f t="shared" si="128"/>
        <v>0</v>
      </c>
      <c r="IR28" s="277">
        <f t="shared" si="129"/>
        <v>0</v>
      </c>
      <c r="IS28" s="277">
        <f t="shared" si="130"/>
        <v>0</v>
      </c>
      <c r="IT28" s="277">
        <f t="shared" si="131"/>
        <v>0</v>
      </c>
    </row>
    <row r="29" spans="1:254" ht="21.95" customHeight="1">
      <c r="A29" s="301">
        <v>343000</v>
      </c>
      <c r="B29" s="263" t="s">
        <v>220</v>
      </c>
      <c r="C29" s="269"/>
      <c r="D29" s="269"/>
      <c r="E29" s="269"/>
      <c r="F29" s="314">
        <f t="shared" si="66"/>
        <v>0</v>
      </c>
      <c r="G29" s="269"/>
      <c r="H29" s="269"/>
      <c r="I29" s="269"/>
      <c r="J29" s="314">
        <f t="shared" si="67"/>
        <v>0</v>
      </c>
      <c r="K29" s="269"/>
      <c r="L29" s="269"/>
      <c r="M29" s="269"/>
      <c r="N29" s="314">
        <f t="shared" si="68"/>
        <v>0</v>
      </c>
      <c r="O29" s="269"/>
      <c r="P29" s="269"/>
      <c r="Q29" s="269"/>
      <c r="R29" s="314">
        <f t="shared" si="69"/>
        <v>0</v>
      </c>
      <c r="S29" s="269"/>
      <c r="T29" s="269"/>
      <c r="U29" s="269"/>
      <c r="V29" s="314">
        <f t="shared" si="70"/>
        <v>0</v>
      </c>
      <c r="W29" s="269"/>
      <c r="X29" s="269"/>
      <c r="Y29" s="269"/>
      <c r="Z29" s="314">
        <f t="shared" si="71"/>
        <v>0</v>
      </c>
      <c r="AA29" s="269"/>
      <c r="AB29" s="269"/>
      <c r="AC29" s="269"/>
      <c r="AD29" s="314">
        <f t="shared" si="72"/>
        <v>0</v>
      </c>
      <c r="AE29" s="269"/>
      <c r="AF29" s="269"/>
      <c r="AG29" s="269"/>
      <c r="AH29" s="314">
        <f t="shared" si="73"/>
        <v>0</v>
      </c>
      <c r="AI29" s="269"/>
      <c r="AJ29" s="269"/>
      <c r="AK29" s="269"/>
      <c r="AL29" s="314">
        <f t="shared" si="74"/>
        <v>0</v>
      </c>
      <c r="AM29" s="269"/>
      <c r="AN29" s="269"/>
      <c r="AO29" s="269"/>
      <c r="AP29" s="314">
        <f t="shared" si="75"/>
        <v>0</v>
      </c>
      <c r="AQ29" s="269"/>
      <c r="AR29" s="269"/>
      <c r="AS29" s="269"/>
      <c r="AT29" s="314">
        <f t="shared" si="76"/>
        <v>0</v>
      </c>
      <c r="AU29" s="269"/>
      <c r="AV29" s="269"/>
      <c r="AW29" s="269"/>
      <c r="AX29" s="314">
        <f t="shared" si="77"/>
        <v>0</v>
      </c>
      <c r="AY29" s="269"/>
      <c r="AZ29" s="269"/>
      <c r="BA29" s="269"/>
      <c r="BB29" s="314">
        <f t="shared" si="78"/>
        <v>0</v>
      </c>
      <c r="BC29" s="269"/>
      <c r="BD29" s="269"/>
      <c r="BE29" s="269"/>
      <c r="BF29" s="314">
        <f t="shared" si="79"/>
        <v>0</v>
      </c>
      <c r="BG29" s="269"/>
      <c r="BH29" s="269"/>
      <c r="BI29" s="269"/>
      <c r="BJ29" s="314">
        <f t="shared" si="80"/>
        <v>0</v>
      </c>
      <c r="BK29" s="269"/>
      <c r="BL29" s="269"/>
      <c r="BM29" s="269"/>
      <c r="BN29" s="314">
        <f t="shared" si="81"/>
        <v>0</v>
      </c>
      <c r="BO29" s="269"/>
      <c r="BP29" s="269"/>
      <c r="BQ29" s="269"/>
      <c r="BR29" s="314">
        <f t="shared" si="82"/>
        <v>0</v>
      </c>
      <c r="BS29" s="269"/>
      <c r="BT29" s="269"/>
      <c r="BU29" s="269"/>
      <c r="BV29" s="314">
        <f t="shared" si="83"/>
        <v>0</v>
      </c>
      <c r="BW29" s="269"/>
      <c r="BX29" s="269"/>
      <c r="BY29" s="269"/>
      <c r="BZ29" s="314">
        <f t="shared" si="84"/>
        <v>0</v>
      </c>
      <c r="CA29" s="269"/>
      <c r="CB29" s="269"/>
      <c r="CC29" s="269"/>
      <c r="CD29" s="314">
        <f t="shared" si="85"/>
        <v>0</v>
      </c>
      <c r="CE29" s="269"/>
      <c r="CF29" s="269"/>
      <c r="CG29" s="269"/>
      <c r="CH29" s="314">
        <f t="shared" si="86"/>
        <v>0</v>
      </c>
      <c r="CI29" s="269"/>
      <c r="CJ29" s="269"/>
      <c r="CK29" s="269"/>
      <c r="CL29" s="314">
        <f t="shared" si="87"/>
        <v>0</v>
      </c>
      <c r="CM29" s="269"/>
      <c r="CN29" s="269"/>
      <c r="CO29" s="269"/>
      <c r="CP29" s="314">
        <f t="shared" si="88"/>
        <v>0</v>
      </c>
      <c r="CQ29" s="269"/>
      <c r="CR29" s="269"/>
      <c r="CS29" s="269"/>
      <c r="CT29" s="314">
        <f t="shared" si="89"/>
        <v>0</v>
      </c>
      <c r="CU29" s="269"/>
      <c r="CV29" s="269"/>
      <c r="CW29" s="269"/>
      <c r="CX29" s="314">
        <f t="shared" si="90"/>
        <v>0</v>
      </c>
      <c r="CY29" s="269"/>
      <c r="CZ29" s="269"/>
      <c r="DA29" s="269"/>
      <c r="DB29" s="314">
        <f t="shared" si="91"/>
        <v>0</v>
      </c>
      <c r="DC29" s="269"/>
      <c r="DD29" s="269"/>
      <c r="DE29" s="269"/>
      <c r="DF29" s="314">
        <f t="shared" si="92"/>
        <v>0</v>
      </c>
      <c r="DG29" s="269"/>
      <c r="DH29" s="269"/>
      <c r="DI29" s="269"/>
      <c r="DJ29" s="314">
        <f t="shared" si="93"/>
        <v>0</v>
      </c>
      <c r="DK29" s="269"/>
      <c r="DL29" s="269"/>
      <c r="DM29" s="269"/>
      <c r="DN29" s="314">
        <f t="shared" si="94"/>
        <v>0</v>
      </c>
      <c r="DO29" s="269"/>
      <c r="DP29" s="269"/>
      <c r="DQ29" s="269"/>
      <c r="DR29" s="314">
        <f t="shared" si="95"/>
        <v>0</v>
      </c>
      <c r="DS29" s="269"/>
      <c r="DT29" s="269"/>
      <c r="DU29" s="269"/>
      <c r="DV29" s="314">
        <f t="shared" si="96"/>
        <v>0</v>
      </c>
      <c r="DW29" s="269"/>
      <c r="DX29" s="269"/>
      <c r="DY29" s="269"/>
      <c r="DZ29" s="314">
        <f t="shared" si="97"/>
        <v>0</v>
      </c>
      <c r="EA29" s="269"/>
      <c r="EB29" s="269"/>
      <c r="EC29" s="269"/>
      <c r="ED29" s="314">
        <f t="shared" si="98"/>
        <v>0</v>
      </c>
      <c r="EE29" s="269"/>
      <c r="EF29" s="269"/>
      <c r="EG29" s="269"/>
      <c r="EH29" s="314">
        <f t="shared" si="99"/>
        <v>0</v>
      </c>
      <c r="EI29" s="269"/>
      <c r="EJ29" s="269"/>
      <c r="EK29" s="269"/>
      <c r="EL29" s="314">
        <f t="shared" si="100"/>
        <v>0</v>
      </c>
      <c r="EM29" s="269"/>
      <c r="EN29" s="269"/>
      <c r="EO29" s="269"/>
      <c r="EP29" s="314">
        <f t="shared" si="101"/>
        <v>0</v>
      </c>
      <c r="EQ29" s="269"/>
      <c r="ER29" s="269"/>
      <c r="ES29" s="269"/>
      <c r="ET29" s="314">
        <f t="shared" si="102"/>
        <v>0</v>
      </c>
      <c r="EU29" s="269"/>
      <c r="EV29" s="269"/>
      <c r="EW29" s="269"/>
      <c r="EX29" s="314">
        <f t="shared" si="103"/>
        <v>0</v>
      </c>
      <c r="EY29" s="269"/>
      <c r="EZ29" s="269"/>
      <c r="FA29" s="269"/>
      <c r="FB29" s="314">
        <f t="shared" si="104"/>
        <v>0</v>
      </c>
      <c r="FC29" s="269"/>
      <c r="FD29" s="269"/>
      <c r="FE29" s="269"/>
      <c r="FF29" s="314">
        <f t="shared" si="105"/>
        <v>0</v>
      </c>
      <c r="FG29" s="269"/>
      <c r="FH29" s="269"/>
      <c r="FI29" s="269"/>
      <c r="FJ29" s="314">
        <f t="shared" si="106"/>
        <v>0</v>
      </c>
      <c r="FK29" s="269"/>
      <c r="FL29" s="269"/>
      <c r="FM29" s="269"/>
      <c r="FN29" s="314">
        <f t="shared" si="107"/>
        <v>0</v>
      </c>
      <c r="FO29" s="269"/>
      <c r="FP29" s="269"/>
      <c r="FQ29" s="269"/>
      <c r="FR29" s="314">
        <f t="shared" si="108"/>
        <v>0</v>
      </c>
      <c r="FS29" s="269"/>
      <c r="FT29" s="269"/>
      <c r="FU29" s="269"/>
      <c r="FV29" s="314">
        <f t="shared" si="109"/>
        <v>0</v>
      </c>
      <c r="FW29" s="269"/>
      <c r="FX29" s="269"/>
      <c r="FY29" s="269"/>
      <c r="FZ29" s="314">
        <f t="shared" si="110"/>
        <v>0</v>
      </c>
      <c r="GA29" s="269"/>
      <c r="GB29" s="269"/>
      <c r="GC29" s="269"/>
      <c r="GD29" s="314">
        <f t="shared" si="111"/>
        <v>0</v>
      </c>
      <c r="GE29" s="269"/>
      <c r="GF29" s="269"/>
      <c r="GG29" s="269"/>
      <c r="GH29" s="314">
        <f t="shared" si="112"/>
        <v>0</v>
      </c>
      <c r="GI29" s="269"/>
      <c r="GJ29" s="269"/>
      <c r="GK29" s="269"/>
      <c r="GL29" s="314">
        <f t="shared" si="113"/>
        <v>0</v>
      </c>
      <c r="GM29" s="269"/>
      <c r="GN29" s="269"/>
      <c r="GO29" s="269"/>
      <c r="GP29" s="314">
        <f t="shared" si="114"/>
        <v>0</v>
      </c>
      <c r="GQ29" s="269"/>
      <c r="GR29" s="269"/>
      <c r="GS29" s="269"/>
      <c r="GT29" s="314">
        <f t="shared" si="115"/>
        <v>0</v>
      </c>
      <c r="GU29" s="269"/>
      <c r="GV29" s="269"/>
      <c r="GW29" s="269"/>
      <c r="GX29" s="314">
        <f t="shared" si="116"/>
        <v>0</v>
      </c>
      <c r="GY29" s="269"/>
      <c r="GZ29" s="269"/>
      <c r="HA29" s="269"/>
      <c r="HB29" s="314">
        <f t="shared" si="117"/>
        <v>0</v>
      </c>
      <c r="HC29" s="269"/>
      <c r="HD29" s="269"/>
      <c r="HE29" s="269"/>
      <c r="HF29" s="314">
        <f t="shared" si="118"/>
        <v>0</v>
      </c>
      <c r="HG29" s="269"/>
      <c r="HH29" s="269"/>
      <c r="HI29" s="269"/>
      <c r="HJ29" s="314">
        <f t="shared" si="119"/>
        <v>0</v>
      </c>
      <c r="HK29" s="269"/>
      <c r="HL29" s="269"/>
      <c r="HM29" s="269"/>
      <c r="HN29" s="314">
        <f t="shared" si="120"/>
        <v>0</v>
      </c>
      <c r="HO29" s="269"/>
      <c r="HP29" s="269"/>
      <c r="HQ29" s="269"/>
      <c r="HR29" s="314">
        <f t="shared" si="121"/>
        <v>0</v>
      </c>
      <c r="HS29" s="269"/>
      <c r="HT29" s="269"/>
      <c r="HU29" s="269"/>
      <c r="HV29" s="314">
        <f t="shared" si="122"/>
        <v>0</v>
      </c>
      <c r="HW29" s="269"/>
      <c r="HX29" s="269"/>
      <c r="HY29" s="269"/>
      <c r="HZ29" s="314">
        <f t="shared" si="123"/>
        <v>0</v>
      </c>
      <c r="IA29" s="269"/>
      <c r="IB29" s="269"/>
      <c r="IC29" s="269"/>
      <c r="ID29" s="314">
        <f t="shared" si="124"/>
        <v>0</v>
      </c>
      <c r="IE29" s="269"/>
      <c r="IF29" s="269"/>
      <c r="IG29" s="269"/>
      <c r="IH29" s="314">
        <f t="shared" si="125"/>
        <v>0</v>
      </c>
      <c r="II29" s="269"/>
      <c r="IJ29" s="269"/>
      <c r="IK29" s="269"/>
      <c r="IL29" s="314">
        <f t="shared" si="126"/>
        <v>0</v>
      </c>
      <c r="IM29" s="269"/>
      <c r="IN29" s="269"/>
      <c r="IO29" s="269"/>
      <c r="IP29" s="314">
        <f t="shared" si="127"/>
        <v>0</v>
      </c>
      <c r="IQ29" s="277">
        <f t="shared" si="128"/>
        <v>0</v>
      </c>
      <c r="IR29" s="277">
        <f t="shared" si="129"/>
        <v>0</v>
      </c>
      <c r="IS29" s="277">
        <f t="shared" si="130"/>
        <v>0</v>
      </c>
      <c r="IT29" s="277">
        <f t="shared" si="131"/>
        <v>0</v>
      </c>
    </row>
    <row r="30" spans="1:254" ht="21.95" customHeight="1">
      <c r="A30" s="301">
        <v>344000</v>
      </c>
      <c r="B30" s="263" t="s">
        <v>188</v>
      </c>
      <c r="C30" s="303"/>
      <c r="D30" s="303"/>
      <c r="E30" s="303"/>
      <c r="F30" s="314">
        <f t="shared" si="66"/>
        <v>0</v>
      </c>
      <c r="G30" s="303"/>
      <c r="H30" s="303"/>
      <c r="I30" s="303"/>
      <c r="J30" s="314">
        <f t="shared" si="67"/>
        <v>0</v>
      </c>
      <c r="K30" s="303"/>
      <c r="L30" s="303"/>
      <c r="M30" s="303"/>
      <c r="N30" s="314">
        <f t="shared" si="68"/>
        <v>0</v>
      </c>
      <c r="O30" s="303"/>
      <c r="P30" s="303"/>
      <c r="Q30" s="303"/>
      <c r="R30" s="314">
        <f t="shared" si="69"/>
        <v>0</v>
      </c>
      <c r="S30" s="303"/>
      <c r="T30" s="303"/>
      <c r="U30" s="303"/>
      <c r="V30" s="314">
        <f t="shared" si="70"/>
        <v>0</v>
      </c>
      <c r="W30" s="303"/>
      <c r="X30" s="303"/>
      <c r="Y30" s="303"/>
      <c r="Z30" s="314">
        <f t="shared" si="71"/>
        <v>0</v>
      </c>
      <c r="AA30" s="303"/>
      <c r="AB30" s="303"/>
      <c r="AC30" s="303"/>
      <c r="AD30" s="314">
        <f t="shared" si="72"/>
        <v>0</v>
      </c>
      <c r="AE30" s="303"/>
      <c r="AF30" s="303"/>
      <c r="AG30" s="303"/>
      <c r="AH30" s="314">
        <f t="shared" si="73"/>
        <v>0</v>
      </c>
      <c r="AI30" s="303"/>
      <c r="AJ30" s="303"/>
      <c r="AK30" s="303"/>
      <c r="AL30" s="314">
        <f t="shared" si="74"/>
        <v>0</v>
      </c>
      <c r="AM30" s="303"/>
      <c r="AN30" s="303"/>
      <c r="AO30" s="303"/>
      <c r="AP30" s="314">
        <f t="shared" si="75"/>
        <v>0</v>
      </c>
      <c r="AQ30" s="303"/>
      <c r="AR30" s="303"/>
      <c r="AS30" s="303"/>
      <c r="AT30" s="314">
        <f t="shared" si="76"/>
        <v>0</v>
      </c>
      <c r="AU30" s="303"/>
      <c r="AV30" s="303"/>
      <c r="AW30" s="303"/>
      <c r="AX30" s="314">
        <f t="shared" si="77"/>
        <v>0</v>
      </c>
      <c r="AY30" s="303"/>
      <c r="AZ30" s="303"/>
      <c r="BA30" s="303"/>
      <c r="BB30" s="314">
        <f t="shared" si="78"/>
        <v>0</v>
      </c>
      <c r="BC30" s="303"/>
      <c r="BD30" s="303"/>
      <c r="BE30" s="303"/>
      <c r="BF30" s="314">
        <f t="shared" si="79"/>
        <v>0</v>
      </c>
      <c r="BG30" s="303"/>
      <c r="BH30" s="303"/>
      <c r="BI30" s="303"/>
      <c r="BJ30" s="314">
        <f t="shared" si="80"/>
        <v>0</v>
      </c>
      <c r="BK30" s="303"/>
      <c r="BL30" s="303"/>
      <c r="BM30" s="303"/>
      <c r="BN30" s="314">
        <f t="shared" si="81"/>
        <v>0</v>
      </c>
      <c r="BO30" s="303"/>
      <c r="BP30" s="303"/>
      <c r="BQ30" s="303"/>
      <c r="BR30" s="314">
        <f t="shared" si="82"/>
        <v>0</v>
      </c>
      <c r="BS30" s="303"/>
      <c r="BT30" s="303"/>
      <c r="BU30" s="303"/>
      <c r="BV30" s="314">
        <f t="shared" si="83"/>
        <v>0</v>
      </c>
      <c r="BW30" s="303"/>
      <c r="BX30" s="303"/>
      <c r="BY30" s="303"/>
      <c r="BZ30" s="314">
        <f t="shared" si="84"/>
        <v>0</v>
      </c>
      <c r="CA30" s="303"/>
      <c r="CB30" s="303"/>
      <c r="CC30" s="303"/>
      <c r="CD30" s="314">
        <f t="shared" si="85"/>
        <v>0</v>
      </c>
      <c r="CE30" s="303"/>
      <c r="CF30" s="303"/>
      <c r="CG30" s="303"/>
      <c r="CH30" s="314">
        <f t="shared" si="86"/>
        <v>0</v>
      </c>
      <c r="CI30" s="303"/>
      <c r="CJ30" s="303"/>
      <c r="CK30" s="303"/>
      <c r="CL30" s="314">
        <f t="shared" si="87"/>
        <v>0</v>
      </c>
      <c r="CM30" s="303"/>
      <c r="CN30" s="303"/>
      <c r="CO30" s="303"/>
      <c r="CP30" s="314">
        <f t="shared" si="88"/>
        <v>0</v>
      </c>
      <c r="CQ30" s="303"/>
      <c r="CR30" s="303"/>
      <c r="CS30" s="303"/>
      <c r="CT30" s="314">
        <f t="shared" si="89"/>
        <v>0</v>
      </c>
      <c r="CU30" s="303"/>
      <c r="CV30" s="303"/>
      <c r="CW30" s="303"/>
      <c r="CX30" s="314">
        <f t="shared" si="90"/>
        <v>0</v>
      </c>
      <c r="CY30" s="303"/>
      <c r="CZ30" s="303"/>
      <c r="DA30" s="303"/>
      <c r="DB30" s="314">
        <f t="shared" si="91"/>
        <v>0</v>
      </c>
      <c r="DC30" s="303"/>
      <c r="DD30" s="303"/>
      <c r="DE30" s="303"/>
      <c r="DF30" s="314">
        <f t="shared" si="92"/>
        <v>0</v>
      </c>
      <c r="DG30" s="303"/>
      <c r="DH30" s="303"/>
      <c r="DI30" s="303"/>
      <c r="DJ30" s="314">
        <f t="shared" si="93"/>
        <v>0</v>
      </c>
      <c r="DK30" s="303"/>
      <c r="DL30" s="303"/>
      <c r="DM30" s="303"/>
      <c r="DN30" s="314">
        <f t="shared" si="94"/>
        <v>0</v>
      </c>
      <c r="DO30" s="303"/>
      <c r="DP30" s="303"/>
      <c r="DQ30" s="303"/>
      <c r="DR30" s="314">
        <f t="shared" si="95"/>
        <v>0</v>
      </c>
      <c r="DS30" s="303"/>
      <c r="DT30" s="303"/>
      <c r="DU30" s="303"/>
      <c r="DV30" s="314">
        <f t="shared" si="96"/>
        <v>0</v>
      </c>
      <c r="DW30" s="303"/>
      <c r="DX30" s="303"/>
      <c r="DY30" s="303"/>
      <c r="DZ30" s="314">
        <f t="shared" si="97"/>
        <v>0</v>
      </c>
      <c r="EA30" s="303"/>
      <c r="EB30" s="303"/>
      <c r="EC30" s="303"/>
      <c r="ED30" s="314">
        <f t="shared" si="98"/>
        <v>0</v>
      </c>
      <c r="EE30" s="303"/>
      <c r="EF30" s="303"/>
      <c r="EG30" s="303"/>
      <c r="EH30" s="314">
        <f t="shared" si="99"/>
        <v>0</v>
      </c>
      <c r="EI30" s="303"/>
      <c r="EJ30" s="303"/>
      <c r="EK30" s="303"/>
      <c r="EL30" s="314">
        <f t="shared" si="100"/>
        <v>0</v>
      </c>
      <c r="EM30" s="303"/>
      <c r="EN30" s="303"/>
      <c r="EO30" s="303"/>
      <c r="EP30" s="314">
        <f t="shared" si="101"/>
        <v>0</v>
      </c>
      <c r="EQ30" s="303"/>
      <c r="ER30" s="303"/>
      <c r="ES30" s="303"/>
      <c r="ET30" s="314">
        <f t="shared" si="102"/>
        <v>0</v>
      </c>
      <c r="EU30" s="303"/>
      <c r="EV30" s="303"/>
      <c r="EW30" s="303"/>
      <c r="EX30" s="314">
        <f t="shared" si="103"/>
        <v>0</v>
      </c>
      <c r="EY30" s="303"/>
      <c r="EZ30" s="303"/>
      <c r="FA30" s="303"/>
      <c r="FB30" s="314">
        <f t="shared" si="104"/>
        <v>0</v>
      </c>
      <c r="FC30" s="303"/>
      <c r="FD30" s="303"/>
      <c r="FE30" s="303"/>
      <c r="FF30" s="314">
        <f t="shared" si="105"/>
        <v>0</v>
      </c>
      <c r="FG30" s="303"/>
      <c r="FH30" s="303"/>
      <c r="FI30" s="303"/>
      <c r="FJ30" s="314">
        <f t="shared" si="106"/>
        <v>0</v>
      </c>
      <c r="FK30" s="303"/>
      <c r="FL30" s="303"/>
      <c r="FM30" s="303"/>
      <c r="FN30" s="314">
        <f t="shared" si="107"/>
        <v>0</v>
      </c>
      <c r="FO30" s="303"/>
      <c r="FP30" s="303"/>
      <c r="FQ30" s="303"/>
      <c r="FR30" s="314">
        <f t="shared" si="108"/>
        <v>0</v>
      </c>
      <c r="FS30" s="303"/>
      <c r="FT30" s="303"/>
      <c r="FU30" s="303"/>
      <c r="FV30" s="314">
        <f t="shared" si="109"/>
        <v>0</v>
      </c>
      <c r="FW30" s="303"/>
      <c r="FX30" s="303"/>
      <c r="FY30" s="303"/>
      <c r="FZ30" s="314">
        <f t="shared" si="110"/>
        <v>0</v>
      </c>
      <c r="GA30" s="303"/>
      <c r="GB30" s="303"/>
      <c r="GC30" s="303"/>
      <c r="GD30" s="314">
        <f t="shared" si="111"/>
        <v>0</v>
      </c>
      <c r="GE30" s="303"/>
      <c r="GF30" s="303"/>
      <c r="GG30" s="303"/>
      <c r="GH30" s="314">
        <f t="shared" si="112"/>
        <v>0</v>
      </c>
      <c r="GI30" s="303"/>
      <c r="GJ30" s="303"/>
      <c r="GK30" s="303"/>
      <c r="GL30" s="314">
        <f t="shared" si="113"/>
        <v>0</v>
      </c>
      <c r="GM30" s="303"/>
      <c r="GN30" s="303"/>
      <c r="GO30" s="303"/>
      <c r="GP30" s="314">
        <f t="shared" si="114"/>
        <v>0</v>
      </c>
      <c r="GQ30" s="303"/>
      <c r="GR30" s="303"/>
      <c r="GS30" s="303"/>
      <c r="GT30" s="314">
        <f t="shared" si="115"/>
        <v>0</v>
      </c>
      <c r="GU30" s="303"/>
      <c r="GV30" s="303"/>
      <c r="GW30" s="303"/>
      <c r="GX30" s="314">
        <f t="shared" si="116"/>
        <v>0</v>
      </c>
      <c r="GY30" s="303"/>
      <c r="GZ30" s="303"/>
      <c r="HA30" s="303"/>
      <c r="HB30" s="314">
        <f t="shared" si="117"/>
        <v>0</v>
      </c>
      <c r="HC30" s="303"/>
      <c r="HD30" s="303"/>
      <c r="HE30" s="303"/>
      <c r="HF30" s="314">
        <f t="shared" si="118"/>
        <v>0</v>
      </c>
      <c r="HG30" s="303"/>
      <c r="HH30" s="303"/>
      <c r="HI30" s="303"/>
      <c r="HJ30" s="314">
        <f t="shared" si="119"/>
        <v>0</v>
      </c>
      <c r="HK30" s="303"/>
      <c r="HL30" s="303"/>
      <c r="HM30" s="303"/>
      <c r="HN30" s="314">
        <f t="shared" si="120"/>
        <v>0</v>
      </c>
      <c r="HO30" s="303"/>
      <c r="HP30" s="303"/>
      <c r="HQ30" s="303"/>
      <c r="HR30" s="314">
        <f t="shared" si="121"/>
        <v>0</v>
      </c>
      <c r="HS30" s="303"/>
      <c r="HT30" s="303"/>
      <c r="HU30" s="303"/>
      <c r="HV30" s="314">
        <f t="shared" si="122"/>
        <v>0</v>
      </c>
      <c r="HW30" s="303"/>
      <c r="HX30" s="303"/>
      <c r="HY30" s="303"/>
      <c r="HZ30" s="314">
        <f t="shared" si="123"/>
        <v>0</v>
      </c>
      <c r="IA30" s="303"/>
      <c r="IB30" s="303"/>
      <c r="IC30" s="303"/>
      <c r="ID30" s="314">
        <f t="shared" si="124"/>
        <v>0</v>
      </c>
      <c r="IE30" s="303"/>
      <c r="IF30" s="303"/>
      <c r="IG30" s="303"/>
      <c r="IH30" s="314">
        <f t="shared" si="125"/>
        <v>0</v>
      </c>
      <c r="II30" s="303"/>
      <c r="IJ30" s="303"/>
      <c r="IK30" s="303"/>
      <c r="IL30" s="314">
        <f t="shared" si="126"/>
        <v>0</v>
      </c>
      <c r="IM30" s="303"/>
      <c r="IN30" s="303"/>
      <c r="IO30" s="303"/>
      <c r="IP30" s="314">
        <f t="shared" si="127"/>
        <v>0</v>
      </c>
      <c r="IQ30" s="277">
        <f t="shared" si="128"/>
        <v>0</v>
      </c>
      <c r="IR30" s="277">
        <f t="shared" si="129"/>
        <v>0</v>
      </c>
      <c r="IS30" s="277">
        <f t="shared" si="130"/>
        <v>0</v>
      </c>
      <c r="IT30" s="277">
        <f t="shared" si="131"/>
        <v>0</v>
      </c>
    </row>
    <row r="31" spans="1:254" ht="21.95" customHeight="1">
      <c r="A31" s="301">
        <v>345000</v>
      </c>
      <c r="B31" s="263" t="s">
        <v>189</v>
      </c>
      <c r="C31" s="269"/>
      <c r="D31" s="269"/>
      <c r="E31" s="269"/>
      <c r="F31" s="314">
        <f t="shared" si="66"/>
        <v>0</v>
      </c>
      <c r="G31" s="269"/>
      <c r="H31" s="269"/>
      <c r="I31" s="269"/>
      <c r="J31" s="314">
        <f t="shared" si="67"/>
        <v>0</v>
      </c>
      <c r="K31" s="269"/>
      <c r="L31" s="269"/>
      <c r="M31" s="269"/>
      <c r="N31" s="314">
        <f t="shared" si="68"/>
        <v>0</v>
      </c>
      <c r="O31" s="269"/>
      <c r="P31" s="269"/>
      <c r="Q31" s="269"/>
      <c r="R31" s="314">
        <f t="shared" si="69"/>
        <v>0</v>
      </c>
      <c r="S31" s="269"/>
      <c r="T31" s="269"/>
      <c r="U31" s="269"/>
      <c r="V31" s="314">
        <f t="shared" si="70"/>
        <v>0</v>
      </c>
      <c r="W31" s="269"/>
      <c r="X31" s="269"/>
      <c r="Y31" s="269"/>
      <c r="Z31" s="314">
        <f t="shared" si="71"/>
        <v>0</v>
      </c>
      <c r="AA31" s="269"/>
      <c r="AB31" s="269"/>
      <c r="AC31" s="269"/>
      <c r="AD31" s="314">
        <f t="shared" si="72"/>
        <v>0</v>
      </c>
      <c r="AE31" s="269"/>
      <c r="AF31" s="269"/>
      <c r="AG31" s="269"/>
      <c r="AH31" s="314">
        <f t="shared" si="73"/>
        <v>0</v>
      </c>
      <c r="AI31" s="269"/>
      <c r="AJ31" s="269"/>
      <c r="AK31" s="269"/>
      <c r="AL31" s="314">
        <f t="shared" si="74"/>
        <v>0</v>
      </c>
      <c r="AM31" s="269"/>
      <c r="AN31" s="269"/>
      <c r="AO31" s="269"/>
      <c r="AP31" s="314">
        <f t="shared" si="75"/>
        <v>0</v>
      </c>
      <c r="AQ31" s="269"/>
      <c r="AR31" s="269"/>
      <c r="AS31" s="269"/>
      <c r="AT31" s="314">
        <f t="shared" si="76"/>
        <v>0</v>
      </c>
      <c r="AU31" s="269"/>
      <c r="AV31" s="269"/>
      <c r="AW31" s="269"/>
      <c r="AX31" s="314">
        <f t="shared" si="77"/>
        <v>0</v>
      </c>
      <c r="AY31" s="269"/>
      <c r="AZ31" s="269"/>
      <c r="BA31" s="269"/>
      <c r="BB31" s="314">
        <f t="shared" si="78"/>
        <v>0</v>
      </c>
      <c r="BC31" s="269"/>
      <c r="BD31" s="269"/>
      <c r="BE31" s="269"/>
      <c r="BF31" s="314">
        <f t="shared" si="79"/>
        <v>0</v>
      </c>
      <c r="BG31" s="269"/>
      <c r="BH31" s="269"/>
      <c r="BI31" s="269"/>
      <c r="BJ31" s="314">
        <f t="shared" si="80"/>
        <v>0</v>
      </c>
      <c r="BK31" s="269"/>
      <c r="BL31" s="269"/>
      <c r="BM31" s="269"/>
      <c r="BN31" s="314">
        <f t="shared" si="81"/>
        <v>0</v>
      </c>
      <c r="BO31" s="269"/>
      <c r="BP31" s="269"/>
      <c r="BQ31" s="269"/>
      <c r="BR31" s="314">
        <f t="shared" si="82"/>
        <v>0</v>
      </c>
      <c r="BS31" s="269"/>
      <c r="BT31" s="269"/>
      <c r="BU31" s="269"/>
      <c r="BV31" s="314">
        <f t="shared" si="83"/>
        <v>0</v>
      </c>
      <c r="BW31" s="269"/>
      <c r="BX31" s="269"/>
      <c r="BY31" s="269"/>
      <c r="BZ31" s="314">
        <f t="shared" si="84"/>
        <v>0</v>
      </c>
      <c r="CA31" s="269"/>
      <c r="CB31" s="269"/>
      <c r="CC31" s="269"/>
      <c r="CD31" s="314">
        <f t="shared" si="85"/>
        <v>0</v>
      </c>
      <c r="CE31" s="269"/>
      <c r="CF31" s="269"/>
      <c r="CG31" s="269"/>
      <c r="CH31" s="314">
        <f t="shared" si="86"/>
        <v>0</v>
      </c>
      <c r="CI31" s="269"/>
      <c r="CJ31" s="269"/>
      <c r="CK31" s="269"/>
      <c r="CL31" s="314">
        <f t="shared" si="87"/>
        <v>0</v>
      </c>
      <c r="CM31" s="269"/>
      <c r="CN31" s="269"/>
      <c r="CO31" s="269"/>
      <c r="CP31" s="314">
        <f t="shared" si="88"/>
        <v>0</v>
      </c>
      <c r="CQ31" s="269"/>
      <c r="CR31" s="269"/>
      <c r="CS31" s="269"/>
      <c r="CT31" s="314">
        <f t="shared" si="89"/>
        <v>0</v>
      </c>
      <c r="CU31" s="269"/>
      <c r="CV31" s="269"/>
      <c r="CW31" s="269"/>
      <c r="CX31" s="314">
        <f t="shared" si="90"/>
        <v>0</v>
      </c>
      <c r="CY31" s="269"/>
      <c r="CZ31" s="269"/>
      <c r="DA31" s="269"/>
      <c r="DB31" s="314">
        <f t="shared" si="91"/>
        <v>0</v>
      </c>
      <c r="DC31" s="269"/>
      <c r="DD31" s="269"/>
      <c r="DE31" s="269"/>
      <c r="DF31" s="314">
        <f t="shared" si="92"/>
        <v>0</v>
      </c>
      <c r="DG31" s="269"/>
      <c r="DH31" s="269"/>
      <c r="DI31" s="269"/>
      <c r="DJ31" s="314">
        <f t="shared" si="93"/>
        <v>0</v>
      </c>
      <c r="DK31" s="269"/>
      <c r="DL31" s="269"/>
      <c r="DM31" s="269"/>
      <c r="DN31" s="314">
        <f t="shared" si="94"/>
        <v>0</v>
      </c>
      <c r="DO31" s="269"/>
      <c r="DP31" s="269"/>
      <c r="DQ31" s="269"/>
      <c r="DR31" s="314">
        <f t="shared" si="95"/>
        <v>0</v>
      </c>
      <c r="DS31" s="269"/>
      <c r="DT31" s="269"/>
      <c r="DU31" s="269"/>
      <c r="DV31" s="314">
        <f t="shared" si="96"/>
        <v>0</v>
      </c>
      <c r="DW31" s="269"/>
      <c r="DX31" s="269"/>
      <c r="DY31" s="269"/>
      <c r="DZ31" s="314">
        <f t="shared" si="97"/>
        <v>0</v>
      </c>
      <c r="EA31" s="269"/>
      <c r="EB31" s="269"/>
      <c r="EC31" s="269"/>
      <c r="ED31" s="314">
        <f t="shared" si="98"/>
        <v>0</v>
      </c>
      <c r="EE31" s="269"/>
      <c r="EF31" s="269"/>
      <c r="EG31" s="269"/>
      <c r="EH31" s="314">
        <f t="shared" si="99"/>
        <v>0</v>
      </c>
      <c r="EI31" s="269"/>
      <c r="EJ31" s="269"/>
      <c r="EK31" s="269"/>
      <c r="EL31" s="314">
        <f t="shared" si="100"/>
        <v>0</v>
      </c>
      <c r="EM31" s="269"/>
      <c r="EN31" s="269"/>
      <c r="EO31" s="269"/>
      <c r="EP31" s="314">
        <f t="shared" si="101"/>
        <v>0</v>
      </c>
      <c r="EQ31" s="269"/>
      <c r="ER31" s="269"/>
      <c r="ES31" s="269"/>
      <c r="ET31" s="314">
        <f t="shared" si="102"/>
        <v>0</v>
      </c>
      <c r="EU31" s="269"/>
      <c r="EV31" s="269"/>
      <c r="EW31" s="269"/>
      <c r="EX31" s="314">
        <f t="shared" si="103"/>
        <v>0</v>
      </c>
      <c r="EY31" s="269"/>
      <c r="EZ31" s="269"/>
      <c r="FA31" s="269"/>
      <c r="FB31" s="314">
        <f t="shared" si="104"/>
        <v>0</v>
      </c>
      <c r="FC31" s="269"/>
      <c r="FD31" s="269"/>
      <c r="FE31" s="269"/>
      <c r="FF31" s="314">
        <f t="shared" si="105"/>
        <v>0</v>
      </c>
      <c r="FG31" s="269"/>
      <c r="FH31" s="269"/>
      <c r="FI31" s="269"/>
      <c r="FJ31" s="314">
        <f t="shared" si="106"/>
        <v>0</v>
      </c>
      <c r="FK31" s="269"/>
      <c r="FL31" s="269"/>
      <c r="FM31" s="269"/>
      <c r="FN31" s="314">
        <f t="shared" si="107"/>
        <v>0</v>
      </c>
      <c r="FO31" s="269"/>
      <c r="FP31" s="269"/>
      <c r="FQ31" s="269"/>
      <c r="FR31" s="314">
        <f t="shared" si="108"/>
        <v>0</v>
      </c>
      <c r="FS31" s="269"/>
      <c r="FT31" s="269"/>
      <c r="FU31" s="269"/>
      <c r="FV31" s="314">
        <f t="shared" si="109"/>
        <v>0</v>
      </c>
      <c r="FW31" s="269"/>
      <c r="FX31" s="269"/>
      <c r="FY31" s="269"/>
      <c r="FZ31" s="314">
        <f t="shared" si="110"/>
        <v>0</v>
      </c>
      <c r="GA31" s="269"/>
      <c r="GB31" s="269"/>
      <c r="GC31" s="269"/>
      <c r="GD31" s="314">
        <f t="shared" si="111"/>
        <v>0</v>
      </c>
      <c r="GE31" s="269"/>
      <c r="GF31" s="269"/>
      <c r="GG31" s="269"/>
      <c r="GH31" s="314">
        <f t="shared" si="112"/>
        <v>0</v>
      </c>
      <c r="GI31" s="269"/>
      <c r="GJ31" s="269"/>
      <c r="GK31" s="269"/>
      <c r="GL31" s="314">
        <f t="shared" si="113"/>
        <v>0</v>
      </c>
      <c r="GM31" s="269"/>
      <c r="GN31" s="269"/>
      <c r="GO31" s="269"/>
      <c r="GP31" s="314">
        <f t="shared" si="114"/>
        <v>0</v>
      </c>
      <c r="GQ31" s="269"/>
      <c r="GR31" s="269"/>
      <c r="GS31" s="269"/>
      <c r="GT31" s="314">
        <f t="shared" si="115"/>
        <v>0</v>
      </c>
      <c r="GU31" s="269"/>
      <c r="GV31" s="269"/>
      <c r="GW31" s="269"/>
      <c r="GX31" s="314">
        <f t="shared" si="116"/>
        <v>0</v>
      </c>
      <c r="GY31" s="269"/>
      <c r="GZ31" s="269"/>
      <c r="HA31" s="269"/>
      <c r="HB31" s="314">
        <f t="shared" si="117"/>
        <v>0</v>
      </c>
      <c r="HC31" s="269"/>
      <c r="HD31" s="269"/>
      <c r="HE31" s="269"/>
      <c r="HF31" s="314">
        <f t="shared" si="118"/>
        <v>0</v>
      </c>
      <c r="HG31" s="269"/>
      <c r="HH31" s="269"/>
      <c r="HI31" s="269"/>
      <c r="HJ31" s="314">
        <f t="shared" si="119"/>
        <v>0</v>
      </c>
      <c r="HK31" s="269"/>
      <c r="HL31" s="269"/>
      <c r="HM31" s="269"/>
      <c r="HN31" s="314">
        <f t="shared" si="120"/>
        <v>0</v>
      </c>
      <c r="HO31" s="269"/>
      <c r="HP31" s="269"/>
      <c r="HQ31" s="269"/>
      <c r="HR31" s="314">
        <f t="shared" si="121"/>
        <v>0</v>
      </c>
      <c r="HS31" s="269"/>
      <c r="HT31" s="269"/>
      <c r="HU31" s="269"/>
      <c r="HV31" s="314">
        <f t="shared" si="122"/>
        <v>0</v>
      </c>
      <c r="HW31" s="269"/>
      <c r="HX31" s="269"/>
      <c r="HY31" s="269"/>
      <c r="HZ31" s="314">
        <f t="shared" si="123"/>
        <v>0</v>
      </c>
      <c r="IA31" s="269"/>
      <c r="IB31" s="269"/>
      <c r="IC31" s="269"/>
      <c r="ID31" s="314">
        <f t="shared" si="124"/>
        <v>0</v>
      </c>
      <c r="IE31" s="269"/>
      <c r="IF31" s="269"/>
      <c r="IG31" s="269"/>
      <c r="IH31" s="314">
        <f t="shared" si="125"/>
        <v>0</v>
      </c>
      <c r="II31" s="269"/>
      <c r="IJ31" s="269"/>
      <c r="IK31" s="269"/>
      <c r="IL31" s="314">
        <f t="shared" si="126"/>
        <v>0</v>
      </c>
      <c r="IM31" s="269"/>
      <c r="IN31" s="269"/>
      <c r="IO31" s="269"/>
      <c r="IP31" s="314">
        <f t="shared" si="127"/>
        <v>0</v>
      </c>
      <c r="IQ31" s="277">
        <f t="shared" si="128"/>
        <v>0</v>
      </c>
      <c r="IR31" s="277">
        <f t="shared" si="129"/>
        <v>0</v>
      </c>
      <c r="IS31" s="277">
        <f t="shared" si="130"/>
        <v>0</v>
      </c>
      <c r="IT31" s="277">
        <f t="shared" si="131"/>
        <v>0</v>
      </c>
    </row>
    <row r="32" spans="1:254" ht="21.95" customHeight="1">
      <c r="A32" s="301">
        <v>346000</v>
      </c>
      <c r="B32" s="263" t="s">
        <v>223</v>
      </c>
      <c r="C32" s="269"/>
      <c r="D32" s="269"/>
      <c r="E32" s="269"/>
      <c r="F32" s="314">
        <f t="shared" si="66"/>
        <v>0</v>
      </c>
      <c r="G32" s="269"/>
      <c r="H32" s="269"/>
      <c r="I32" s="269"/>
      <c r="J32" s="314">
        <f t="shared" si="67"/>
        <v>0</v>
      </c>
      <c r="K32" s="269"/>
      <c r="L32" s="269"/>
      <c r="M32" s="269"/>
      <c r="N32" s="314">
        <f t="shared" si="68"/>
        <v>0</v>
      </c>
      <c r="O32" s="269"/>
      <c r="P32" s="269"/>
      <c r="Q32" s="269"/>
      <c r="R32" s="314">
        <f t="shared" si="69"/>
        <v>0</v>
      </c>
      <c r="S32" s="269"/>
      <c r="T32" s="269"/>
      <c r="U32" s="269"/>
      <c r="V32" s="314">
        <f t="shared" si="70"/>
        <v>0</v>
      </c>
      <c r="W32" s="269"/>
      <c r="X32" s="269"/>
      <c r="Y32" s="269"/>
      <c r="Z32" s="314">
        <f t="shared" si="71"/>
        <v>0</v>
      </c>
      <c r="AA32" s="269"/>
      <c r="AB32" s="269"/>
      <c r="AC32" s="269"/>
      <c r="AD32" s="314">
        <f t="shared" si="72"/>
        <v>0</v>
      </c>
      <c r="AE32" s="269"/>
      <c r="AF32" s="269"/>
      <c r="AG32" s="269"/>
      <c r="AH32" s="314">
        <f t="shared" si="73"/>
        <v>0</v>
      </c>
      <c r="AI32" s="269"/>
      <c r="AJ32" s="269"/>
      <c r="AK32" s="269"/>
      <c r="AL32" s="314">
        <f t="shared" si="74"/>
        <v>0</v>
      </c>
      <c r="AM32" s="269"/>
      <c r="AN32" s="269"/>
      <c r="AO32" s="269"/>
      <c r="AP32" s="314">
        <f t="shared" si="75"/>
        <v>0</v>
      </c>
      <c r="AQ32" s="269"/>
      <c r="AR32" s="269"/>
      <c r="AS32" s="269"/>
      <c r="AT32" s="314">
        <f t="shared" si="76"/>
        <v>0</v>
      </c>
      <c r="AU32" s="269"/>
      <c r="AV32" s="269"/>
      <c r="AW32" s="269"/>
      <c r="AX32" s="314">
        <f t="shared" si="77"/>
        <v>0</v>
      </c>
      <c r="AY32" s="269"/>
      <c r="AZ32" s="269"/>
      <c r="BA32" s="269"/>
      <c r="BB32" s="314">
        <f t="shared" si="78"/>
        <v>0</v>
      </c>
      <c r="BC32" s="269"/>
      <c r="BD32" s="269"/>
      <c r="BE32" s="269"/>
      <c r="BF32" s="314">
        <f t="shared" si="79"/>
        <v>0</v>
      </c>
      <c r="BG32" s="269"/>
      <c r="BH32" s="269"/>
      <c r="BI32" s="269"/>
      <c r="BJ32" s="314">
        <f t="shared" si="80"/>
        <v>0</v>
      </c>
      <c r="BK32" s="269"/>
      <c r="BL32" s="269"/>
      <c r="BM32" s="269"/>
      <c r="BN32" s="314">
        <f t="shared" si="81"/>
        <v>0</v>
      </c>
      <c r="BO32" s="269"/>
      <c r="BP32" s="269"/>
      <c r="BQ32" s="269"/>
      <c r="BR32" s="314">
        <f t="shared" si="82"/>
        <v>0</v>
      </c>
      <c r="BS32" s="269"/>
      <c r="BT32" s="269"/>
      <c r="BU32" s="269"/>
      <c r="BV32" s="314">
        <f t="shared" si="83"/>
        <v>0</v>
      </c>
      <c r="BW32" s="269"/>
      <c r="BX32" s="269"/>
      <c r="BY32" s="269"/>
      <c r="BZ32" s="314">
        <f t="shared" si="84"/>
        <v>0</v>
      </c>
      <c r="CA32" s="269"/>
      <c r="CB32" s="269"/>
      <c r="CC32" s="269"/>
      <c r="CD32" s="314">
        <f t="shared" si="85"/>
        <v>0</v>
      </c>
      <c r="CE32" s="269"/>
      <c r="CF32" s="269"/>
      <c r="CG32" s="269"/>
      <c r="CH32" s="314">
        <f t="shared" si="86"/>
        <v>0</v>
      </c>
      <c r="CI32" s="269"/>
      <c r="CJ32" s="269"/>
      <c r="CK32" s="269"/>
      <c r="CL32" s="314">
        <f t="shared" si="87"/>
        <v>0</v>
      </c>
      <c r="CM32" s="269"/>
      <c r="CN32" s="269"/>
      <c r="CO32" s="269"/>
      <c r="CP32" s="314">
        <f t="shared" si="88"/>
        <v>0</v>
      </c>
      <c r="CQ32" s="269"/>
      <c r="CR32" s="269"/>
      <c r="CS32" s="269"/>
      <c r="CT32" s="314">
        <f t="shared" si="89"/>
        <v>0</v>
      </c>
      <c r="CU32" s="269"/>
      <c r="CV32" s="269"/>
      <c r="CW32" s="269"/>
      <c r="CX32" s="314">
        <f t="shared" si="90"/>
        <v>0</v>
      </c>
      <c r="CY32" s="269"/>
      <c r="CZ32" s="269"/>
      <c r="DA32" s="269"/>
      <c r="DB32" s="314">
        <f t="shared" si="91"/>
        <v>0</v>
      </c>
      <c r="DC32" s="269"/>
      <c r="DD32" s="269"/>
      <c r="DE32" s="269"/>
      <c r="DF32" s="314">
        <f t="shared" si="92"/>
        <v>0</v>
      </c>
      <c r="DG32" s="269"/>
      <c r="DH32" s="269"/>
      <c r="DI32" s="269"/>
      <c r="DJ32" s="314">
        <f t="shared" si="93"/>
        <v>0</v>
      </c>
      <c r="DK32" s="269"/>
      <c r="DL32" s="269"/>
      <c r="DM32" s="269"/>
      <c r="DN32" s="314">
        <f t="shared" si="94"/>
        <v>0</v>
      </c>
      <c r="DO32" s="269"/>
      <c r="DP32" s="269"/>
      <c r="DQ32" s="269"/>
      <c r="DR32" s="314">
        <f t="shared" si="95"/>
        <v>0</v>
      </c>
      <c r="DS32" s="269"/>
      <c r="DT32" s="269"/>
      <c r="DU32" s="269"/>
      <c r="DV32" s="314">
        <f t="shared" si="96"/>
        <v>0</v>
      </c>
      <c r="DW32" s="269"/>
      <c r="DX32" s="269"/>
      <c r="DY32" s="269"/>
      <c r="DZ32" s="314">
        <f t="shared" si="97"/>
        <v>0</v>
      </c>
      <c r="EA32" s="269"/>
      <c r="EB32" s="269"/>
      <c r="EC32" s="269"/>
      <c r="ED32" s="314">
        <f t="shared" si="98"/>
        <v>0</v>
      </c>
      <c r="EE32" s="269"/>
      <c r="EF32" s="269"/>
      <c r="EG32" s="269"/>
      <c r="EH32" s="314">
        <f t="shared" si="99"/>
        <v>0</v>
      </c>
      <c r="EI32" s="269"/>
      <c r="EJ32" s="269"/>
      <c r="EK32" s="269"/>
      <c r="EL32" s="314">
        <f t="shared" si="100"/>
        <v>0</v>
      </c>
      <c r="EM32" s="269"/>
      <c r="EN32" s="269"/>
      <c r="EO32" s="269"/>
      <c r="EP32" s="314">
        <f t="shared" si="101"/>
        <v>0</v>
      </c>
      <c r="EQ32" s="269"/>
      <c r="ER32" s="269"/>
      <c r="ES32" s="269"/>
      <c r="ET32" s="314">
        <f t="shared" si="102"/>
        <v>0</v>
      </c>
      <c r="EU32" s="269"/>
      <c r="EV32" s="269"/>
      <c r="EW32" s="269"/>
      <c r="EX32" s="314">
        <f t="shared" si="103"/>
        <v>0</v>
      </c>
      <c r="EY32" s="269"/>
      <c r="EZ32" s="269"/>
      <c r="FA32" s="269"/>
      <c r="FB32" s="314">
        <f t="shared" si="104"/>
        <v>0</v>
      </c>
      <c r="FC32" s="269"/>
      <c r="FD32" s="269"/>
      <c r="FE32" s="269"/>
      <c r="FF32" s="314">
        <f t="shared" si="105"/>
        <v>0</v>
      </c>
      <c r="FG32" s="269"/>
      <c r="FH32" s="269"/>
      <c r="FI32" s="269"/>
      <c r="FJ32" s="314">
        <f t="shared" si="106"/>
        <v>0</v>
      </c>
      <c r="FK32" s="269"/>
      <c r="FL32" s="269"/>
      <c r="FM32" s="269"/>
      <c r="FN32" s="314">
        <f t="shared" si="107"/>
        <v>0</v>
      </c>
      <c r="FO32" s="269"/>
      <c r="FP32" s="269"/>
      <c r="FQ32" s="269"/>
      <c r="FR32" s="314">
        <f t="shared" si="108"/>
        <v>0</v>
      </c>
      <c r="FS32" s="269"/>
      <c r="FT32" s="269"/>
      <c r="FU32" s="269"/>
      <c r="FV32" s="314">
        <f t="shared" si="109"/>
        <v>0</v>
      </c>
      <c r="FW32" s="269"/>
      <c r="FX32" s="269"/>
      <c r="FY32" s="269"/>
      <c r="FZ32" s="314">
        <f t="shared" si="110"/>
        <v>0</v>
      </c>
      <c r="GA32" s="269"/>
      <c r="GB32" s="269"/>
      <c r="GC32" s="269"/>
      <c r="GD32" s="314">
        <f t="shared" si="111"/>
        <v>0</v>
      </c>
      <c r="GE32" s="269"/>
      <c r="GF32" s="269"/>
      <c r="GG32" s="269"/>
      <c r="GH32" s="314">
        <f t="shared" si="112"/>
        <v>0</v>
      </c>
      <c r="GI32" s="269"/>
      <c r="GJ32" s="269"/>
      <c r="GK32" s="269"/>
      <c r="GL32" s="314">
        <f t="shared" si="113"/>
        <v>0</v>
      </c>
      <c r="GM32" s="269"/>
      <c r="GN32" s="269"/>
      <c r="GO32" s="269"/>
      <c r="GP32" s="314">
        <f t="shared" si="114"/>
        <v>0</v>
      </c>
      <c r="GQ32" s="269"/>
      <c r="GR32" s="269"/>
      <c r="GS32" s="269"/>
      <c r="GT32" s="314">
        <f t="shared" si="115"/>
        <v>0</v>
      </c>
      <c r="GU32" s="269"/>
      <c r="GV32" s="269"/>
      <c r="GW32" s="269"/>
      <c r="GX32" s="314">
        <f t="shared" si="116"/>
        <v>0</v>
      </c>
      <c r="GY32" s="269"/>
      <c r="GZ32" s="269"/>
      <c r="HA32" s="269"/>
      <c r="HB32" s="314">
        <f t="shared" si="117"/>
        <v>0</v>
      </c>
      <c r="HC32" s="269"/>
      <c r="HD32" s="269"/>
      <c r="HE32" s="269"/>
      <c r="HF32" s="314">
        <f t="shared" si="118"/>
        <v>0</v>
      </c>
      <c r="HG32" s="269"/>
      <c r="HH32" s="269"/>
      <c r="HI32" s="269"/>
      <c r="HJ32" s="314">
        <f t="shared" si="119"/>
        <v>0</v>
      </c>
      <c r="HK32" s="269"/>
      <c r="HL32" s="269"/>
      <c r="HM32" s="269"/>
      <c r="HN32" s="314">
        <f t="shared" si="120"/>
        <v>0</v>
      </c>
      <c r="HO32" s="269"/>
      <c r="HP32" s="269"/>
      <c r="HQ32" s="269"/>
      <c r="HR32" s="314">
        <f t="shared" si="121"/>
        <v>0</v>
      </c>
      <c r="HS32" s="269"/>
      <c r="HT32" s="269"/>
      <c r="HU32" s="269"/>
      <c r="HV32" s="314">
        <f t="shared" si="122"/>
        <v>0</v>
      </c>
      <c r="HW32" s="269"/>
      <c r="HX32" s="269"/>
      <c r="HY32" s="269"/>
      <c r="HZ32" s="314">
        <f t="shared" si="123"/>
        <v>0</v>
      </c>
      <c r="IA32" s="269"/>
      <c r="IB32" s="269"/>
      <c r="IC32" s="269"/>
      <c r="ID32" s="314">
        <f t="shared" si="124"/>
        <v>0</v>
      </c>
      <c r="IE32" s="269"/>
      <c r="IF32" s="269"/>
      <c r="IG32" s="269"/>
      <c r="IH32" s="314">
        <f t="shared" si="125"/>
        <v>0</v>
      </c>
      <c r="II32" s="269"/>
      <c r="IJ32" s="269"/>
      <c r="IK32" s="269"/>
      <c r="IL32" s="314">
        <f t="shared" si="126"/>
        <v>0</v>
      </c>
      <c r="IM32" s="269"/>
      <c r="IN32" s="269"/>
      <c r="IO32" s="269"/>
      <c r="IP32" s="314">
        <f t="shared" si="127"/>
        <v>0</v>
      </c>
      <c r="IQ32" s="277">
        <f t="shared" si="128"/>
        <v>0</v>
      </c>
      <c r="IR32" s="277">
        <f t="shared" si="129"/>
        <v>0</v>
      </c>
      <c r="IS32" s="277">
        <f t="shared" si="130"/>
        <v>0</v>
      </c>
      <c r="IT32" s="277">
        <f t="shared" si="131"/>
        <v>0</v>
      </c>
    </row>
    <row r="33" spans="1:254" ht="21.95" customHeight="1">
      <c r="A33" s="429"/>
      <c r="B33" s="431" t="s">
        <v>213</v>
      </c>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77"/>
      <c r="BX33" s="277"/>
      <c r="BY33" s="277"/>
      <c r="BZ33" s="277"/>
      <c r="CA33" s="277"/>
      <c r="CB33" s="277"/>
      <c r="CC33" s="277"/>
      <c r="CD33" s="277"/>
      <c r="CE33" s="277"/>
      <c r="CF33" s="277"/>
      <c r="CG33" s="277"/>
      <c r="CH33" s="277"/>
      <c r="CI33" s="277"/>
      <c r="CJ33" s="277"/>
      <c r="CK33" s="277"/>
      <c r="CL33" s="277"/>
      <c r="CM33" s="277"/>
      <c r="CN33" s="277"/>
      <c r="CO33" s="277"/>
      <c r="CP33" s="277"/>
      <c r="CQ33" s="277"/>
      <c r="CR33" s="277"/>
      <c r="CS33" s="277"/>
      <c r="CT33" s="277"/>
      <c r="CU33" s="277"/>
      <c r="CV33" s="277"/>
      <c r="CW33" s="277"/>
      <c r="CX33" s="277"/>
      <c r="CY33" s="277"/>
      <c r="CZ33" s="277"/>
      <c r="DA33" s="277"/>
      <c r="DB33" s="277"/>
      <c r="DC33" s="277"/>
      <c r="DD33" s="277"/>
      <c r="DE33" s="277"/>
      <c r="DF33" s="277"/>
      <c r="DG33" s="277"/>
      <c r="DH33" s="277"/>
      <c r="DI33" s="277"/>
      <c r="DJ33" s="277"/>
      <c r="DK33" s="277"/>
      <c r="DL33" s="277"/>
      <c r="DM33" s="277"/>
      <c r="DN33" s="277"/>
      <c r="DO33" s="277"/>
      <c r="DP33" s="277"/>
      <c r="DQ33" s="277"/>
      <c r="DR33" s="277"/>
      <c r="DS33" s="277"/>
      <c r="DT33" s="277"/>
      <c r="DU33" s="277"/>
      <c r="DV33" s="277"/>
      <c r="DW33" s="277"/>
      <c r="DX33" s="277"/>
      <c r="DY33" s="277"/>
      <c r="DZ33" s="277"/>
      <c r="EA33" s="277"/>
      <c r="EB33" s="277"/>
      <c r="EC33" s="277"/>
      <c r="ED33" s="277"/>
      <c r="EE33" s="277"/>
      <c r="EF33" s="277"/>
      <c r="EG33" s="277"/>
      <c r="EH33" s="277"/>
      <c r="EI33" s="277"/>
      <c r="EJ33" s="277"/>
      <c r="EK33" s="277"/>
      <c r="EL33" s="277"/>
      <c r="EM33" s="277"/>
      <c r="EN33" s="277"/>
      <c r="EO33" s="277"/>
      <c r="EP33" s="277"/>
      <c r="EQ33" s="277"/>
      <c r="ER33" s="277"/>
      <c r="ES33" s="277"/>
      <c r="ET33" s="277"/>
      <c r="EU33" s="277"/>
      <c r="EV33" s="277"/>
      <c r="EW33" s="277"/>
      <c r="EX33" s="277"/>
      <c r="EY33" s="277"/>
      <c r="EZ33" s="277"/>
      <c r="FA33" s="277"/>
      <c r="FB33" s="277"/>
      <c r="FC33" s="277"/>
      <c r="FD33" s="277"/>
      <c r="FE33" s="277"/>
      <c r="FF33" s="277"/>
      <c r="FG33" s="277"/>
      <c r="FH33" s="277"/>
      <c r="FI33" s="277"/>
      <c r="FJ33" s="277"/>
      <c r="FK33" s="277"/>
      <c r="FL33" s="277"/>
      <c r="FM33" s="277"/>
      <c r="FN33" s="277"/>
      <c r="FO33" s="277"/>
      <c r="FP33" s="277"/>
      <c r="FQ33" s="277"/>
      <c r="FR33" s="277"/>
      <c r="FS33" s="277"/>
      <c r="FT33" s="277"/>
      <c r="FU33" s="277"/>
      <c r="FV33" s="277"/>
      <c r="FW33" s="277"/>
      <c r="FX33" s="277"/>
      <c r="FY33" s="277"/>
      <c r="FZ33" s="277"/>
      <c r="GA33" s="277"/>
      <c r="GB33" s="277"/>
      <c r="GC33" s="277"/>
      <c r="GD33" s="277"/>
      <c r="GE33" s="277"/>
      <c r="GF33" s="277"/>
      <c r="GG33" s="277"/>
      <c r="GH33" s="277"/>
      <c r="GI33" s="277"/>
      <c r="GJ33" s="277"/>
      <c r="GK33" s="277"/>
      <c r="GL33" s="277"/>
      <c r="GM33" s="277"/>
      <c r="GN33" s="277"/>
      <c r="GO33" s="277"/>
      <c r="GP33" s="277"/>
      <c r="GQ33" s="277"/>
      <c r="GR33" s="277"/>
      <c r="GS33" s="277"/>
      <c r="GT33" s="277"/>
      <c r="GU33" s="277"/>
      <c r="GV33" s="277"/>
      <c r="GW33" s="277"/>
      <c r="GX33" s="277"/>
      <c r="GY33" s="277"/>
      <c r="GZ33" s="277"/>
      <c r="HA33" s="277"/>
      <c r="HB33" s="277"/>
      <c r="HC33" s="277"/>
      <c r="HD33" s="277"/>
      <c r="HE33" s="277"/>
      <c r="HF33" s="277"/>
      <c r="HG33" s="277"/>
      <c r="HH33" s="277"/>
      <c r="HI33" s="277"/>
      <c r="HJ33" s="277"/>
      <c r="HK33" s="277"/>
      <c r="HL33" s="277"/>
      <c r="HM33" s="277"/>
      <c r="HN33" s="277"/>
      <c r="HO33" s="277"/>
      <c r="HP33" s="277"/>
      <c r="HQ33" s="277"/>
      <c r="HR33" s="277"/>
      <c r="HS33" s="277"/>
      <c r="HT33" s="277"/>
      <c r="HU33" s="277"/>
      <c r="HV33" s="277"/>
      <c r="HW33" s="277"/>
      <c r="HX33" s="277"/>
      <c r="HY33" s="277"/>
      <c r="HZ33" s="277"/>
      <c r="IA33" s="277"/>
      <c r="IB33" s="277"/>
      <c r="IC33" s="277"/>
      <c r="ID33" s="277"/>
      <c r="IE33" s="277"/>
      <c r="IF33" s="277"/>
      <c r="IG33" s="277"/>
      <c r="IH33" s="277"/>
      <c r="II33" s="277"/>
      <c r="IJ33" s="277"/>
      <c r="IK33" s="277"/>
      <c r="IL33" s="277"/>
      <c r="IM33" s="277"/>
      <c r="IN33" s="277"/>
      <c r="IO33" s="277"/>
      <c r="IP33" s="277"/>
      <c r="IQ33" s="277"/>
      <c r="IR33" s="277"/>
      <c r="IS33" s="277"/>
      <c r="IT33" s="277"/>
    </row>
    <row r="34" spans="1:254" ht="21.95" customHeight="1">
      <c r="A34" s="301">
        <v>351010</v>
      </c>
      <c r="B34" s="263" t="s">
        <v>320</v>
      </c>
      <c r="C34" s="269"/>
      <c r="D34" s="269"/>
      <c r="E34" s="269"/>
      <c r="F34" s="314">
        <f>-D34+E34</f>
        <v>0</v>
      </c>
      <c r="G34" s="269"/>
      <c r="H34" s="269"/>
      <c r="I34" s="269"/>
      <c r="J34" s="314">
        <f>-H34+I34</f>
        <v>0</v>
      </c>
      <c r="K34" s="269"/>
      <c r="L34" s="269"/>
      <c r="M34" s="269"/>
      <c r="N34" s="314">
        <f>-L34+M34</f>
        <v>0</v>
      </c>
      <c r="O34" s="269"/>
      <c r="P34" s="269"/>
      <c r="Q34" s="269"/>
      <c r="R34" s="314">
        <f>-P34+Q34</f>
        <v>0</v>
      </c>
      <c r="S34" s="269"/>
      <c r="T34" s="269"/>
      <c r="U34" s="269"/>
      <c r="V34" s="314">
        <f>-T34+U34</f>
        <v>0</v>
      </c>
      <c r="W34" s="269"/>
      <c r="X34" s="269"/>
      <c r="Y34" s="269"/>
      <c r="Z34" s="314">
        <f>-X34+Y34</f>
        <v>0</v>
      </c>
      <c r="AA34" s="269"/>
      <c r="AB34" s="269"/>
      <c r="AC34" s="269"/>
      <c r="AD34" s="314">
        <f>-AB34+AC34</f>
        <v>0</v>
      </c>
      <c r="AE34" s="269"/>
      <c r="AF34" s="269"/>
      <c r="AG34" s="269"/>
      <c r="AH34" s="314">
        <f>-AF34+AG34</f>
        <v>0</v>
      </c>
      <c r="AI34" s="269"/>
      <c r="AJ34" s="269"/>
      <c r="AK34" s="269"/>
      <c r="AL34" s="314">
        <f>-AJ34+AK34</f>
        <v>0</v>
      </c>
      <c r="AM34" s="269"/>
      <c r="AN34" s="269"/>
      <c r="AO34" s="269"/>
      <c r="AP34" s="314">
        <f>-AN34+AO34</f>
        <v>0</v>
      </c>
      <c r="AQ34" s="269"/>
      <c r="AR34" s="269"/>
      <c r="AS34" s="269"/>
      <c r="AT34" s="314">
        <f>-AR34+AS34</f>
        <v>0</v>
      </c>
      <c r="AU34" s="269"/>
      <c r="AV34" s="269"/>
      <c r="AW34" s="269"/>
      <c r="AX34" s="314">
        <f>-AV34+AW34</f>
        <v>0</v>
      </c>
      <c r="AY34" s="269"/>
      <c r="AZ34" s="269"/>
      <c r="BA34" s="269"/>
      <c r="BB34" s="314">
        <f>-AZ34+BA34</f>
        <v>0</v>
      </c>
      <c r="BC34" s="269"/>
      <c r="BD34" s="269"/>
      <c r="BE34" s="269"/>
      <c r="BF34" s="314">
        <f>-BD34+BE34</f>
        <v>0</v>
      </c>
      <c r="BG34" s="269"/>
      <c r="BH34" s="269"/>
      <c r="BI34" s="269"/>
      <c r="BJ34" s="314">
        <f>-BH34+BI34</f>
        <v>0</v>
      </c>
      <c r="BK34" s="269"/>
      <c r="BL34" s="269"/>
      <c r="BM34" s="269"/>
      <c r="BN34" s="314">
        <f>-BL34+BM34</f>
        <v>0</v>
      </c>
      <c r="BO34" s="269"/>
      <c r="BP34" s="269"/>
      <c r="BQ34" s="269"/>
      <c r="BR34" s="314">
        <f>-BP34+BQ34</f>
        <v>0</v>
      </c>
      <c r="BS34" s="269"/>
      <c r="BT34" s="269"/>
      <c r="BU34" s="269"/>
      <c r="BV34" s="314">
        <f>-BT34+BU34</f>
        <v>0</v>
      </c>
      <c r="BW34" s="269"/>
      <c r="BX34" s="269"/>
      <c r="BY34" s="269"/>
      <c r="BZ34" s="314">
        <f>-BX34+BY34</f>
        <v>0</v>
      </c>
      <c r="CA34" s="269"/>
      <c r="CB34" s="269"/>
      <c r="CC34" s="269"/>
      <c r="CD34" s="314">
        <f>-CB34+CC34</f>
        <v>0</v>
      </c>
      <c r="CE34" s="269"/>
      <c r="CF34" s="269"/>
      <c r="CG34" s="269"/>
      <c r="CH34" s="314">
        <f>-CF34+CG34</f>
        <v>0</v>
      </c>
      <c r="CI34" s="269"/>
      <c r="CJ34" s="269"/>
      <c r="CK34" s="269"/>
      <c r="CL34" s="314">
        <f>-CJ34+CK34</f>
        <v>0</v>
      </c>
      <c r="CM34" s="269"/>
      <c r="CN34" s="269"/>
      <c r="CO34" s="269"/>
      <c r="CP34" s="314">
        <f>-CN34+CO34</f>
        <v>0</v>
      </c>
      <c r="CQ34" s="269"/>
      <c r="CR34" s="269"/>
      <c r="CS34" s="269"/>
      <c r="CT34" s="314">
        <f>-CR34+CS34</f>
        <v>0</v>
      </c>
      <c r="CU34" s="269"/>
      <c r="CV34" s="269"/>
      <c r="CW34" s="269"/>
      <c r="CX34" s="314">
        <f>-CV34+CW34</f>
        <v>0</v>
      </c>
      <c r="CY34" s="269"/>
      <c r="CZ34" s="269"/>
      <c r="DA34" s="269"/>
      <c r="DB34" s="314">
        <f>-CZ34+DA34</f>
        <v>0</v>
      </c>
      <c r="DC34" s="269"/>
      <c r="DD34" s="269"/>
      <c r="DE34" s="269"/>
      <c r="DF34" s="314">
        <f>-DD34+DE34</f>
        <v>0</v>
      </c>
      <c r="DG34" s="269"/>
      <c r="DH34" s="269"/>
      <c r="DI34" s="269"/>
      <c r="DJ34" s="314">
        <f>-DH34+DI34</f>
        <v>0</v>
      </c>
      <c r="DK34" s="269"/>
      <c r="DL34" s="269"/>
      <c r="DM34" s="269"/>
      <c r="DN34" s="314">
        <f>-DL34+DM34</f>
        <v>0</v>
      </c>
      <c r="DO34" s="269"/>
      <c r="DP34" s="269"/>
      <c r="DQ34" s="269"/>
      <c r="DR34" s="314">
        <f>-DP34+DQ34</f>
        <v>0</v>
      </c>
      <c r="DS34" s="269"/>
      <c r="DT34" s="269"/>
      <c r="DU34" s="269"/>
      <c r="DV34" s="314">
        <f>-DT34+DU34</f>
        <v>0</v>
      </c>
      <c r="DW34" s="269"/>
      <c r="DX34" s="269"/>
      <c r="DY34" s="269"/>
      <c r="DZ34" s="314">
        <f>-DX34+DY34</f>
        <v>0</v>
      </c>
      <c r="EA34" s="269"/>
      <c r="EB34" s="269"/>
      <c r="EC34" s="269"/>
      <c r="ED34" s="314">
        <f>-EB34+EC34</f>
        <v>0</v>
      </c>
      <c r="EE34" s="269"/>
      <c r="EF34" s="269"/>
      <c r="EG34" s="269"/>
      <c r="EH34" s="314">
        <f>-EF34+EG34</f>
        <v>0</v>
      </c>
      <c r="EI34" s="269"/>
      <c r="EJ34" s="269"/>
      <c r="EK34" s="269"/>
      <c r="EL34" s="314">
        <f>-EJ34+EK34</f>
        <v>0</v>
      </c>
      <c r="EM34" s="269"/>
      <c r="EN34" s="269"/>
      <c r="EO34" s="269"/>
      <c r="EP34" s="314">
        <f>-EN34+EO34</f>
        <v>0</v>
      </c>
      <c r="EQ34" s="269"/>
      <c r="ER34" s="269"/>
      <c r="ES34" s="269"/>
      <c r="ET34" s="314">
        <f>-ER34+ES34</f>
        <v>0</v>
      </c>
      <c r="EU34" s="269"/>
      <c r="EV34" s="269"/>
      <c r="EW34" s="269"/>
      <c r="EX34" s="314">
        <f>-EV34+EW34</f>
        <v>0</v>
      </c>
      <c r="EY34" s="269"/>
      <c r="EZ34" s="269"/>
      <c r="FA34" s="269"/>
      <c r="FB34" s="314">
        <f>-EZ34+FA34</f>
        <v>0</v>
      </c>
      <c r="FC34" s="269"/>
      <c r="FD34" s="269"/>
      <c r="FE34" s="269"/>
      <c r="FF34" s="314">
        <f>-FD34+FE34</f>
        <v>0</v>
      </c>
      <c r="FG34" s="269"/>
      <c r="FH34" s="269"/>
      <c r="FI34" s="269"/>
      <c r="FJ34" s="314">
        <f>-FH34+FI34</f>
        <v>0</v>
      </c>
      <c r="FK34" s="269"/>
      <c r="FL34" s="269"/>
      <c r="FM34" s="269"/>
      <c r="FN34" s="314">
        <f>-FL34+FM34</f>
        <v>0</v>
      </c>
      <c r="FO34" s="269"/>
      <c r="FP34" s="269"/>
      <c r="FQ34" s="269"/>
      <c r="FR34" s="314">
        <f>-FP34+FQ34</f>
        <v>0</v>
      </c>
      <c r="FS34" s="269"/>
      <c r="FT34" s="269"/>
      <c r="FU34" s="269"/>
      <c r="FV34" s="314">
        <f>-FT34+FU34</f>
        <v>0</v>
      </c>
      <c r="FW34" s="269"/>
      <c r="FX34" s="269"/>
      <c r="FY34" s="269"/>
      <c r="FZ34" s="314">
        <f>-FX34+FY34</f>
        <v>0</v>
      </c>
      <c r="GA34" s="269"/>
      <c r="GB34" s="269"/>
      <c r="GC34" s="269"/>
      <c r="GD34" s="314">
        <f>-GB34+GC34</f>
        <v>0</v>
      </c>
      <c r="GE34" s="269"/>
      <c r="GF34" s="269"/>
      <c r="GG34" s="269"/>
      <c r="GH34" s="314">
        <f>-GF34+GG34</f>
        <v>0</v>
      </c>
      <c r="GI34" s="269"/>
      <c r="GJ34" s="269"/>
      <c r="GK34" s="269"/>
      <c r="GL34" s="314">
        <f>-GJ34+GK34</f>
        <v>0</v>
      </c>
      <c r="GM34" s="269"/>
      <c r="GN34" s="269"/>
      <c r="GO34" s="269"/>
      <c r="GP34" s="314">
        <f>-GN34+GO34</f>
        <v>0</v>
      </c>
      <c r="GQ34" s="269"/>
      <c r="GR34" s="269"/>
      <c r="GS34" s="269"/>
      <c r="GT34" s="314">
        <f>-GR34+GS34</f>
        <v>0</v>
      </c>
      <c r="GU34" s="269"/>
      <c r="GV34" s="269"/>
      <c r="GW34" s="269"/>
      <c r="GX34" s="314">
        <f>-GV34+GW34</f>
        <v>0</v>
      </c>
      <c r="GY34" s="269"/>
      <c r="GZ34" s="269"/>
      <c r="HA34" s="269"/>
      <c r="HB34" s="314">
        <f>-GZ34+HA34</f>
        <v>0</v>
      </c>
      <c r="HC34" s="269"/>
      <c r="HD34" s="269"/>
      <c r="HE34" s="269"/>
      <c r="HF34" s="314">
        <f>-HD34+HE34</f>
        <v>0</v>
      </c>
      <c r="HG34" s="269"/>
      <c r="HH34" s="269"/>
      <c r="HI34" s="269"/>
      <c r="HJ34" s="314">
        <f>-HH34+HI34</f>
        <v>0</v>
      </c>
      <c r="HK34" s="269"/>
      <c r="HL34" s="269"/>
      <c r="HM34" s="269"/>
      <c r="HN34" s="314">
        <f>-HL34+HM34</f>
        <v>0</v>
      </c>
      <c r="HO34" s="269"/>
      <c r="HP34" s="269"/>
      <c r="HQ34" s="269"/>
      <c r="HR34" s="314">
        <f>-HP34+HQ34</f>
        <v>0</v>
      </c>
      <c r="HS34" s="269"/>
      <c r="HT34" s="269"/>
      <c r="HU34" s="269"/>
      <c r="HV34" s="314">
        <f>-HT34+HU34</f>
        <v>0</v>
      </c>
      <c r="HW34" s="269"/>
      <c r="HX34" s="269"/>
      <c r="HY34" s="269"/>
      <c r="HZ34" s="314">
        <f>-HX34+HY34</f>
        <v>0</v>
      </c>
      <c r="IA34" s="269"/>
      <c r="IB34" s="269"/>
      <c r="IC34" s="269"/>
      <c r="ID34" s="314">
        <f>-IB34+IC34</f>
        <v>0</v>
      </c>
      <c r="IE34" s="269"/>
      <c r="IF34" s="269"/>
      <c r="IG34" s="269"/>
      <c r="IH34" s="314">
        <f>-IF34+IG34</f>
        <v>0</v>
      </c>
      <c r="II34" s="269"/>
      <c r="IJ34" s="269"/>
      <c r="IK34" s="269"/>
      <c r="IL34" s="314">
        <f>-IJ34+IK34</f>
        <v>0</v>
      </c>
      <c r="IM34" s="269"/>
      <c r="IN34" s="269"/>
      <c r="IO34" s="269"/>
      <c r="IP34" s="314">
        <f>-IN34+IO34</f>
        <v>0</v>
      </c>
      <c r="IQ34" s="277">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77">
        <f t="shared" si="132"/>
        <v>0</v>
      </c>
      <c r="IS34" s="277">
        <f t="shared" si="132"/>
        <v>0</v>
      </c>
      <c r="IT34" s="277">
        <f t="shared" si="132"/>
        <v>0</v>
      </c>
    </row>
    <row r="35" spans="1:254" ht="21.95" customHeight="1">
      <c r="A35" s="301">
        <v>351020</v>
      </c>
      <c r="B35" s="263" t="s">
        <v>322</v>
      </c>
      <c r="C35" s="269"/>
      <c r="D35" s="269"/>
      <c r="E35" s="269"/>
      <c r="F35" s="314">
        <f>-D35+E35</f>
        <v>0</v>
      </c>
      <c r="G35" s="269"/>
      <c r="H35" s="269"/>
      <c r="I35" s="269"/>
      <c r="J35" s="314">
        <f>-H35+I35</f>
        <v>0</v>
      </c>
      <c r="K35" s="269"/>
      <c r="L35" s="269"/>
      <c r="M35" s="269"/>
      <c r="N35" s="314">
        <f>-L35+M35</f>
        <v>0</v>
      </c>
      <c r="O35" s="269"/>
      <c r="P35" s="269"/>
      <c r="Q35" s="269"/>
      <c r="R35" s="314">
        <f>-P35+Q35</f>
        <v>0</v>
      </c>
      <c r="S35" s="269"/>
      <c r="T35" s="269"/>
      <c r="U35" s="269"/>
      <c r="V35" s="314">
        <f>-T35+U35</f>
        <v>0</v>
      </c>
      <c r="W35" s="269"/>
      <c r="X35" s="269"/>
      <c r="Y35" s="269"/>
      <c r="Z35" s="314">
        <f>-X35+Y35</f>
        <v>0</v>
      </c>
      <c r="AA35" s="269"/>
      <c r="AB35" s="269"/>
      <c r="AC35" s="269"/>
      <c r="AD35" s="314">
        <f>-AB35+AC35</f>
        <v>0</v>
      </c>
      <c r="AE35" s="269"/>
      <c r="AF35" s="269"/>
      <c r="AG35" s="269"/>
      <c r="AH35" s="314">
        <f>-AF35+AG35</f>
        <v>0</v>
      </c>
      <c r="AI35" s="269"/>
      <c r="AJ35" s="269"/>
      <c r="AK35" s="269"/>
      <c r="AL35" s="314">
        <f>-AJ35+AK35</f>
        <v>0</v>
      </c>
      <c r="AM35" s="269"/>
      <c r="AN35" s="269"/>
      <c r="AO35" s="269"/>
      <c r="AP35" s="314">
        <f>-AN35+AO35</f>
        <v>0</v>
      </c>
      <c r="AQ35" s="269"/>
      <c r="AR35" s="269"/>
      <c r="AS35" s="269"/>
      <c r="AT35" s="314">
        <f>-AR35+AS35</f>
        <v>0</v>
      </c>
      <c r="AU35" s="269"/>
      <c r="AV35" s="269"/>
      <c r="AW35" s="269"/>
      <c r="AX35" s="314">
        <f>-AV35+AW35</f>
        <v>0</v>
      </c>
      <c r="AY35" s="269"/>
      <c r="AZ35" s="269"/>
      <c r="BA35" s="269"/>
      <c r="BB35" s="314">
        <f>-AZ35+BA35</f>
        <v>0</v>
      </c>
      <c r="BC35" s="269"/>
      <c r="BD35" s="269"/>
      <c r="BE35" s="269"/>
      <c r="BF35" s="314">
        <f>-BD35+BE35</f>
        <v>0</v>
      </c>
      <c r="BG35" s="269"/>
      <c r="BH35" s="269"/>
      <c r="BI35" s="269"/>
      <c r="BJ35" s="314">
        <f>-BH35+BI35</f>
        <v>0</v>
      </c>
      <c r="BK35" s="269"/>
      <c r="BL35" s="269"/>
      <c r="BM35" s="269"/>
      <c r="BN35" s="314">
        <f>-BL35+BM35</f>
        <v>0</v>
      </c>
      <c r="BO35" s="269"/>
      <c r="BP35" s="269"/>
      <c r="BQ35" s="269"/>
      <c r="BR35" s="314">
        <f>-BP35+BQ35</f>
        <v>0</v>
      </c>
      <c r="BS35" s="269"/>
      <c r="BT35" s="269"/>
      <c r="BU35" s="269"/>
      <c r="BV35" s="314">
        <f>-BT35+BU35</f>
        <v>0</v>
      </c>
      <c r="BW35" s="269"/>
      <c r="BX35" s="269"/>
      <c r="BY35" s="269"/>
      <c r="BZ35" s="314">
        <f>-BX35+BY35</f>
        <v>0</v>
      </c>
      <c r="CA35" s="269"/>
      <c r="CB35" s="269"/>
      <c r="CC35" s="269"/>
      <c r="CD35" s="314">
        <f>-CB35+CC35</f>
        <v>0</v>
      </c>
      <c r="CE35" s="269"/>
      <c r="CF35" s="269"/>
      <c r="CG35" s="269"/>
      <c r="CH35" s="314">
        <f>-CF35+CG35</f>
        <v>0</v>
      </c>
      <c r="CI35" s="269"/>
      <c r="CJ35" s="269"/>
      <c r="CK35" s="269"/>
      <c r="CL35" s="314">
        <f>-CJ35+CK35</f>
        <v>0</v>
      </c>
      <c r="CM35" s="269"/>
      <c r="CN35" s="269"/>
      <c r="CO35" s="269"/>
      <c r="CP35" s="314">
        <f>-CN35+CO35</f>
        <v>0</v>
      </c>
      <c r="CQ35" s="269"/>
      <c r="CR35" s="269"/>
      <c r="CS35" s="269"/>
      <c r="CT35" s="314">
        <f>-CR35+CS35</f>
        <v>0</v>
      </c>
      <c r="CU35" s="269"/>
      <c r="CV35" s="269"/>
      <c r="CW35" s="269"/>
      <c r="CX35" s="314">
        <f>-CV35+CW35</f>
        <v>0</v>
      </c>
      <c r="CY35" s="269"/>
      <c r="CZ35" s="269"/>
      <c r="DA35" s="269"/>
      <c r="DB35" s="314">
        <f>-CZ35+DA35</f>
        <v>0</v>
      </c>
      <c r="DC35" s="269"/>
      <c r="DD35" s="269"/>
      <c r="DE35" s="269"/>
      <c r="DF35" s="314">
        <f>-DD35+DE35</f>
        <v>0</v>
      </c>
      <c r="DG35" s="269"/>
      <c r="DH35" s="269"/>
      <c r="DI35" s="269"/>
      <c r="DJ35" s="314">
        <f>-DH35+DI35</f>
        <v>0</v>
      </c>
      <c r="DK35" s="269"/>
      <c r="DL35" s="269"/>
      <c r="DM35" s="269"/>
      <c r="DN35" s="314">
        <f>-DL35+DM35</f>
        <v>0</v>
      </c>
      <c r="DO35" s="269"/>
      <c r="DP35" s="269"/>
      <c r="DQ35" s="269"/>
      <c r="DR35" s="314">
        <f>-DP35+DQ35</f>
        <v>0</v>
      </c>
      <c r="DS35" s="269"/>
      <c r="DT35" s="269"/>
      <c r="DU35" s="269"/>
      <c r="DV35" s="314">
        <f>-DT35+DU35</f>
        <v>0</v>
      </c>
      <c r="DW35" s="269"/>
      <c r="DX35" s="269"/>
      <c r="DY35" s="269"/>
      <c r="DZ35" s="314">
        <f>-DX35+DY35</f>
        <v>0</v>
      </c>
      <c r="EA35" s="269"/>
      <c r="EB35" s="269"/>
      <c r="EC35" s="269"/>
      <c r="ED35" s="314">
        <f>-EB35+EC35</f>
        <v>0</v>
      </c>
      <c r="EE35" s="269"/>
      <c r="EF35" s="269"/>
      <c r="EG35" s="269"/>
      <c r="EH35" s="314">
        <f>-EF35+EG35</f>
        <v>0</v>
      </c>
      <c r="EI35" s="269"/>
      <c r="EJ35" s="269"/>
      <c r="EK35" s="269"/>
      <c r="EL35" s="314">
        <f>-EJ35+EK35</f>
        <v>0</v>
      </c>
      <c r="EM35" s="269"/>
      <c r="EN35" s="269"/>
      <c r="EO35" s="269"/>
      <c r="EP35" s="314">
        <f>-EN35+EO35</f>
        <v>0</v>
      </c>
      <c r="EQ35" s="269"/>
      <c r="ER35" s="269"/>
      <c r="ES35" s="269"/>
      <c r="ET35" s="314">
        <f>-ER35+ES35</f>
        <v>0</v>
      </c>
      <c r="EU35" s="269"/>
      <c r="EV35" s="269"/>
      <c r="EW35" s="269"/>
      <c r="EX35" s="314">
        <f>-EV35+EW35</f>
        <v>0</v>
      </c>
      <c r="EY35" s="269"/>
      <c r="EZ35" s="269"/>
      <c r="FA35" s="269"/>
      <c r="FB35" s="314">
        <f>-EZ35+FA35</f>
        <v>0</v>
      </c>
      <c r="FC35" s="269"/>
      <c r="FD35" s="269"/>
      <c r="FE35" s="269"/>
      <c r="FF35" s="314">
        <f>-FD35+FE35</f>
        <v>0</v>
      </c>
      <c r="FG35" s="269"/>
      <c r="FH35" s="269"/>
      <c r="FI35" s="269"/>
      <c r="FJ35" s="314">
        <f>-FH35+FI35</f>
        <v>0</v>
      </c>
      <c r="FK35" s="269"/>
      <c r="FL35" s="269"/>
      <c r="FM35" s="269"/>
      <c r="FN35" s="314">
        <f>-FL35+FM35</f>
        <v>0</v>
      </c>
      <c r="FO35" s="269"/>
      <c r="FP35" s="269"/>
      <c r="FQ35" s="269"/>
      <c r="FR35" s="314">
        <f>-FP35+FQ35</f>
        <v>0</v>
      </c>
      <c r="FS35" s="269"/>
      <c r="FT35" s="269"/>
      <c r="FU35" s="269"/>
      <c r="FV35" s="314">
        <f>-FT35+FU35</f>
        <v>0</v>
      </c>
      <c r="FW35" s="269"/>
      <c r="FX35" s="269"/>
      <c r="FY35" s="269"/>
      <c r="FZ35" s="314">
        <f>-FX35+FY35</f>
        <v>0</v>
      </c>
      <c r="GA35" s="269"/>
      <c r="GB35" s="269"/>
      <c r="GC35" s="269"/>
      <c r="GD35" s="314">
        <f>-GB35+GC35</f>
        <v>0</v>
      </c>
      <c r="GE35" s="269"/>
      <c r="GF35" s="269"/>
      <c r="GG35" s="269"/>
      <c r="GH35" s="314">
        <f>-GF35+GG35</f>
        <v>0</v>
      </c>
      <c r="GI35" s="269"/>
      <c r="GJ35" s="269"/>
      <c r="GK35" s="269"/>
      <c r="GL35" s="314">
        <f>-GJ35+GK35</f>
        <v>0</v>
      </c>
      <c r="GM35" s="269"/>
      <c r="GN35" s="269"/>
      <c r="GO35" s="269"/>
      <c r="GP35" s="314">
        <f>-GN35+GO35</f>
        <v>0</v>
      </c>
      <c r="GQ35" s="269"/>
      <c r="GR35" s="269"/>
      <c r="GS35" s="269"/>
      <c r="GT35" s="314">
        <f>-GR35+GS35</f>
        <v>0</v>
      </c>
      <c r="GU35" s="269"/>
      <c r="GV35" s="269"/>
      <c r="GW35" s="269"/>
      <c r="GX35" s="314">
        <f>-GV35+GW35</f>
        <v>0</v>
      </c>
      <c r="GY35" s="269"/>
      <c r="GZ35" s="269"/>
      <c r="HA35" s="269"/>
      <c r="HB35" s="314">
        <f>-GZ35+HA35</f>
        <v>0</v>
      </c>
      <c r="HC35" s="269"/>
      <c r="HD35" s="269"/>
      <c r="HE35" s="269"/>
      <c r="HF35" s="314">
        <f>-HD35+HE35</f>
        <v>0</v>
      </c>
      <c r="HG35" s="269"/>
      <c r="HH35" s="269"/>
      <c r="HI35" s="269"/>
      <c r="HJ35" s="314">
        <f>-HH35+HI35</f>
        <v>0</v>
      </c>
      <c r="HK35" s="269"/>
      <c r="HL35" s="269"/>
      <c r="HM35" s="269"/>
      <c r="HN35" s="314">
        <f>-HL35+HM35</f>
        <v>0</v>
      </c>
      <c r="HO35" s="269"/>
      <c r="HP35" s="269"/>
      <c r="HQ35" s="269"/>
      <c r="HR35" s="314">
        <f>-HP35+HQ35</f>
        <v>0</v>
      </c>
      <c r="HS35" s="269"/>
      <c r="HT35" s="269"/>
      <c r="HU35" s="269"/>
      <c r="HV35" s="314">
        <f>-HT35+HU35</f>
        <v>0</v>
      </c>
      <c r="HW35" s="269"/>
      <c r="HX35" s="269"/>
      <c r="HY35" s="269"/>
      <c r="HZ35" s="314">
        <f>-HX35+HY35</f>
        <v>0</v>
      </c>
      <c r="IA35" s="269"/>
      <c r="IB35" s="269"/>
      <c r="IC35" s="269"/>
      <c r="ID35" s="314">
        <f>-IB35+IC35</f>
        <v>0</v>
      </c>
      <c r="IE35" s="269"/>
      <c r="IF35" s="269"/>
      <c r="IG35" s="269"/>
      <c r="IH35" s="314">
        <f>-IF35+IG35</f>
        <v>0</v>
      </c>
      <c r="II35" s="269"/>
      <c r="IJ35" s="269"/>
      <c r="IK35" s="269"/>
      <c r="IL35" s="314">
        <f>-IJ35+IK35</f>
        <v>0</v>
      </c>
      <c r="IM35" s="269"/>
      <c r="IN35" s="269"/>
      <c r="IO35" s="269"/>
      <c r="IP35" s="314">
        <f>-IN35+IO35</f>
        <v>0</v>
      </c>
      <c r="IQ35" s="277">
        <f t="shared" si="132"/>
        <v>0</v>
      </c>
      <c r="IR35" s="277">
        <f t="shared" si="132"/>
        <v>0</v>
      </c>
      <c r="IS35" s="277">
        <f t="shared" si="132"/>
        <v>0</v>
      </c>
      <c r="IT35" s="277">
        <f t="shared" si="132"/>
        <v>0</v>
      </c>
    </row>
    <row r="36" spans="1:254" ht="21.95" customHeight="1">
      <c r="A36" s="301">
        <v>351030</v>
      </c>
      <c r="B36" s="263" t="s">
        <v>321</v>
      </c>
      <c r="C36" s="269"/>
      <c r="D36" s="269"/>
      <c r="E36" s="269"/>
      <c r="F36" s="314">
        <f>-D36+E36</f>
        <v>0</v>
      </c>
      <c r="G36" s="269"/>
      <c r="H36" s="269"/>
      <c r="I36" s="269"/>
      <c r="J36" s="314">
        <f>-H36+I36</f>
        <v>0</v>
      </c>
      <c r="K36" s="269"/>
      <c r="L36" s="269"/>
      <c r="M36" s="269"/>
      <c r="N36" s="314">
        <f>-L36+M36</f>
        <v>0</v>
      </c>
      <c r="O36" s="269"/>
      <c r="P36" s="269"/>
      <c r="Q36" s="269"/>
      <c r="R36" s="314">
        <f>-P36+Q36</f>
        <v>0</v>
      </c>
      <c r="S36" s="269"/>
      <c r="T36" s="269"/>
      <c r="U36" s="269"/>
      <c r="V36" s="314">
        <f>-T36+U36</f>
        <v>0</v>
      </c>
      <c r="W36" s="269"/>
      <c r="X36" s="269"/>
      <c r="Y36" s="269"/>
      <c r="Z36" s="314">
        <f>-X36+Y36</f>
        <v>0</v>
      </c>
      <c r="AA36" s="269"/>
      <c r="AB36" s="269"/>
      <c r="AC36" s="269"/>
      <c r="AD36" s="314">
        <f>-AB36+AC36</f>
        <v>0</v>
      </c>
      <c r="AE36" s="269"/>
      <c r="AF36" s="269"/>
      <c r="AG36" s="269"/>
      <c r="AH36" s="314">
        <f>-AF36+AG36</f>
        <v>0</v>
      </c>
      <c r="AI36" s="269"/>
      <c r="AJ36" s="269"/>
      <c r="AK36" s="269"/>
      <c r="AL36" s="314">
        <f>-AJ36+AK36</f>
        <v>0</v>
      </c>
      <c r="AM36" s="269"/>
      <c r="AN36" s="269"/>
      <c r="AO36" s="269"/>
      <c r="AP36" s="314">
        <f>-AN36+AO36</f>
        <v>0</v>
      </c>
      <c r="AQ36" s="269"/>
      <c r="AR36" s="269"/>
      <c r="AS36" s="269"/>
      <c r="AT36" s="314">
        <f>-AR36+AS36</f>
        <v>0</v>
      </c>
      <c r="AU36" s="269"/>
      <c r="AV36" s="269"/>
      <c r="AW36" s="269"/>
      <c r="AX36" s="314">
        <f>-AV36+AW36</f>
        <v>0</v>
      </c>
      <c r="AY36" s="269"/>
      <c r="AZ36" s="269"/>
      <c r="BA36" s="269"/>
      <c r="BB36" s="314">
        <f>-AZ36+BA36</f>
        <v>0</v>
      </c>
      <c r="BC36" s="269"/>
      <c r="BD36" s="269"/>
      <c r="BE36" s="269"/>
      <c r="BF36" s="314">
        <f>-BD36+BE36</f>
        <v>0</v>
      </c>
      <c r="BG36" s="269"/>
      <c r="BH36" s="269"/>
      <c r="BI36" s="269"/>
      <c r="BJ36" s="314">
        <f>-BH36+BI36</f>
        <v>0</v>
      </c>
      <c r="BK36" s="269"/>
      <c r="BL36" s="269"/>
      <c r="BM36" s="269"/>
      <c r="BN36" s="314">
        <f>-BL36+BM36</f>
        <v>0</v>
      </c>
      <c r="BO36" s="269"/>
      <c r="BP36" s="269"/>
      <c r="BQ36" s="269"/>
      <c r="BR36" s="314">
        <f>-BP36+BQ36</f>
        <v>0</v>
      </c>
      <c r="BS36" s="269"/>
      <c r="BT36" s="269"/>
      <c r="BU36" s="269"/>
      <c r="BV36" s="314">
        <f>-BT36+BU36</f>
        <v>0</v>
      </c>
      <c r="BW36" s="269"/>
      <c r="BX36" s="269"/>
      <c r="BY36" s="269"/>
      <c r="BZ36" s="314">
        <f>-BX36+BY36</f>
        <v>0</v>
      </c>
      <c r="CA36" s="269"/>
      <c r="CB36" s="269"/>
      <c r="CC36" s="269"/>
      <c r="CD36" s="314">
        <f>-CB36+CC36</f>
        <v>0</v>
      </c>
      <c r="CE36" s="269"/>
      <c r="CF36" s="269"/>
      <c r="CG36" s="269"/>
      <c r="CH36" s="314">
        <f>-CF36+CG36</f>
        <v>0</v>
      </c>
      <c r="CI36" s="269"/>
      <c r="CJ36" s="269"/>
      <c r="CK36" s="269"/>
      <c r="CL36" s="314">
        <f>-CJ36+CK36</f>
        <v>0</v>
      </c>
      <c r="CM36" s="269"/>
      <c r="CN36" s="269"/>
      <c r="CO36" s="269"/>
      <c r="CP36" s="314">
        <f>-CN36+CO36</f>
        <v>0</v>
      </c>
      <c r="CQ36" s="269"/>
      <c r="CR36" s="269"/>
      <c r="CS36" s="269"/>
      <c r="CT36" s="314">
        <f>-CR36+CS36</f>
        <v>0</v>
      </c>
      <c r="CU36" s="269"/>
      <c r="CV36" s="269"/>
      <c r="CW36" s="269"/>
      <c r="CX36" s="314">
        <f>-CV36+CW36</f>
        <v>0</v>
      </c>
      <c r="CY36" s="269"/>
      <c r="CZ36" s="269"/>
      <c r="DA36" s="269"/>
      <c r="DB36" s="314">
        <f>-CZ36+DA36</f>
        <v>0</v>
      </c>
      <c r="DC36" s="269"/>
      <c r="DD36" s="269"/>
      <c r="DE36" s="269"/>
      <c r="DF36" s="314">
        <f>-DD36+DE36</f>
        <v>0</v>
      </c>
      <c r="DG36" s="269"/>
      <c r="DH36" s="269"/>
      <c r="DI36" s="269"/>
      <c r="DJ36" s="314">
        <f>-DH36+DI36</f>
        <v>0</v>
      </c>
      <c r="DK36" s="269"/>
      <c r="DL36" s="269"/>
      <c r="DM36" s="269"/>
      <c r="DN36" s="314">
        <f>-DL36+DM36</f>
        <v>0</v>
      </c>
      <c r="DO36" s="269"/>
      <c r="DP36" s="269"/>
      <c r="DQ36" s="269"/>
      <c r="DR36" s="314">
        <f>-DP36+DQ36</f>
        <v>0</v>
      </c>
      <c r="DS36" s="269"/>
      <c r="DT36" s="269"/>
      <c r="DU36" s="269"/>
      <c r="DV36" s="314">
        <f>-DT36+DU36</f>
        <v>0</v>
      </c>
      <c r="DW36" s="269"/>
      <c r="DX36" s="269"/>
      <c r="DY36" s="269"/>
      <c r="DZ36" s="314">
        <f>-DX36+DY36</f>
        <v>0</v>
      </c>
      <c r="EA36" s="269"/>
      <c r="EB36" s="269"/>
      <c r="EC36" s="269"/>
      <c r="ED36" s="314">
        <f>-EB36+EC36</f>
        <v>0</v>
      </c>
      <c r="EE36" s="269"/>
      <c r="EF36" s="269"/>
      <c r="EG36" s="269"/>
      <c r="EH36" s="314">
        <f>-EF36+EG36</f>
        <v>0</v>
      </c>
      <c r="EI36" s="269"/>
      <c r="EJ36" s="269"/>
      <c r="EK36" s="269"/>
      <c r="EL36" s="314">
        <f>-EJ36+EK36</f>
        <v>0</v>
      </c>
      <c r="EM36" s="269"/>
      <c r="EN36" s="269"/>
      <c r="EO36" s="269"/>
      <c r="EP36" s="314">
        <f>-EN36+EO36</f>
        <v>0</v>
      </c>
      <c r="EQ36" s="269"/>
      <c r="ER36" s="269"/>
      <c r="ES36" s="269"/>
      <c r="ET36" s="314">
        <f>-ER36+ES36</f>
        <v>0</v>
      </c>
      <c r="EU36" s="269"/>
      <c r="EV36" s="269"/>
      <c r="EW36" s="269"/>
      <c r="EX36" s="314">
        <f>-EV36+EW36</f>
        <v>0</v>
      </c>
      <c r="EY36" s="269"/>
      <c r="EZ36" s="269"/>
      <c r="FA36" s="269"/>
      <c r="FB36" s="314">
        <f>-EZ36+FA36</f>
        <v>0</v>
      </c>
      <c r="FC36" s="269"/>
      <c r="FD36" s="269"/>
      <c r="FE36" s="269"/>
      <c r="FF36" s="314">
        <f>-FD36+FE36</f>
        <v>0</v>
      </c>
      <c r="FG36" s="269"/>
      <c r="FH36" s="269"/>
      <c r="FI36" s="269"/>
      <c r="FJ36" s="314">
        <f>-FH36+FI36</f>
        <v>0</v>
      </c>
      <c r="FK36" s="269"/>
      <c r="FL36" s="269"/>
      <c r="FM36" s="269"/>
      <c r="FN36" s="314">
        <f>-FL36+FM36</f>
        <v>0</v>
      </c>
      <c r="FO36" s="269"/>
      <c r="FP36" s="269"/>
      <c r="FQ36" s="269"/>
      <c r="FR36" s="314">
        <f>-FP36+FQ36</f>
        <v>0</v>
      </c>
      <c r="FS36" s="269"/>
      <c r="FT36" s="269"/>
      <c r="FU36" s="269"/>
      <c r="FV36" s="314">
        <f>-FT36+FU36</f>
        <v>0</v>
      </c>
      <c r="FW36" s="269"/>
      <c r="FX36" s="269"/>
      <c r="FY36" s="269"/>
      <c r="FZ36" s="314">
        <f>-FX36+FY36</f>
        <v>0</v>
      </c>
      <c r="GA36" s="269"/>
      <c r="GB36" s="269"/>
      <c r="GC36" s="269"/>
      <c r="GD36" s="314">
        <f>-GB36+GC36</f>
        <v>0</v>
      </c>
      <c r="GE36" s="269"/>
      <c r="GF36" s="269"/>
      <c r="GG36" s="269"/>
      <c r="GH36" s="314">
        <f>-GF36+GG36</f>
        <v>0</v>
      </c>
      <c r="GI36" s="269"/>
      <c r="GJ36" s="269"/>
      <c r="GK36" s="269"/>
      <c r="GL36" s="314">
        <f>-GJ36+GK36</f>
        <v>0</v>
      </c>
      <c r="GM36" s="269"/>
      <c r="GN36" s="269"/>
      <c r="GO36" s="269"/>
      <c r="GP36" s="314">
        <f>-GN36+GO36</f>
        <v>0</v>
      </c>
      <c r="GQ36" s="269"/>
      <c r="GR36" s="269"/>
      <c r="GS36" s="269"/>
      <c r="GT36" s="314">
        <f>-GR36+GS36</f>
        <v>0</v>
      </c>
      <c r="GU36" s="269"/>
      <c r="GV36" s="269"/>
      <c r="GW36" s="269"/>
      <c r="GX36" s="314">
        <f>-GV36+GW36</f>
        <v>0</v>
      </c>
      <c r="GY36" s="269"/>
      <c r="GZ36" s="269"/>
      <c r="HA36" s="269"/>
      <c r="HB36" s="314">
        <f>-GZ36+HA36</f>
        <v>0</v>
      </c>
      <c r="HC36" s="269"/>
      <c r="HD36" s="269"/>
      <c r="HE36" s="269"/>
      <c r="HF36" s="314">
        <f>-HD36+HE36</f>
        <v>0</v>
      </c>
      <c r="HG36" s="269"/>
      <c r="HH36" s="269"/>
      <c r="HI36" s="269"/>
      <c r="HJ36" s="314">
        <f>-HH36+HI36</f>
        <v>0</v>
      </c>
      <c r="HK36" s="269"/>
      <c r="HL36" s="269"/>
      <c r="HM36" s="269"/>
      <c r="HN36" s="314">
        <f>-HL36+HM36</f>
        <v>0</v>
      </c>
      <c r="HO36" s="269"/>
      <c r="HP36" s="269"/>
      <c r="HQ36" s="269"/>
      <c r="HR36" s="314">
        <f>-HP36+HQ36</f>
        <v>0</v>
      </c>
      <c r="HS36" s="269"/>
      <c r="HT36" s="269"/>
      <c r="HU36" s="269"/>
      <c r="HV36" s="314">
        <f>-HT36+HU36</f>
        <v>0</v>
      </c>
      <c r="HW36" s="269"/>
      <c r="HX36" s="269"/>
      <c r="HY36" s="269"/>
      <c r="HZ36" s="314">
        <f>-HX36+HY36</f>
        <v>0</v>
      </c>
      <c r="IA36" s="269"/>
      <c r="IB36" s="269"/>
      <c r="IC36" s="269"/>
      <c r="ID36" s="314">
        <f>-IB36+IC36</f>
        <v>0</v>
      </c>
      <c r="IE36" s="269"/>
      <c r="IF36" s="269"/>
      <c r="IG36" s="269"/>
      <c r="IH36" s="314">
        <f>-IF36+IG36</f>
        <v>0</v>
      </c>
      <c r="II36" s="269"/>
      <c r="IJ36" s="269"/>
      <c r="IK36" s="269"/>
      <c r="IL36" s="314">
        <f>-IJ36+IK36</f>
        <v>0</v>
      </c>
      <c r="IM36" s="269"/>
      <c r="IN36" s="269"/>
      <c r="IO36" s="269"/>
      <c r="IP36" s="314">
        <f>-IN36+IO36</f>
        <v>0</v>
      </c>
      <c r="IQ36" s="277">
        <f t="shared" si="132"/>
        <v>0</v>
      </c>
      <c r="IR36" s="277">
        <f t="shared" si="132"/>
        <v>0</v>
      </c>
      <c r="IS36" s="277">
        <f t="shared" si="132"/>
        <v>0</v>
      </c>
      <c r="IT36" s="277">
        <f t="shared" si="132"/>
        <v>0</v>
      </c>
    </row>
    <row r="37" spans="1:254" ht="21.95" customHeight="1">
      <c r="A37" s="301">
        <v>360000</v>
      </c>
      <c r="B37" s="268" t="s">
        <v>214</v>
      </c>
      <c r="C37" s="269"/>
      <c r="D37" s="269"/>
      <c r="E37" s="269"/>
      <c r="F37" s="314">
        <f>-D37+E37</f>
        <v>0</v>
      </c>
      <c r="G37" s="269"/>
      <c r="H37" s="269"/>
      <c r="I37" s="269"/>
      <c r="J37" s="314">
        <f>-H37+I37</f>
        <v>0</v>
      </c>
      <c r="K37" s="269"/>
      <c r="L37" s="269"/>
      <c r="M37" s="269"/>
      <c r="N37" s="314">
        <f>-L37+M37</f>
        <v>0</v>
      </c>
      <c r="O37" s="269"/>
      <c r="P37" s="269"/>
      <c r="Q37" s="269"/>
      <c r="R37" s="314">
        <f>-P37+Q37</f>
        <v>0</v>
      </c>
      <c r="S37" s="269"/>
      <c r="T37" s="269"/>
      <c r="U37" s="269"/>
      <c r="V37" s="314">
        <f>-T37+U37</f>
        <v>0</v>
      </c>
      <c r="W37" s="269"/>
      <c r="X37" s="269"/>
      <c r="Y37" s="269"/>
      <c r="Z37" s="314">
        <f>-X37+Y37</f>
        <v>0</v>
      </c>
      <c r="AA37" s="269"/>
      <c r="AB37" s="269"/>
      <c r="AC37" s="269"/>
      <c r="AD37" s="314">
        <f>-AB37+AC37</f>
        <v>0</v>
      </c>
      <c r="AE37" s="269"/>
      <c r="AF37" s="269"/>
      <c r="AG37" s="269"/>
      <c r="AH37" s="314">
        <f>-AF37+AG37</f>
        <v>0</v>
      </c>
      <c r="AI37" s="269"/>
      <c r="AJ37" s="269"/>
      <c r="AK37" s="269"/>
      <c r="AL37" s="314">
        <f>-AJ37+AK37</f>
        <v>0</v>
      </c>
      <c r="AM37" s="269"/>
      <c r="AN37" s="269"/>
      <c r="AO37" s="269"/>
      <c r="AP37" s="314">
        <f>-AN37+AO37</f>
        <v>0</v>
      </c>
      <c r="AQ37" s="269"/>
      <c r="AR37" s="269"/>
      <c r="AS37" s="269"/>
      <c r="AT37" s="314">
        <f>-AR37+AS37</f>
        <v>0</v>
      </c>
      <c r="AU37" s="269"/>
      <c r="AV37" s="269"/>
      <c r="AW37" s="269"/>
      <c r="AX37" s="314">
        <f>-AV37+AW37</f>
        <v>0</v>
      </c>
      <c r="AY37" s="269"/>
      <c r="AZ37" s="269"/>
      <c r="BA37" s="269"/>
      <c r="BB37" s="314">
        <f>-AZ37+BA37</f>
        <v>0</v>
      </c>
      <c r="BC37" s="269"/>
      <c r="BD37" s="269"/>
      <c r="BE37" s="269"/>
      <c r="BF37" s="314">
        <f>-BD37+BE37</f>
        <v>0</v>
      </c>
      <c r="BG37" s="269"/>
      <c r="BH37" s="269"/>
      <c r="BI37" s="269"/>
      <c r="BJ37" s="314">
        <f>-BH37+BI37</f>
        <v>0</v>
      </c>
      <c r="BK37" s="269"/>
      <c r="BL37" s="269"/>
      <c r="BM37" s="269"/>
      <c r="BN37" s="314">
        <f>-BL37+BM37</f>
        <v>0</v>
      </c>
      <c r="BO37" s="269"/>
      <c r="BP37" s="269"/>
      <c r="BQ37" s="269"/>
      <c r="BR37" s="314">
        <f>-BP37+BQ37</f>
        <v>0</v>
      </c>
      <c r="BS37" s="269"/>
      <c r="BT37" s="269"/>
      <c r="BU37" s="269"/>
      <c r="BV37" s="314">
        <f>-BT37+BU37</f>
        <v>0</v>
      </c>
      <c r="BW37" s="269"/>
      <c r="BX37" s="269"/>
      <c r="BY37" s="269"/>
      <c r="BZ37" s="314">
        <f>-BX37+BY37</f>
        <v>0</v>
      </c>
      <c r="CA37" s="269"/>
      <c r="CB37" s="269"/>
      <c r="CC37" s="269"/>
      <c r="CD37" s="314">
        <f>-CB37+CC37</f>
        <v>0</v>
      </c>
      <c r="CE37" s="269"/>
      <c r="CF37" s="269"/>
      <c r="CG37" s="269"/>
      <c r="CH37" s="314">
        <f>-CF37+CG37</f>
        <v>0</v>
      </c>
      <c r="CI37" s="269"/>
      <c r="CJ37" s="269"/>
      <c r="CK37" s="269"/>
      <c r="CL37" s="314">
        <f>-CJ37+CK37</f>
        <v>0</v>
      </c>
      <c r="CM37" s="269"/>
      <c r="CN37" s="269"/>
      <c r="CO37" s="269"/>
      <c r="CP37" s="314">
        <f>-CN37+CO37</f>
        <v>0</v>
      </c>
      <c r="CQ37" s="269"/>
      <c r="CR37" s="269"/>
      <c r="CS37" s="269"/>
      <c r="CT37" s="314">
        <f>-CR37+CS37</f>
        <v>0</v>
      </c>
      <c r="CU37" s="269"/>
      <c r="CV37" s="269"/>
      <c r="CW37" s="269"/>
      <c r="CX37" s="314">
        <f>-CV37+CW37</f>
        <v>0</v>
      </c>
      <c r="CY37" s="269"/>
      <c r="CZ37" s="269"/>
      <c r="DA37" s="269"/>
      <c r="DB37" s="314">
        <f>-CZ37+DA37</f>
        <v>0</v>
      </c>
      <c r="DC37" s="269"/>
      <c r="DD37" s="269"/>
      <c r="DE37" s="269"/>
      <c r="DF37" s="314">
        <f>-DD37+DE37</f>
        <v>0</v>
      </c>
      <c r="DG37" s="269"/>
      <c r="DH37" s="269"/>
      <c r="DI37" s="269"/>
      <c r="DJ37" s="314">
        <f>-DH37+DI37</f>
        <v>0</v>
      </c>
      <c r="DK37" s="269"/>
      <c r="DL37" s="269"/>
      <c r="DM37" s="269"/>
      <c r="DN37" s="314">
        <f>-DL37+DM37</f>
        <v>0</v>
      </c>
      <c r="DO37" s="269"/>
      <c r="DP37" s="269"/>
      <c r="DQ37" s="269"/>
      <c r="DR37" s="314">
        <f>-DP37+DQ37</f>
        <v>0</v>
      </c>
      <c r="DS37" s="269"/>
      <c r="DT37" s="269"/>
      <c r="DU37" s="269"/>
      <c r="DV37" s="314">
        <f>-DT37+DU37</f>
        <v>0</v>
      </c>
      <c r="DW37" s="269"/>
      <c r="DX37" s="269"/>
      <c r="DY37" s="269"/>
      <c r="DZ37" s="314">
        <f>-DX37+DY37</f>
        <v>0</v>
      </c>
      <c r="EA37" s="269"/>
      <c r="EB37" s="269"/>
      <c r="EC37" s="269"/>
      <c r="ED37" s="314">
        <f>-EB37+EC37</f>
        <v>0</v>
      </c>
      <c r="EE37" s="269"/>
      <c r="EF37" s="269"/>
      <c r="EG37" s="269"/>
      <c r="EH37" s="314">
        <f>-EF37+EG37</f>
        <v>0</v>
      </c>
      <c r="EI37" s="269"/>
      <c r="EJ37" s="269"/>
      <c r="EK37" s="269"/>
      <c r="EL37" s="314">
        <f>-EJ37+EK37</f>
        <v>0</v>
      </c>
      <c r="EM37" s="269"/>
      <c r="EN37" s="269"/>
      <c r="EO37" s="269"/>
      <c r="EP37" s="314">
        <f>-EN37+EO37</f>
        <v>0</v>
      </c>
      <c r="EQ37" s="269"/>
      <c r="ER37" s="269"/>
      <c r="ES37" s="269"/>
      <c r="ET37" s="314">
        <f>-ER37+ES37</f>
        <v>0</v>
      </c>
      <c r="EU37" s="269"/>
      <c r="EV37" s="269"/>
      <c r="EW37" s="269"/>
      <c r="EX37" s="314">
        <f>-EV37+EW37</f>
        <v>0</v>
      </c>
      <c r="EY37" s="269"/>
      <c r="EZ37" s="269"/>
      <c r="FA37" s="269"/>
      <c r="FB37" s="314">
        <f>-EZ37+FA37</f>
        <v>0</v>
      </c>
      <c r="FC37" s="269"/>
      <c r="FD37" s="269"/>
      <c r="FE37" s="269"/>
      <c r="FF37" s="314">
        <f>-FD37+FE37</f>
        <v>0</v>
      </c>
      <c r="FG37" s="269"/>
      <c r="FH37" s="269"/>
      <c r="FI37" s="269"/>
      <c r="FJ37" s="314">
        <f>-FH37+FI37</f>
        <v>0</v>
      </c>
      <c r="FK37" s="269"/>
      <c r="FL37" s="269"/>
      <c r="FM37" s="269"/>
      <c r="FN37" s="314">
        <f>-FL37+FM37</f>
        <v>0</v>
      </c>
      <c r="FO37" s="269"/>
      <c r="FP37" s="269"/>
      <c r="FQ37" s="269"/>
      <c r="FR37" s="314">
        <f>-FP37+FQ37</f>
        <v>0</v>
      </c>
      <c r="FS37" s="269"/>
      <c r="FT37" s="269"/>
      <c r="FU37" s="269"/>
      <c r="FV37" s="314">
        <f>-FT37+FU37</f>
        <v>0</v>
      </c>
      <c r="FW37" s="269"/>
      <c r="FX37" s="269"/>
      <c r="FY37" s="269"/>
      <c r="FZ37" s="314">
        <f>-FX37+FY37</f>
        <v>0</v>
      </c>
      <c r="GA37" s="269"/>
      <c r="GB37" s="269"/>
      <c r="GC37" s="269"/>
      <c r="GD37" s="314">
        <f>-GB37+GC37</f>
        <v>0</v>
      </c>
      <c r="GE37" s="269"/>
      <c r="GF37" s="269"/>
      <c r="GG37" s="269"/>
      <c r="GH37" s="314">
        <f>-GF37+GG37</f>
        <v>0</v>
      </c>
      <c r="GI37" s="269"/>
      <c r="GJ37" s="269"/>
      <c r="GK37" s="269"/>
      <c r="GL37" s="314">
        <f>-GJ37+GK37</f>
        <v>0</v>
      </c>
      <c r="GM37" s="269"/>
      <c r="GN37" s="269"/>
      <c r="GO37" s="269"/>
      <c r="GP37" s="314">
        <f>-GN37+GO37</f>
        <v>0</v>
      </c>
      <c r="GQ37" s="269"/>
      <c r="GR37" s="269"/>
      <c r="GS37" s="269"/>
      <c r="GT37" s="314">
        <f>-GR37+GS37</f>
        <v>0</v>
      </c>
      <c r="GU37" s="269"/>
      <c r="GV37" s="269"/>
      <c r="GW37" s="269"/>
      <c r="GX37" s="314">
        <f>-GV37+GW37</f>
        <v>0</v>
      </c>
      <c r="GY37" s="269"/>
      <c r="GZ37" s="269"/>
      <c r="HA37" s="269"/>
      <c r="HB37" s="314">
        <f>-GZ37+HA37</f>
        <v>0</v>
      </c>
      <c r="HC37" s="269"/>
      <c r="HD37" s="269"/>
      <c r="HE37" s="269"/>
      <c r="HF37" s="314">
        <f>-HD37+HE37</f>
        <v>0</v>
      </c>
      <c r="HG37" s="269"/>
      <c r="HH37" s="269"/>
      <c r="HI37" s="269"/>
      <c r="HJ37" s="314">
        <f>-HH37+HI37</f>
        <v>0</v>
      </c>
      <c r="HK37" s="269"/>
      <c r="HL37" s="269"/>
      <c r="HM37" s="269"/>
      <c r="HN37" s="314">
        <f>-HL37+HM37</f>
        <v>0</v>
      </c>
      <c r="HO37" s="269"/>
      <c r="HP37" s="269"/>
      <c r="HQ37" s="269"/>
      <c r="HR37" s="314">
        <f>-HP37+HQ37</f>
        <v>0</v>
      </c>
      <c r="HS37" s="269"/>
      <c r="HT37" s="269"/>
      <c r="HU37" s="269"/>
      <c r="HV37" s="314">
        <f>-HT37+HU37</f>
        <v>0</v>
      </c>
      <c r="HW37" s="269"/>
      <c r="HX37" s="269"/>
      <c r="HY37" s="269"/>
      <c r="HZ37" s="314">
        <f>-HX37+HY37</f>
        <v>0</v>
      </c>
      <c r="IA37" s="269"/>
      <c r="IB37" s="269"/>
      <c r="IC37" s="269"/>
      <c r="ID37" s="314">
        <f>-IB37+IC37</f>
        <v>0</v>
      </c>
      <c r="IE37" s="269"/>
      <c r="IF37" s="269"/>
      <c r="IG37" s="269"/>
      <c r="IH37" s="314">
        <f>-IF37+IG37</f>
        <v>0</v>
      </c>
      <c r="II37" s="269"/>
      <c r="IJ37" s="269"/>
      <c r="IK37" s="269"/>
      <c r="IL37" s="314">
        <f>-IJ37+IK37</f>
        <v>0</v>
      </c>
      <c r="IM37" s="269"/>
      <c r="IN37" s="269"/>
      <c r="IO37" s="269"/>
      <c r="IP37" s="314">
        <f>-IN37+IO37</f>
        <v>0</v>
      </c>
      <c r="IQ37" s="277">
        <f t="shared" si="132"/>
        <v>0</v>
      </c>
      <c r="IR37" s="277">
        <f t="shared" si="132"/>
        <v>0</v>
      </c>
      <c r="IS37" s="277">
        <f t="shared" si="132"/>
        <v>0</v>
      </c>
      <c r="IT37" s="277">
        <f t="shared" si="132"/>
        <v>0</v>
      </c>
    </row>
    <row r="38" spans="1:254" ht="21.95" customHeight="1">
      <c r="A38" s="301">
        <v>370000</v>
      </c>
      <c r="B38" s="268" t="s">
        <v>215</v>
      </c>
      <c r="C38" s="269">
        <v>15</v>
      </c>
      <c r="D38" s="269">
        <v>15</v>
      </c>
      <c r="E38" s="269">
        <v>1.01</v>
      </c>
      <c r="F38" s="314">
        <f>-D38+E38</f>
        <v>-13.99</v>
      </c>
      <c r="G38" s="269">
        <v>25</v>
      </c>
      <c r="H38" s="269">
        <v>25</v>
      </c>
      <c r="I38" s="269">
        <v>27.89</v>
      </c>
      <c r="J38" s="314">
        <f>-H38+I38</f>
        <v>2.8900000000000006</v>
      </c>
      <c r="K38" s="269">
        <v>25</v>
      </c>
      <c r="L38" s="269">
        <v>25</v>
      </c>
      <c r="M38" s="269">
        <v>11.18</v>
      </c>
      <c r="N38" s="314">
        <f>-L38+M38</f>
        <v>-13.82</v>
      </c>
      <c r="O38" s="269"/>
      <c r="P38" s="269"/>
      <c r="Q38" s="269"/>
      <c r="R38" s="314">
        <f>-P38+Q38</f>
        <v>0</v>
      </c>
      <c r="S38" s="269"/>
      <c r="T38" s="269"/>
      <c r="U38" s="269"/>
      <c r="V38" s="314">
        <f>-T38+U38</f>
        <v>0</v>
      </c>
      <c r="W38" s="269"/>
      <c r="X38" s="269"/>
      <c r="Y38" s="269"/>
      <c r="Z38" s="314">
        <f>-X38+Y38</f>
        <v>0</v>
      </c>
      <c r="AA38" s="269"/>
      <c r="AB38" s="269"/>
      <c r="AC38" s="269"/>
      <c r="AD38" s="314">
        <f>-AB38+AC38</f>
        <v>0</v>
      </c>
      <c r="AE38" s="269"/>
      <c r="AF38" s="269"/>
      <c r="AG38" s="269"/>
      <c r="AH38" s="314">
        <f>-AF38+AG38</f>
        <v>0</v>
      </c>
      <c r="AI38" s="269"/>
      <c r="AJ38" s="269"/>
      <c r="AK38" s="269"/>
      <c r="AL38" s="314">
        <f>-AJ38+AK38</f>
        <v>0</v>
      </c>
      <c r="AM38" s="269"/>
      <c r="AN38" s="269"/>
      <c r="AO38" s="269"/>
      <c r="AP38" s="314">
        <f>-AN38+AO38</f>
        <v>0</v>
      </c>
      <c r="AQ38" s="269"/>
      <c r="AR38" s="269"/>
      <c r="AS38" s="269"/>
      <c r="AT38" s="314">
        <f>-AR38+AS38</f>
        <v>0</v>
      </c>
      <c r="AU38" s="269"/>
      <c r="AV38" s="269"/>
      <c r="AW38" s="269"/>
      <c r="AX38" s="314">
        <f>-AV38+AW38</f>
        <v>0</v>
      </c>
      <c r="AY38" s="269"/>
      <c r="AZ38" s="269"/>
      <c r="BA38" s="269"/>
      <c r="BB38" s="314">
        <f>-AZ38+BA38</f>
        <v>0</v>
      </c>
      <c r="BC38" s="269"/>
      <c r="BD38" s="269"/>
      <c r="BE38" s="269"/>
      <c r="BF38" s="314">
        <f>-BD38+BE38</f>
        <v>0</v>
      </c>
      <c r="BG38" s="269"/>
      <c r="BH38" s="269"/>
      <c r="BI38" s="269"/>
      <c r="BJ38" s="314">
        <f>-BH38+BI38</f>
        <v>0</v>
      </c>
      <c r="BK38" s="269"/>
      <c r="BL38" s="269"/>
      <c r="BM38" s="269"/>
      <c r="BN38" s="314">
        <f>-BL38+BM38</f>
        <v>0</v>
      </c>
      <c r="BO38" s="269"/>
      <c r="BP38" s="269"/>
      <c r="BQ38" s="269"/>
      <c r="BR38" s="314">
        <f>-BP38+BQ38</f>
        <v>0</v>
      </c>
      <c r="BS38" s="269"/>
      <c r="BT38" s="269"/>
      <c r="BU38" s="269"/>
      <c r="BV38" s="314">
        <f>-BT38+BU38</f>
        <v>0</v>
      </c>
      <c r="BW38" s="269"/>
      <c r="BX38" s="269"/>
      <c r="BY38" s="269"/>
      <c r="BZ38" s="314">
        <f>-BX38+BY38</f>
        <v>0</v>
      </c>
      <c r="CA38" s="269"/>
      <c r="CB38" s="269"/>
      <c r="CC38" s="269"/>
      <c r="CD38" s="314">
        <f>-CB38+CC38</f>
        <v>0</v>
      </c>
      <c r="CE38" s="269"/>
      <c r="CF38" s="269"/>
      <c r="CG38" s="269"/>
      <c r="CH38" s="314">
        <f>-CF38+CG38</f>
        <v>0</v>
      </c>
      <c r="CI38" s="269"/>
      <c r="CJ38" s="269"/>
      <c r="CK38" s="269"/>
      <c r="CL38" s="314">
        <f>-CJ38+CK38</f>
        <v>0</v>
      </c>
      <c r="CM38" s="269"/>
      <c r="CN38" s="269"/>
      <c r="CO38" s="269"/>
      <c r="CP38" s="314">
        <f>-CN38+CO38</f>
        <v>0</v>
      </c>
      <c r="CQ38" s="269"/>
      <c r="CR38" s="269"/>
      <c r="CS38" s="269"/>
      <c r="CT38" s="314">
        <f>-CR38+CS38</f>
        <v>0</v>
      </c>
      <c r="CU38" s="269"/>
      <c r="CV38" s="269"/>
      <c r="CW38" s="269"/>
      <c r="CX38" s="314">
        <f>-CV38+CW38</f>
        <v>0</v>
      </c>
      <c r="CY38" s="269"/>
      <c r="CZ38" s="269"/>
      <c r="DA38" s="269"/>
      <c r="DB38" s="314">
        <f>-CZ38+DA38</f>
        <v>0</v>
      </c>
      <c r="DC38" s="269"/>
      <c r="DD38" s="269"/>
      <c r="DE38" s="269"/>
      <c r="DF38" s="314">
        <f>-DD38+DE38</f>
        <v>0</v>
      </c>
      <c r="DG38" s="269"/>
      <c r="DH38" s="269"/>
      <c r="DI38" s="269"/>
      <c r="DJ38" s="314">
        <f>-DH38+DI38</f>
        <v>0</v>
      </c>
      <c r="DK38" s="269"/>
      <c r="DL38" s="269"/>
      <c r="DM38" s="269"/>
      <c r="DN38" s="314">
        <f>-DL38+DM38</f>
        <v>0</v>
      </c>
      <c r="DO38" s="269"/>
      <c r="DP38" s="269"/>
      <c r="DQ38" s="269"/>
      <c r="DR38" s="314">
        <f>-DP38+DQ38</f>
        <v>0</v>
      </c>
      <c r="DS38" s="269"/>
      <c r="DT38" s="269"/>
      <c r="DU38" s="269"/>
      <c r="DV38" s="314">
        <f>-DT38+DU38</f>
        <v>0</v>
      </c>
      <c r="DW38" s="269"/>
      <c r="DX38" s="269"/>
      <c r="DY38" s="269"/>
      <c r="DZ38" s="314">
        <f>-DX38+DY38</f>
        <v>0</v>
      </c>
      <c r="EA38" s="269"/>
      <c r="EB38" s="269"/>
      <c r="EC38" s="269"/>
      <c r="ED38" s="314">
        <f>-EB38+EC38</f>
        <v>0</v>
      </c>
      <c r="EE38" s="269"/>
      <c r="EF38" s="269"/>
      <c r="EG38" s="269"/>
      <c r="EH38" s="314">
        <f>-EF38+EG38</f>
        <v>0</v>
      </c>
      <c r="EI38" s="269"/>
      <c r="EJ38" s="269"/>
      <c r="EK38" s="269"/>
      <c r="EL38" s="314">
        <f>-EJ38+EK38</f>
        <v>0</v>
      </c>
      <c r="EM38" s="269"/>
      <c r="EN38" s="269"/>
      <c r="EO38" s="269"/>
      <c r="EP38" s="314">
        <f>-EN38+EO38</f>
        <v>0</v>
      </c>
      <c r="EQ38" s="269"/>
      <c r="ER38" s="269"/>
      <c r="ES38" s="269"/>
      <c r="ET38" s="314">
        <f>-ER38+ES38</f>
        <v>0</v>
      </c>
      <c r="EU38" s="269"/>
      <c r="EV38" s="269"/>
      <c r="EW38" s="269"/>
      <c r="EX38" s="314">
        <f>-EV38+EW38</f>
        <v>0</v>
      </c>
      <c r="EY38" s="269"/>
      <c r="EZ38" s="269"/>
      <c r="FA38" s="269"/>
      <c r="FB38" s="314">
        <f>-EZ38+FA38</f>
        <v>0</v>
      </c>
      <c r="FC38" s="269"/>
      <c r="FD38" s="269"/>
      <c r="FE38" s="269"/>
      <c r="FF38" s="314">
        <f>-FD38+FE38</f>
        <v>0</v>
      </c>
      <c r="FG38" s="269"/>
      <c r="FH38" s="269"/>
      <c r="FI38" s="269"/>
      <c r="FJ38" s="314">
        <f>-FH38+FI38</f>
        <v>0</v>
      </c>
      <c r="FK38" s="269"/>
      <c r="FL38" s="269"/>
      <c r="FM38" s="269"/>
      <c r="FN38" s="314">
        <f>-FL38+FM38</f>
        <v>0</v>
      </c>
      <c r="FO38" s="269"/>
      <c r="FP38" s="269"/>
      <c r="FQ38" s="269"/>
      <c r="FR38" s="314">
        <f>-FP38+FQ38</f>
        <v>0</v>
      </c>
      <c r="FS38" s="269"/>
      <c r="FT38" s="269"/>
      <c r="FU38" s="269"/>
      <c r="FV38" s="314">
        <f>-FT38+FU38</f>
        <v>0</v>
      </c>
      <c r="FW38" s="269"/>
      <c r="FX38" s="269"/>
      <c r="FY38" s="269"/>
      <c r="FZ38" s="314">
        <f>-FX38+FY38</f>
        <v>0</v>
      </c>
      <c r="GA38" s="269"/>
      <c r="GB38" s="269"/>
      <c r="GC38" s="269"/>
      <c r="GD38" s="314">
        <f>-GB38+GC38</f>
        <v>0</v>
      </c>
      <c r="GE38" s="269"/>
      <c r="GF38" s="269"/>
      <c r="GG38" s="269"/>
      <c r="GH38" s="314">
        <f>-GF38+GG38</f>
        <v>0</v>
      </c>
      <c r="GI38" s="269"/>
      <c r="GJ38" s="269"/>
      <c r="GK38" s="269"/>
      <c r="GL38" s="314">
        <f>-GJ38+GK38</f>
        <v>0</v>
      </c>
      <c r="GM38" s="269"/>
      <c r="GN38" s="269"/>
      <c r="GO38" s="269"/>
      <c r="GP38" s="314">
        <f>-GN38+GO38</f>
        <v>0</v>
      </c>
      <c r="GQ38" s="269"/>
      <c r="GR38" s="269"/>
      <c r="GS38" s="269"/>
      <c r="GT38" s="314">
        <f>-GR38+GS38</f>
        <v>0</v>
      </c>
      <c r="GU38" s="269"/>
      <c r="GV38" s="269"/>
      <c r="GW38" s="269"/>
      <c r="GX38" s="314">
        <f>-GV38+GW38</f>
        <v>0</v>
      </c>
      <c r="GY38" s="269"/>
      <c r="GZ38" s="269"/>
      <c r="HA38" s="269"/>
      <c r="HB38" s="314">
        <f>-GZ38+HA38</f>
        <v>0</v>
      </c>
      <c r="HC38" s="269"/>
      <c r="HD38" s="269"/>
      <c r="HE38" s="269"/>
      <c r="HF38" s="314">
        <f>-HD38+HE38</f>
        <v>0</v>
      </c>
      <c r="HG38" s="269"/>
      <c r="HH38" s="269"/>
      <c r="HI38" s="269"/>
      <c r="HJ38" s="314">
        <f>-HH38+HI38</f>
        <v>0</v>
      </c>
      <c r="HK38" s="269"/>
      <c r="HL38" s="269"/>
      <c r="HM38" s="269"/>
      <c r="HN38" s="314">
        <f>-HL38+HM38</f>
        <v>0</v>
      </c>
      <c r="HO38" s="269"/>
      <c r="HP38" s="269"/>
      <c r="HQ38" s="269"/>
      <c r="HR38" s="314">
        <f>-HP38+HQ38</f>
        <v>0</v>
      </c>
      <c r="HS38" s="269"/>
      <c r="HT38" s="269"/>
      <c r="HU38" s="269"/>
      <c r="HV38" s="314">
        <f>-HT38+HU38</f>
        <v>0</v>
      </c>
      <c r="HW38" s="269"/>
      <c r="HX38" s="269"/>
      <c r="HY38" s="269"/>
      <c r="HZ38" s="314">
        <f>-HX38+HY38</f>
        <v>0</v>
      </c>
      <c r="IA38" s="269"/>
      <c r="IB38" s="269"/>
      <c r="IC38" s="269"/>
      <c r="ID38" s="314">
        <f>-IB38+IC38</f>
        <v>0</v>
      </c>
      <c r="IE38" s="269"/>
      <c r="IF38" s="269"/>
      <c r="IG38" s="269"/>
      <c r="IH38" s="314">
        <f>-IF38+IG38</f>
        <v>0</v>
      </c>
      <c r="II38" s="269"/>
      <c r="IJ38" s="269"/>
      <c r="IK38" s="269"/>
      <c r="IL38" s="314">
        <f>-IJ38+IK38</f>
        <v>0</v>
      </c>
      <c r="IM38" s="269"/>
      <c r="IN38" s="269"/>
      <c r="IO38" s="269"/>
      <c r="IP38" s="314">
        <f>-IN38+IO38</f>
        <v>0</v>
      </c>
      <c r="IQ38" s="277">
        <f t="shared" si="132"/>
        <v>65</v>
      </c>
      <c r="IR38" s="277">
        <f t="shared" si="132"/>
        <v>65</v>
      </c>
      <c r="IS38" s="277">
        <f t="shared" si="132"/>
        <v>40.08</v>
      </c>
      <c r="IT38" s="277">
        <f t="shared" si="132"/>
        <v>-24.92</v>
      </c>
    </row>
    <row r="39" spans="1:254" ht="21.95" customHeight="1" thickBot="1">
      <c r="A39" s="429"/>
      <c r="B39" s="411"/>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c r="BE39" s="278"/>
      <c r="BF39" s="278"/>
      <c r="BG39" s="278"/>
      <c r="BH39" s="278"/>
      <c r="BI39" s="278"/>
      <c r="BJ39" s="278"/>
      <c r="BK39" s="278"/>
      <c r="BL39" s="278"/>
      <c r="BM39" s="278"/>
      <c r="BN39" s="278"/>
      <c r="BO39" s="278"/>
      <c r="BP39" s="278"/>
      <c r="BQ39" s="278"/>
      <c r="BR39" s="278"/>
      <c r="BS39" s="278"/>
      <c r="BT39" s="278"/>
      <c r="BU39" s="278"/>
      <c r="BV39" s="278"/>
      <c r="BW39" s="278"/>
      <c r="BX39" s="278"/>
      <c r="BY39" s="278"/>
      <c r="BZ39" s="278"/>
      <c r="CA39" s="278"/>
      <c r="CB39" s="278"/>
      <c r="CC39" s="278"/>
      <c r="CD39" s="278"/>
      <c r="CE39" s="278"/>
      <c r="CF39" s="278"/>
      <c r="CG39" s="278"/>
      <c r="CH39" s="278"/>
      <c r="CI39" s="278"/>
      <c r="CJ39" s="278"/>
      <c r="CK39" s="278"/>
      <c r="CL39" s="278"/>
      <c r="CM39" s="278"/>
      <c r="CN39" s="278"/>
      <c r="CO39" s="278"/>
      <c r="CP39" s="278"/>
      <c r="CQ39" s="278"/>
      <c r="CR39" s="278"/>
      <c r="CS39" s="278"/>
      <c r="CT39" s="278"/>
      <c r="CU39" s="278"/>
      <c r="CV39" s="278"/>
      <c r="CW39" s="278"/>
      <c r="CX39" s="278"/>
      <c r="CY39" s="278"/>
      <c r="CZ39" s="278"/>
      <c r="DA39" s="278"/>
      <c r="DB39" s="278"/>
      <c r="DC39" s="278"/>
      <c r="DD39" s="278"/>
      <c r="DE39" s="278"/>
      <c r="DF39" s="278"/>
      <c r="DG39" s="278"/>
      <c r="DH39" s="278"/>
      <c r="DI39" s="278"/>
      <c r="DJ39" s="278"/>
      <c r="DK39" s="278"/>
      <c r="DL39" s="278"/>
      <c r="DM39" s="278"/>
      <c r="DN39" s="278"/>
      <c r="DO39" s="278"/>
      <c r="DP39" s="278"/>
      <c r="DQ39" s="278"/>
      <c r="DR39" s="278"/>
      <c r="DS39" s="278"/>
      <c r="DT39" s="278"/>
      <c r="DU39" s="278"/>
      <c r="DV39" s="278"/>
      <c r="DW39" s="278"/>
      <c r="DX39" s="278"/>
      <c r="DY39" s="278"/>
      <c r="DZ39" s="278"/>
      <c r="EA39" s="278"/>
      <c r="EB39" s="278"/>
      <c r="EC39" s="278"/>
      <c r="ED39" s="278"/>
      <c r="EE39" s="278"/>
      <c r="EF39" s="278"/>
      <c r="EG39" s="278"/>
      <c r="EH39" s="278"/>
      <c r="EI39" s="278"/>
      <c r="EJ39" s="278"/>
      <c r="EK39" s="278"/>
      <c r="EL39" s="278"/>
      <c r="EM39" s="278"/>
      <c r="EN39" s="278"/>
      <c r="EO39" s="278"/>
      <c r="EP39" s="278"/>
      <c r="EQ39" s="278"/>
      <c r="ER39" s="278"/>
      <c r="ES39" s="278"/>
      <c r="ET39" s="278"/>
      <c r="EU39" s="278"/>
      <c r="EV39" s="278"/>
      <c r="EW39" s="278"/>
      <c r="EX39" s="278"/>
      <c r="EY39" s="278"/>
      <c r="EZ39" s="278"/>
      <c r="FA39" s="278"/>
      <c r="FB39" s="278"/>
      <c r="FC39" s="278"/>
      <c r="FD39" s="278"/>
      <c r="FE39" s="278"/>
      <c r="FF39" s="278"/>
      <c r="FG39" s="278"/>
      <c r="FH39" s="278"/>
      <c r="FI39" s="278"/>
      <c r="FJ39" s="278"/>
      <c r="FK39" s="278"/>
      <c r="FL39" s="278"/>
      <c r="FM39" s="278"/>
      <c r="FN39" s="278"/>
      <c r="FO39" s="278"/>
      <c r="FP39" s="278"/>
      <c r="FQ39" s="278"/>
      <c r="FR39" s="278"/>
      <c r="FS39" s="278"/>
      <c r="FT39" s="278"/>
      <c r="FU39" s="278"/>
      <c r="FV39" s="278"/>
      <c r="FW39" s="278"/>
      <c r="FX39" s="278"/>
      <c r="FY39" s="278"/>
      <c r="FZ39" s="278"/>
      <c r="GA39" s="278"/>
      <c r="GB39" s="278"/>
      <c r="GC39" s="278"/>
      <c r="GD39" s="278"/>
      <c r="GE39" s="278"/>
      <c r="GF39" s="278"/>
      <c r="GG39" s="278"/>
      <c r="GH39" s="278"/>
      <c r="GI39" s="278"/>
      <c r="GJ39" s="278"/>
      <c r="GK39" s="278"/>
      <c r="GL39" s="278"/>
      <c r="GM39" s="278"/>
      <c r="GN39" s="278"/>
      <c r="GO39" s="278"/>
      <c r="GP39" s="278"/>
      <c r="GQ39" s="278"/>
      <c r="GR39" s="278"/>
      <c r="GS39" s="278"/>
      <c r="GT39" s="278"/>
      <c r="GU39" s="278"/>
      <c r="GV39" s="278"/>
      <c r="GW39" s="278"/>
      <c r="GX39" s="278"/>
      <c r="GY39" s="278"/>
      <c r="GZ39" s="278"/>
      <c r="HA39" s="278"/>
      <c r="HB39" s="278"/>
      <c r="HC39" s="278"/>
      <c r="HD39" s="278"/>
      <c r="HE39" s="278"/>
      <c r="HF39" s="278"/>
      <c r="HG39" s="278"/>
      <c r="HH39" s="278"/>
      <c r="HI39" s="278"/>
      <c r="HJ39" s="278"/>
      <c r="HK39" s="278"/>
      <c r="HL39" s="278"/>
      <c r="HM39" s="278"/>
      <c r="HN39" s="278"/>
      <c r="HO39" s="278"/>
      <c r="HP39" s="278"/>
      <c r="HQ39" s="278"/>
      <c r="HR39" s="278"/>
      <c r="HS39" s="278"/>
      <c r="HT39" s="278"/>
      <c r="HU39" s="278"/>
      <c r="HV39" s="278"/>
      <c r="HW39" s="278"/>
      <c r="HX39" s="278"/>
      <c r="HY39" s="278"/>
      <c r="HZ39" s="278"/>
      <c r="IA39" s="278"/>
      <c r="IB39" s="278"/>
      <c r="IC39" s="278"/>
      <c r="ID39" s="278"/>
      <c r="IE39" s="278"/>
      <c r="IF39" s="278"/>
      <c r="IG39" s="278"/>
      <c r="IH39" s="278"/>
      <c r="II39" s="278"/>
      <c r="IJ39" s="278"/>
      <c r="IK39" s="278"/>
      <c r="IL39" s="278"/>
      <c r="IM39" s="278"/>
      <c r="IN39" s="278"/>
      <c r="IO39" s="278"/>
      <c r="IP39" s="278"/>
      <c r="IQ39" s="278"/>
      <c r="IR39" s="278"/>
      <c r="IS39" s="278"/>
      <c r="IT39" s="278"/>
    </row>
    <row r="40" spans="1:254" ht="21.95" customHeight="1">
      <c r="A40" s="429"/>
      <c r="B40" s="430" t="s">
        <v>130</v>
      </c>
      <c r="C40" s="277">
        <f t="shared" ref="C40:AH40" si="133">SUM(C9:C39)</f>
        <v>6425</v>
      </c>
      <c r="D40" s="277">
        <f t="shared" si="133"/>
        <v>6425</v>
      </c>
      <c r="E40" s="277">
        <f t="shared" si="133"/>
        <v>10561.429999999998</v>
      </c>
      <c r="F40" s="277">
        <f t="shared" si="133"/>
        <v>4136.4299999999994</v>
      </c>
      <c r="G40" s="277">
        <f t="shared" si="133"/>
        <v>15125</v>
      </c>
      <c r="H40" s="277">
        <f t="shared" si="133"/>
        <v>15125</v>
      </c>
      <c r="I40" s="277">
        <f t="shared" si="133"/>
        <v>15702.73</v>
      </c>
      <c r="J40" s="277">
        <f t="shared" si="133"/>
        <v>577.73000000000013</v>
      </c>
      <c r="K40" s="277">
        <f t="shared" si="133"/>
        <v>492</v>
      </c>
      <c r="L40" s="277">
        <f t="shared" si="133"/>
        <v>492</v>
      </c>
      <c r="M40" s="277">
        <f t="shared" si="133"/>
        <v>11.18</v>
      </c>
      <c r="N40" s="277">
        <f t="shared" si="133"/>
        <v>-480.82</v>
      </c>
      <c r="O40" s="277">
        <f t="shared" si="133"/>
        <v>0</v>
      </c>
      <c r="P40" s="277">
        <f t="shared" si="133"/>
        <v>0</v>
      </c>
      <c r="Q40" s="277">
        <f t="shared" si="133"/>
        <v>0</v>
      </c>
      <c r="R40" s="277">
        <f t="shared" si="133"/>
        <v>0</v>
      </c>
      <c r="S40" s="277">
        <f t="shared" si="133"/>
        <v>0</v>
      </c>
      <c r="T40" s="277">
        <f t="shared" si="133"/>
        <v>0</v>
      </c>
      <c r="U40" s="277">
        <f t="shared" si="133"/>
        <v>0</v>
      </c>
      <c r="V40" s="277">
        <f t="shared" si="133"/>
        <v>0</v>
      </c>
      <c r="W40" s="277">
        <f t="shared" si="133"/>
        <v>0</v>
      </c>
      <c r="X40" s="277">
        <f t="shared" si="133"/>
        <v>0</v>
      </c>
      <c r="Y40" s="277">
        <f t="shared" si="133"/>
        <v>0</v>
      </c>
      <c r="Z40" s="277">
        <f t="shared" si="133"/>
        <v>0</v>
      </c>
      <c r="AA40" s="277">
        <f t="shared" si="133"/>
        <v>0</v>
      </c>
      <c r="AB40" s="277">
        <f t="shared" si="133"/>
        <v>0</v>
      </c>
      <c r="AC40" s="277">
        <f t="shared" si="133"/>
        <v>0</v>
      </c>
      <c r="AD40" s="277">
        <f t="shared" si="133"/>
        <v>0</v>
      </c>
      <c r="AE40" s="277">
        <f t="shared" si="133"/>
        <v>0</v>
      </c>
      <c r="AF40" s="277">
        <f t="shared" si="133"/>
        <v>0</v>
      </c>
      <c r="AG40" s="277">
        <f t="shared" si="133"/>
        <v>0</v>
      </c>
      <c r="AH40" s="277">
        <f t="shared" si="133"/>
        <v>0</v>
      </c>
      <c r="AI40" s="277">
        <f t="shared" ref="AI40:BN40" si="134">SUM(AI9:AI39)</f>
        <v>0</v>
      </c>
      <c r="AJ40" s="277">
        <f t="shared" si="134"/>
        <v>0</v>
      </c>
      <c r="AK40" s="277">
        <f t="shared" si="134"/>
        <v>0</v>
      </c>
      <c r="AL40" s="277">
        <f t="shared" si="134"/>
        <v>0</v>
      </c>
      <c r="AM40" s="277">
        <f t="shared" si="134"/>
        <v>0</v>
      </c>
      <c r="AN40" s="277">
        <f t="shared" si="134"/>
        <v>0</v>
      </c>
      <c r="AO40" s="277">
        <f t="shared" si="134"/>
        <v>0</v>
      </c>
      <c r="AP40" s="277">
        <f t="shared" si="134"/>
        <v>0</v>
      </c>
      <c r="AQ40" s="277">
        <f t="shared" si="134"/>
        <v>0</v>
      </c>
      <c r="AR40" s="277">
        <f t="shared" si="134"/>
        <v>0</v>
      </c>
      <c r="AS40" s="277">
        <f t="shared" si="134"/>
        <v>0</v>
      </c>
      <c r="AT40" s="277">
        <f t="shared" si="134"/>
        <v>0</v>
      </c>
      <c r="AU40" s="277">
        <f t="shared" si="134"/>
        <v>0</v>
      </c>
      <c r="AV40" s="277">
        <f t="shared" si="134"/>
        <v>0</v>
      </c>
      <c r="AW40" s="277">
        <f t="shared" si="134"/>
        <v>0</v>
      </c>
      <c r="AX40" s="277">
        <f t="shared" si="134"/>
        <v>0</v>
      </c>
      <c r="AY40" s="277">
        <f t="shared" si="134"/>
        <v>0</v>
      </c>
      <c r="AZ40" s="277">
        <f t="shared" si="134"/>
        <v>0</v>
      </c>
      <c r="BA40" s="277">
        <f t="shared" si="134"/>
        <v>0</v>
      </c>
      <c r="BB40" s="277">
        <f t="shared" si="134"/>
        <v>0</v>
      </c>
      <c r="BC40" s="277">
        <f t="shared" si="134"/>
        <v>0</v>
      </c>
      <c r="BD40" s="277">
        <f t="shared" si="134"/>
        <v>0</v>
      </c>
      <c r="BE40" s="277">
        <f t="shared" si="134"/>
        <v>0</v>
      </c>
      <c r="BF40" s="277">
        <f t="shared" si="134"/>
        <v>0</v>
      </c>
      <c r="BG40" s="277">
        <f t="shared" si="134"/>
        <v>0</v>
      </c>
      <c r="BH40" s="277">
        <f t="shared" si="134"/>
        <v>0</v>
      </c>
      <c r="BI40" s="277">
        <f t="shared" si="134"/>
        <v>0</v>
      </c>
      <c r="BJ40" s="277">
        <f t="shared" si="134"/>
        <v>0</v>
      </c>
      <c r="BK40" s="277">
        <f t="shared" si="134"/>
        <v>0</v>
      </c>
      <c r="BL40" s="277">
        <f t="shared" si="134"/>
        <v>0</v>
      </c>
      <c r="BM40" s="277">
        <f t="shared" si="134"/>
        <v>0</v>
      </c>
      <c r="BN40" s="277">
        <f t="shared" si="134"/>
        <v>0</v>
      </c>
      <c r="BO40" s="277">
        <f t="shared" ref="BO40:CT40" si="135">SUM(BO9:BO39)</f>
        <v>0</v>
      </c>
      <c r="BP40" s="277">
        <f t="shared" si="135"/>
        <v>0</v>
      </c>
      <c r="BQ40" s="277">
        <f t="shared" si="135"/>
        <v>0</v>
      </c>
      <c r="BR40" s="277">
        <f t="shared" si="135"/>
        <v>0</v>
      </c>
      <c r="BS40" s="277">
        <f t="shared" si="135"/>
        <v>0</v>
      </c>
      <c r="BT40" s="277">
        <f t="shared" si="135"/>
        <v>0</v>
      </c>
      <c r="BU40" s="277">
        <f t="shared" si="135"/>
        <v>0</v>
      </c>
      <c r="BV40" s="277">
        <f t="shared" si="135"/>
        <v>0</v>
      </c>
      <c r="BW40" s="277">
        <f t="shared" si="135"/>
        <v>0</v>
      </c>
      <c r="BX40" s="277">
        <f t="shared" si="135"/>
        <v>0</v>
      </c>
      <c r="BY40" s="277">
        <f t="shared" si="135"/>
        <v>0</v>
      </c>
      <c r="BZ40" s="277">
        <f t="shared" si="135"/>
        <v>0</v>
      </c>
      <c r="CA40" s="277">
        <f t="shared" si="135"/>
        <v>0</v>
      </c>
      <c r="CB40" s="277">
        <f t="shared" si="135"/>
        <v>0</v>
      </c>
      <c r="CC40" s="277">
        <f t="shared" si="135"/>
        <v>0</v>
      </c>
      <c r="CD40" s="277">
        <f t="shared" si="135"/>
        <v>0</v>
      </c>
      <c r="CE40" s="277">
        <f t="shared" si="135"/>
        <v>0</v>
      </c>
      <c r="CF40" s="277">
        <f t="shared" si="135"/>
        <v>0</v>
      </c>
      <c r="CG40" s="277">
        <f t="shared" si="135"/>
        <v>0</v>
      </c>
      <c r="CH40" s="277">
        <f t="shared" si="135"/>
        <v>0</v>
      </c>
      <c r="CI40" s="277">
        <f t="shared" si="135"/>
        <v>0</v>
      </c>
      <c r="CJ40" s="277">
        <f t="shared" si="135"/>
        <v>0</v>
      </c>
      <c r="CK40" s="277">
        <f t="shared" si="135"/>
        <v>0</v>
      </c>
      <c r="CL40" s="277">
        <f t="shared" si="135"/>
        <v>0</v>
      </c>
      <c r="CM40" s="277">
        <f t="shared" si="135"/>
        <v>0</v>
      </c>
      <c r="CN40" s="277">
        <f t="shared" si="135"/>
        <v>0</v>
      </c>
      <c r="CO40" s="277">
        <f t="shared" si="135"/>
        <v>0</v>
      </c>
      <c r="CP40" s="277">
        <f t="shared" si="135"/>
        <v>0</v>
      </c>
      <c r="CQ40" s="277">
        <f t="shared" si="135"/>
        <v>0</v>
      </c>
      <c r="CR40" s="277">
        <f t="shared" si="135"/>
        <v>0</v>
      </c>
      <c r="CS40" s="277">
        <f t="shared" si="135"/>
        <v>0</v>
      </c>
      <c r="CT40" s="277">
        <f t="shared" si="135"/>
        <v>0</v>
      </c>
      <c r="CU40" s="277">
        <f t="shared" ref="CU40:DZ40" si="136">SUM(CU9:CU39)</f>
        <v>0</v>
      </c>
      <c r="CV40" s="277">
        <f t="shared" si="136"/>
        <v>0</v>
      </c>
      <c r="CW40" s="277">
        <f t="shared" si="136"/>
        <v>0</v>
      </c>
      <c r="CX40" s="277">
        <f t="shared" si="136"/>
        <v>0</v>
      </c>
      <c r="CY40" s="277">
        <f t="shared" si="136"/>
        <v>0</v>
      </c>
      <c r="CZ40" s="277">
        <f t="shared" si="136"/>
        <v>0</v>
      </c>
      <c r="DA40" s="277">
        <f t="shared" si="136"/>
        <v>0</v>
      </c>
      <c r="DB40" s="277">
        <f t="shared" si="136"/>
        <v>0</v>
      </c>
      <c r="DC40" s="277">
        <f t="shared" si="136"/>
        <v>0</v>
      </c>
      <c r="DD40" s="277">
        <f t="shared" si="136"/>
        <v>0</v>
      </c>
      <c r="DE40" s="277">
        <f t="shared" si="136"/>
        <v>0</v>
      </c>
      <c r="DF40" s="277">
        <f t="shared" si="136"/>
        <v>0</v>
      </c>
      <c r="DG40" s="277">
        <f t="shared" si="136"/>
        <v>0</v>
      </c>
      <c r="DH40" s="277">
        <f t="shared" si="136"/>
        <v>0</v>
      </c>
      <c r="DI40" s="277">
        <f t="shared" si="136"/>
        <v>0</v>
      </c>
      <c r="DJ40" s="277">
        <f t="shared" si="136"/>
        <v>0</v>
      </c>
      <c r="DK40" s="277">
        <f t="shared" si="136"/>
        <v>0</v>
      </c>
      <c r="DL40" s="277">
        <f t="shared" si="136"/>
        <v>0</v>
      </c>
      <c r="DM40" s="277">
        <f t="shared" si="136"/>
        <v>0</v>
      </c>
      <c r="DN40" s="277">
        <f t="shared" si="136"/>
        <v>0</v>
      </c>
      <c r="DO40" s="277">
        <f t="shared" si="136"/>
        <v>0</v>
      </c>
      <c r="DP40" s="277">
        <f t="shared" si="136"/>
        <v>0</v>
      </c>
      <c r="DQ40" s="277">
        <f t="shared" si="136"/>
        <v>0</v>
      </c>
      <c r="DR40" s="277">
        <f t="shared" si="136"/>
        <v>0</v>
      </c>
      <c r="DS40" s="277">
        <f t="shared" si="136"/>
        <v>0</v>
      </c>
      <c r="DT40" s="277">
        <f t="shared" si="136"/>
        <v>0</v>
      </c>
      <c r="DU40" s="277">
        <f t="shared" si="136"/>
        <v>0</v>
      </c>
      <c r="DV40" s="277">
        <f t="shared" si="136"/>
        <v>0</v>
      </c>
      <c r="DW40" s="277">
        <f t="shared" si="136"/>
        <v>0</v>
      </c>
      <c r="DX40" s="277">
        <f t="shared" si="136"/>
        <v>0</v>
      </c>
      <c r="DY40" s="277">
        <f t="shared" si="136"/>
        <v>0</v>
      </c>
      <c r="DZ40" s="277">
        <f t="shared" si="136"/>
        <v>0</v>
      </c>
      <c r="EA40" s="277">
        <f t="shared" ref="EA40:FF40" si="137">SUM(EA9:EA39)</f>
        <v>0</v>
      </c>
      <c r="EB40" s="277">
        <f t="shared" si="137"/>
        <v>0</v>
      </c>
      <c r="EC40" s="277">
        <f t="shared" si="137"/>
        <v>0</v>
      </c>
      <c r="ED40" s="277">
        <f t="shared" si="137"/>
        <v>0</v>
      </c>
      <c r="EE40" s="277">
        <f t="shared" si="137"/>
        <v>0</v>
      </c>
      <c r="EF40" s="277">
        <f t="shared" si="137"/>
        <v>0</v>
      </c>
      <c r="EG40" s="277">
        <f t="shared" si="137"/>
        <v>0</v>
      </c>
      <c r="EH40" s="277">
        <f t="shared" si="137"/>
        <v>0</v>
      </c>
      <c r="EI40" s="277">
        <f t="shared" si="137"/>
        <v>0</v>
      </c>
      <c r="EJ40" s="277">
        <f t="shared" si="137"/>
        <v>0</v>
      </c>
      <c r="EK40" s="277">
        <f t="shared" si="137"/>
        <v>0</v>
      </c>
      <c r="EL40" s="277">
        <f t="shared" si="137"/>
        <v>0</v>
      </c>
      <c r="EM40" s="277">
        <f t="shared" si="137"/>
        <v>0</v>
      </c>
      <c r="EN40" s="277">
        <f t="shared" si="137"/>
        <v>0</v>
      </c>
      <c r="EO40" s="277">
        <f t="shared" si="137"/>
        <v>0</v>
      </c>
      <c r="EP40" s="277">
        <f t="shared" si="137"/>
        <v>0</v>
      </c>
      <c r="EQ40" s="277">
        <f t="shared" si="137"/>
        <v>0</v>
      </c>
      <c r="ER40" s="277">
        <f t="shared" si="137"/>
        <v>0</v>
      </c>
      <c r="ES40" s="277">
        <f t="shared" si="137"/>
        <v>0</v>
      </c>
      <c r="ET40" s="277">
        <f t="shared" si="137"/>
        <v>0</v>
      </c>
      <c r="EU40" s="277">
        <f t="shared" si="137"/>
        <v>0</v>
      </c>
      <c r="EV40" s="277">
        <f t="shared" si="137"/>
        <v>0</v>
      </c>
      <c r="EW40" s="277">
        <f t="shared" si="137"/>
        <v>0</v>
      </c>
      <c r="EX40" s="277">
        <f t="shared" si="137"/>
        <v>0</v>
      </c>
      <c r="EY40" s="277">
        <f t="shared" si="137"/>
        <v>0</v>
      </c>
      <c r="EZ40" s="277">
        <f t="shared" si="137"/>
        <v>0</v>
      </c>
      <c r="FA40" s="277">
        <f t="shared" si="137"/>
        <v>0</v>
      </c>
      <c r="FB40" s="277">
        <f t="shared" si="137"/>
        <v>0</v>
      </c>
      <c r="FC40" s="277">
        <f t="shared" si="137"/>
        <v>0</v>
      </c>
      <c r="FD40" s="277">
        <f t="shared" si="137"/>
        <v>0</v>
      </c>
      <c r="FE40" s="277">
        <f t="shared" si="137"/>
        <v>0</v>
      </c>
      <c r="FF40" s="277">
        <f t="shared" si="137"/>
        <v>0</v>
      </c>
      <c r="FG40" s="277">
        <f t="shared" ref="FG40:GL40" si="138">SUM(FG9:FG39)</f>
        <v>0</v>
      </c>
      <c r="FH40" s="277">
        <f t="shared" si="138"/>
        <v>0</v>
      </c>
      <c r="FI40" s="277">
        <f t="shared" si="138"/>
        <v>0</v>
      </c>
      <c r="FJ40" s="277">
        <f t="shared" si="138"/>
        <v>0</v>
      </c>
      <c r="FK40" s="277">
        <f t="shared" si="138"/>
        <v>0</v>
      </c>
      <c r="FL40" s="277">
        <f t="shared" si="138"/>
        <v>0</v>
      </c>
      <c r="FM40" s="277">
        <f t="shared" si="138"/>
        <v>0</v>
      </c>
      <c r="FN40" s="277">
        <f t="shared" si="138"/>
        <v>0</v>
      </c>
      <c r="FO40" s="277">
        <f t="shared" si="138"/>
        <v>0</v>
      </c>
      <c r="FP40" s="277">
        <f t="shared" si="138"/>
        <v>0</v>
      </c>
      <c r="FQ40" s="277">
        <f t="shared" si="138"/>
        <v>0</v>
      </c>
      <c r="FR40" s="277">
        <f t="shared" si="138"/>
        <v>0</v>
      </c>
      <c r="FS40" s="277">
        <f t="shared" si="138"/>
        <v>0</v>
      </c>
      <c r="FT40" s="277">
        <f t="shared" si="138"/>
        <v>0</v>
      </c>
      <c r="FU40" s="277">
        <f t="shared" si="138"/>
        <v>0</v>
      </c>
      <c r="FV40" s="277">
        <f t="shared" si="138"/>
        <v>0</v>
      </c>
      <c r="FW40" s="277">
        <f t="shared" si="138"/>
        <v>0</v>
      </c>
      <c r="FX40" s="277">
        <f t="shared" si="138"/>
        <v>0</v>
      </c>
      <c r="FY40" s="277">
        <f t="shared" si="138"/>
        <v>0</v>
      </c>
      <c r="FZ40" s="277">
        <f t="shared" si="138"/>
        <v>0</v>
      </c>
      <c r="GA40" s="277">
        <f t="shared" si="138"/>
        <v>0</v>
      </c>
      <c r="GB40" s="277">
        <f t="shared" si="138"/>
        <v>0</v>
      </c>
      <c r="GC40" s="277">
        <f t="shared" si="138"/>
        <v>0</v>
      </c>
      <c r="GD40" s="277">
        <f t="shared" si="138"/>
        <v>0</v>
      </c>
      <c r="GE40" s="277">
        <f t="shared" si="138"/>
        <v>0</v>
      </c>
      <c r="GF40" s="277">
        <f t="shared" si="138"/>
        <v>0</v>
      </c>
      <c r="GG40" s="277">
        <f t="shared" si="138"/>
        <v>0</v>
      </c>
      <c r="GH40" s="277">
        <f t="shared" si="138"/>
        <v>0</v>
      </c>
      <c r="GI40" s="277">
        <f t="shared" si="138"/>
        <v>0</v>
      </c>
      <c r="GJ40" s="277">
        <f t="shared" si="138"/>
        <v>0</v>
      </c>
      <c r="GK40" s="277">
        <f t="shared" si="138"/>
        <v>0</v>
      </c>
      <c r="GL40" s="277">
        <f t="shared" si="138"/>
        <v>0</v>
      </c>
      <c r="GM40" s="277">
        <f t="shared" ref="GM40:HR40" si="139">SUM(GM9:GM39)</f>
        <v>0</v>
      </c>
      <c r="GN40" s="277">
        <f t="shared" si="139"/>
        <v>0</v>
      </c>
      <c r="GO40" s="277">
        <f t="shared" si="139"/>
        <v>0</v>
      </c>
      <c r="GP40" s="277">
        <f t="shared" si="139"/>
        <v>0</v>
      </c>
      <c r="GQ40" s="277">
        <f t="shared" si="139"/>
        <v>0</v>
      </c>
      <c r="GR40" s="277">
        <f t="shared" si="139"/>
        <v>0</v>
      </c>
      <c r="GS40" s="277">
        <f t="shared" si="139"/>
        <v>0</v>
      </c>
      <c r="GT40" s="277">
        <f t="shared" si="139"/>
        <v>0</v>
      </c>
      <c r="GU40" s="277">
        <f t="shared" si="139"/>
        <v>0</v>
      </c>
      <c r="GV40" s="277">
        <f t="shared" si="139"/>
        <v>0</v>
      </c>
      <c r="GW40" s="277">
        <f t="shared" si="139"/>
        <v>0</v>
      </c>
      <c r="GX40" s="277">
        <f t="shared" si="139"/>
        <v>0</v>
      </c>
      <c r="GY40" s="277">
        <f t="shared" si="139"/>
        <v>0</v>
      </c>
      <c r="GZ40" s="277">
        <f t="shared" si="139"/>
        <v>0</v>
      </c>
      <c r="HA40" s="277">
        <f t="shared" si="139"/>
        <v>0</v>
      </c>
      <c r="HB40" s="277">
        <f t="shared" si="139"/>
        <v>0</v>
      </c>
      <c r="HC40" s="277">
        <f t="shared" si="139"/>
        <v>0</v>
      </c>
      <c r="HD40" s="277">
        <f t="shared" si="139"/>
        <v>0</v>
      </c>
      <c r="HE40" s="277">
        <f t="shared" si="139"/>
        <v>0</v>
      </c>
      <c r="HF40" s="277">
        <f t="shared" si="139"/>
        <v>0</v>
      </c>
      <c r="HG40" s="277">
        <f t="shared" si="139"/>
        <v>0</v>
      </c>
      <c r="HH40" s="277">
        <f t="shared" si="139"/>
        <v>0</v>
      </c>
      <c r="HI40" s="277">
        <f t="shared" si="139"/>
        <v>0</v>
      </c>
      <c r="HJ40" s="277">
        <f t="shared" si="139"/>
        <v>0</v>
      </c>
      <c r="HK40" s="277">
        <f t="shared" si="139"/>
        <v>0</v>
      </c>
      <c r="HL40" s="277">
        <f t="shared" si="139"/>
        <v>0</v>
      </c>
      <c r="HM40" s="277">
        <f t="shared" si="139"/>
        <v>0</v>
      </c>
      <c r="HN40" s="277">
        <f t="shared" si="139"/>
        <v>0</v>
      </c>
      <c r="HO40" s="277">
        <f t="shared" si="139"/>
        <v>0</v>
      </c>
      <c r="HP40" s="277">
        <f t="shared" si="139"/>
        <v>0</v>
      </c>
      <c r="HQ40" s="277">
        <f t="shared" si="139"/>
        <v>0</v>
      </c>
      <c r="HR40" s="277">
        <f t="shared" si="139"/>
        <v>0</v>
      </c>
      <c r="HS40" s="277">
        <f t="shared" ref="HS40:IP40" si="140">SUM(HS9:HS39)</f>
        <v>0</v>
      </c>
      <c r="HT40" s="277">
        <f t="shared" si="140"/>
        <v>0</v>
      </c>
      <c r="HU40" s="277">
        <f t="shared" si="140"/>
        <v>0</v>
      </c>
      <c r="HV40" s="277">
        <f t="shared" si="140"/>
        <v>0</v>
      </c>
      <c r="HW40" s="277">
        <f t="shared" si="140"/>
        <v>0</v>
      </c>
      <c r="HX40" s="277">
        <f t="shared" si="140"/>
        <v>0</v>
      </c>
      <c r="HY40" s="277">
        <f t="shared" si="140"/>
        <v>0</v>
      </c>
      <c r="HZ40" s="277">
        <f t="shared" si="140"/>
        <v>0</v>
      </c>
      <c r="IA40" s="277">
        <f t="shared" si="140"/>
        <v>0</v>
      </c>
      <c r="IB40" s="277">
        <f t="shared" si="140"/>
        <v>0</v>
      </c>
      <c r="IC40" s="277">
        <f t="shared" si="140"/>
        <v>0</v>
      </c>
      <c r="ID40" s="277">
        <f t="shared" si="140"/>
        <v>0</v>
      </c>
      <c r="IE40" s="277">
        <f t="shared" si="140"/>
        <v>0</v>
      </c>
      <c r="IF40" s="277">
        <f t="shared" si="140"/>
        <v>0</v>
      </c>
      <c r="IG40" s="277">
        <f t="shared" si="140"/>
        <v>0</v>
      </c>
      <c r="IH40" s="277">
        <f t="shared" si="140"/>
        <v>0</v>
      </c>
      <c r="II40" s="277">
        <f t="shared" si="140"/>
        <v>0</v>
      </c>
      <c r="IJ40" s="277">
        <f t="shared" si="140"/>
        <v>0</v>
      </c>
      <c r="IK40" s="277">
        <f t="shared" si="140"/>
        <v>0</v>
      </c>
      <c r="IL40" s="277">
        <f t="shared" si="140"/>
        <v>0</v>
      </c>
      <c r="IM40" s="277">
        <f t="shared" si="140"/>
        <v>0</v>
      </c>
      <c r="IN40" s="277">
        <f t="shared" si="140"/>
        <v>0</v>
      </c>
      <c r="IO40" s="277">
        <f t="shared" si="140"/>
        <v>0</v>
      </c>
      <c r="IP40" s="277">
        <f t="shared" si="140"/>
        <v>0</v>
      </c>
      <c r="IQ40" s="277">
        <f>+C40+G40+K40+O40+S40+W40+AA40+AE40+AI40+AM40+AQ40+AU40+AY40+BC40+BG40+BK40+BO40+BS40+BW40+CA40+CE40+CI40+CM40+CQ40+CU40+CY40+DC40+DG40+DK40+DO40+DS40+DW40+EA40+EE40+EI40+EM40+EQ40+EU40+EY40+FC40+FG40+FK40+FO40+FS40+FW40+GA40+GE40+GI40+GM40+GQ40+GU40+GY40+HC40+HG40+HK40+HO40+HS40+HW40+IA40+IE40+II40+IM40</f>
        <v>22042</v>
      </c>
      <c r="IR40" s="277">
        <f>+D40+H40+L40+P40+T40+X40+AB40+AF40+AJ40+AN40+AR40+AV40+AZ40+BD40+BH40+BL40+BP40+BT40+BX40+CB40+CF40+CJ40+CN40+CR40+CV40+CZ40+DD40+DH40+DL40+DP40+DT40+DX40+EB40+EF40+EJ40+EN40+ER40+EV40+EZ40+FD40+FH40+FL40+FP40+FT40+FX40+GB40+GF40+GJ40+GN40+GR40+GV40+GZ40+HD40+HH40+HL40+HP40+HT40+HX40+IB40+IF40+IJ40+IN40</f>
        <v>22042</v>
      </c>
      <c r="IS40" s="277">
        <f>+E40+I40+M40+Q40+U40+Y40+AC40+AG40+AK40+AO40+AS40+AW40+BA40+BE40+BI40+BM40+BQ40+BU40+BY40+CC40+CG40+CK40+CO40+CS40+CW40+DA40+DE40+DI40+DM40+DQ40+DU40+DY40+EC40+EG40+EK40+EO40+ES40+EW40+FA40+FE40+FI40+FM40+FQ40+FU40+FY40+GC40+GG40+GK40+GO40+GS40+GW40+HA40+HE40+HI40+HM40+HQ40+HU40+HY40+IC40+IG40+IK40+IO40</f>
        <v>26275.339999999997</v>
      </c>
      <c r="IT40" s="277">
        <f>+F40+J40+N40+R40+V40+Z40+AD40+AH40+AL40+AP40+AT40+AX40+BB40+BF40+BJ40+BN40+BR40+BV40+BZ40+CD40+CH40+CL40+CP40+CT40+CX40+DB40+DF40+DJ40+DN40+DR40+DV40+DZ40+ED40+EH40+EL40+EP40+ET40+EX40+FB40+FF40+FJ40+FN40+FR40+FV40+FZ40+GD40+GH40+GL40+GP40+GT40+GX40+HB40+HF40+HJ40+HN40+HR40+HV40+HZ40+ID40+IH40+IL40+IP40</f>
        <v>4233.34</v>
      </c>
    </row>
    <row r="41" spans="1:254" ht="20.100000000000001" customHeight="1">
      <c r="A41" s="300"/>
      <c r="B41" s="263"/>
      <c r="C41" s="422" t="s">
        <v>1339</v>
      </c>
      <c r="D41" s="427"/>
      <c r="E41" s="427"/>
      <c r="F41" s="427"/>
      <c r="G41" s="422" t="s">
        <v>1339</v>
      </c>
      <c r="H41" s="427"/>
      <c r="I41" s="427"/>
      <c r="J41" s="427"/>
      <c r="K41" s="422" t="s">
        <v>1339</v>
      </c>
      <c r="L41" s="427"/>
      <c r="M41" s="427"/>
      <c r="N41" s="427"/>
      <c r="O41" s="422" t="s">
        <v>1339</v>
      </c>
      <c r="P41" s="427"/>
      <c r="Q41" s="427"/>
      <c r="R41" s="427"/>
      <c r="S41" s="422" t="s">
        <v>1339</v>
      </c>
      <c r="T41" s="427"/>
      <c r="U41" s="427"/>
      <c r="V41" s="427"/>
      <c r="W41" s="422" t="s">
        <v>1339</v>
      </c>
      <c r="X41" s="427"/>
      <c r="Y41" s="427"/>
      <c r="Z41" s="427"/>
      <c r="AA41" s="422" t="s">
        <v>1339</v>
      </c>
      <c r="AB41" s="427"/>
      <c r="AC41" s="427"/>
      <c r="AD41" s="427"/>
      <c r="AE41" s="422" t="s">
        <v>1339</v>
      </c>
      <c r="AF41" s="427"/>
      <c r="AG41" s="427"/>
      <c r="AH41" s="427"/>
      <c r="AI41" s="422" t="s">
        <v>1339</v>
      </c>
      <c r="AJ41" s="427"/>
      <c r="AK41" s="427"/>
      <c r="AL41" s="427"/>
      <c r="AM41" s="422" t="s">
        <v>1339</v>
      </c>
      <c r="AN41" s="427"/>
      <c r="AO41" s="427"/>
      <c r="AP41" s="427"/>
      <c r="AQ41" s="422" t="s">
        <v>1339</v>
      </c>
      <c r="AR41" s="427"/>
      <c r="AS41" s="427"/>
      <c r="AT41" s="427"/>
      <c r="AU41" s="422" t="s">
        <v>1339</v>
      </c>
      <c r="AV41" s="427"/>
      <c r="AW41" s="427"/>
      <c r="AX41" s="427"/>
      <c r="AY41" s="422" t="s">
        <v>1339</v>
      </c>
      <c r="AZ41" s="427"/>
      <c r="BA41" s="427"/>
      <c r="BB41" s="427"/>
      <c r="BC41" s="422" t="s">
        <v>1339</v>
      </c>
      <c r="BD41" s="427"/>
      <c r="BE41" s="427"/>
      <c r="BF41" s="427"/>
      <c r="BG41" s="422" t="s">
        <v>1339</v>
      </c>
      <c r="BH41" s="427"/>
      <c r="BI41" s="427"/>
      <c r="BJ41" s="427"/>
      <c r="BK41" s="422" t="s">
        <v>1339</v>
      </c>
      <c r="BL41" s="427"/>
      <c r="BM41" s="427"/>
      <c r="BN41" s="427"/>
      <c r="BO41" s="422" t="s">
        <v>1339</v>
      </c>
      <c r="BP41" s="427"/>
      <c r="BQ41" s="427"/>
      <c r="BR41" s="427"/>
      <c r="BS41" s="422" t="s">
        <v>1339</v>
      </c>
      <c r="BT41" s="427"/>
      <c r="BU41" s="427"/>
      <c r="BV41" s="427"/>
      <c r="BW41" s="422" t="s">
        <v>1339</v>
      </c>
      <c r="BX41" s="427"/>
      <c r="BY41" s="427"/>
      <c r="BZ41" s="427"/>
      <c r="CA41" s="422" t="s">
        <v>1339</v>
      </c>
      <c r="CB41" s="427"/>
      <c r="CC41" s="427"/>
      <c r="CD41" s="427"/>
      <c r="CE41" s="422" t="s">
        <v>1339</v>
      </c>
      <c r="CF41" s="427"/>
      <c r="CG41" s="427"/>
      <c r="CH41" s="427"/>
      <c r="CI41" s="422" t="s">
        <v>1339</v>
      </c>
      <c r="CJ41" s="427"/>
      <c r="CK41" s="427"/>
      <c r="CL41" s="427"/>
      <c r="CM41" s="422" t="s">
        <v>1339</v>
      </c>
      <c r="CN41" s="427"/>
      <c r="CO41" s="427"/>
      <c r="CP41" s="427"/>
      <c r="CQ41" s="422" t="s">
        <v>1339</v>
      </c>
      <c r="CR41" s="427"/>
      <c r="CS41" s="427"/>
      <c r="CT41" s="427"/>
      <c r="CU41" s="422" t="s">
        <v>1339</v>
      </c>
      <c r="CV41" s="427"/>
      <c r="CW41" s="427"/>
      <c r="CX41" s="427"/>
      <c r="CY41" s="422" t="s">
        <v>1339</v>
      </c>
      <c r="CZ41" s="427"/>
      <c r="DA41" s="427"/>
      <c r="DB41" s="427"/>
      <c r="DC41" s="422" t="s">
        <v>1339</v>
      </c>
      <c r="DD41" s="427"/>
      <c r="DE41" s="427"/>
      <c r="DF41" s="427"/>
      <c r="DG41" s="422" t="s">
        <v>1339</v>
      </c>
      <c r="DH41" s="427"/>
      <c r="DI41" s="427"/>
      <c r="DJ41" s="427"/>
      <c r="DK41" s="422" t="s">
        <v>1339</v>
      </c>
      <c r="DL41" s="427"/>
      <c r="DM41" s="427"/>
      <c r="DN41" s="427"/>
      <c r="DO41" s="422" t="s">
        <v>1339</v>
      </c>
      <c r="DP41" s="427"/>
      <c r="DQ41" s="427"/>
      <c r="DR41" s="427"/>
      <c r="DS41" s="422" t="s">
        <v>1339</v>
      </c>
      <c r="DT41" s="427"/>
      <c r="DU41" s="427"/>
      <c r="DV41" s="427"/>
      <c r="DW41" s="422" t="s">
        <v>1339</v>
      </c>
      <c r="DX41" s="427"/>
      <c r="DY41" s="427"/>
      <c r="DZ41" s="427"/>
      <c r="EA41" s="422" t="s">
        <v>1339</v>
      </c>
      <c r="EB41" s="427"/>
      <c r="EC41" s="427"/>
      <c r="ED41" s="427"/>
      <c r="EE41" s="422" t="s">
        <v>1339</v>
      </c>
      <c r="EF41" s="427"/>
      <c r="EG41" s="427"/>
      <c r="EH41" s="427"/>
      <c r="EI41" s="422" t="s">
        <v>1339</v>
      </c>
      <c r="EJ41" s="427"/>
      <c r="EK41" s="427"/>
      <c r="EL41" s="427"/>
      <c r="EM41" s="422" t="s">
        <v>1339</v>
      </c>
      <c r="EN41" s="427"/>
      <c r="EO41" s="427"/>
      <c r="EP41" s="427"/>
      <c r="EQ41" s="422" t="s">
        <v>1339</v>
      </c>
      <c r="ER41" s="427"/>
      <c r="ES41" s="427"/>
      <c r="ET41" s="427"/>
      <c r="EU41" s="422" t="s">
        <v>1339</v>
      </c>
      <c r="EV41" s="427"/>
      <c r="EW41" s="427"/>
      <c r="EX41" s="427"/>
      <c r="EY41" s="422" t="s">
        <v>1339</v>
      </c>
      <c r="EZ41" s="427"/>
      <c r="FA41" s="427"/>
      <c r="FB41" s="427"/>
      <c r="FC41" s="422" t="s">
        <v>1339</v>
      </c>
      <c r="FD41" s="427"/>
      <c r="FE41" s="427"/>
      <c r="FF41" s="427"/>
      <c r="FG41" s="422" t="s">
        <v>1339</v>
      </c>
      <c r="FH41" s="427"/>
      <c r="FI41" s="427"/>
      <c r="FJ41" s="427"/>
      <c r="FK41" s="422" t="s">
        <v>1339</v>
      </c>
      <c r="FL41" s="427"/>
      <c r="FM41" s="427"/>
      <c r="FN41" s="427"/>
      <c r="FO41" s="422" t="s">
        <v>1339</v>
      </c>
      <c r="FP41" s="427"/>
      <c r="FQ41" s="427"/>
      <c r="FR41" s="427"/>
      <c r="FS41" s="422" t="s">
        <v>1339</v>
      </c>
      <c r="FT41" s="427"/>
      <c r="FU41" s="427"/>
      <c r="FV41" s="427"/>
      <c r="FW41" s="422" t="s">
        <v>1339</v>
      </c>
      <c r="FX41" s="427"/>
      <c r="FY41" s="427"/>
      <c r="FZ41" s="427"/>
      <c r="GA41" s="422" t="s">
        <v>1339</v>
      </c>
      <c r="GB41" s="427"/>
      <c r="GC41" s="427"/>
      <c r="GD41" s="427"/>
      <c r="GE41" s="422" t="s">
        <v>1339</v>
      </c>
      <c r="GF41" s="427"/>
      <c r="GG41" s="427"/>
      <c r="GH41" s="427"/>
      <c r="GI41" s="422" t="s">
        <v>1339</v>
      </c>
      <c r="GJ41" s="427"/>
      <c r="GK41" s="427"/>
      <c r="GL41" s="427"/>
      <c r="GM41" s="422" t="s">
        <v>1339</v>
      </c>
      <c r="GN41" s="427"/>
      <c r="GO41" s="427"/>
      <c r="GP41" s="427"/>
      <c r="GQ41" s="422" t="s">
        <v>1339</v>
      </c>
      <c r="GR41" s="427"/>
      <c r="GS41" s="427"/>
      <c r="GT41" s="427"/>
      <c r="GU41" s="422" t="s">
        <v>1339</v>
      </c>
      <c r="GV41" s="427"/>
      <c r="GW41" s="427"/>
      <c r="GX41" s="427"/>
      <c r="GY41" s="422" t="s">
        <v>1339</v>
      </c>
      <c r="GZ41" s="427"/>
      <c r="HA41" s="427"/>
      <c r="HB41" s="427"/>
      <c r="HC41" s="422" t="s">
        <v>1339</v>
      </c>
      <c r="HD41" s="427"/>
      <c r="HE41" s="427"/>
      <c r="HF41" s="427"/>
      <c r="HG41" s="422" t="s">
        <v>1339</v>
      </c>
      <c r="HH41" s="427"/>
      <c r="HI41" s="427"/>
      <c r="HJ41" s="427"/>
      <c r="HK41" s="422" t="s">
        <v>1339</v>
      </c>
      <c r="HL41" s="427"/>
      <c r="HM41" s="427"/>
      <c r="HN41" s="427"/>
      <c r="HO41" s="422" t="s">
        <v>1339</v>
      </c>
      <c r="HP41" s="427"/>
      <c r="HQ41" s="427"/>
      <c r="HR41" s="427"/>
      <c r="HS41" s="422" t="s">
        <v>1339</v>
      </c>
      <c r="HT41" s="427"/>
      <c r="HU41" s="427"/>
      <c r="HV41" s="427"/>
      <c r="HW41" s="422" t="s">
        <v>1339</v>
      </c>
      <c r="HX41" s="427"/>
      <c r="HY41" s="427"/>
      <c r="HZ41" s="427"/>
      <c r="IA41" s="422" t="s">
        <v>1339</v>
      </c>
      <c r="IB41" s="427"/>
      <c r="IC41" s="427"/>
      <c r="ID41" s="427"/>
      <c r="IE41" s="422" t="s">
        <v>1339</v>
      </c>
      <c r="IF41" s="427"/>
      <c r="IG41" s="427"/>
      <c r="IH41" s="427"/>
      <c r="II41" s="422" t="s">
        <v>1339</v>
      </c>
      <c r="IJ41" s="427"/>
      <c r="IK41" s="427"/>
      <c r="IL41" s="427"/>
      <c r="IM41" s="422" t="s">
        <v>1339</v>
      </c>
      <c r="IN41" s="427"/>
      <c r="IO41" s="427"/>
      <c r="IP41" s="427"/>
      <c r="IQ41" s="422" t="s">
        <v>3127</v>
      </c>
    </row>
    <row r="42" spans="1:254" ht="15">
      <c r="A42" s="300"/>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row>
    <row r="43" spans="1:254" ht="15">
      <c r="A43" s="300"/>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row>
    <row r="44" spans="1:254" ht="15">
      <c r="A44" s="300"/>
      <c r="B44" s="263"/>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row>
    <row r="45" spans="1:254" ht="15">
      <c r="A45" s="300"/>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row>
    <row r="46" spans="1:254" ht="15">
      <c r="A46" s="300"/>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row>
    <row r="47" spans="1:254" ht="15">
      <c r="A47" s="300"/>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row>
    <row r="48" spans="1:254" ht="15">
      <c r="A48" s="300"/>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row>
    <row r="49" spans="1:88" ht="15">
      <c r="A49" s="300"/>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row>
    <row r="50" spans="1:88" ht="15">
      <c r="A50" s="300"/>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row>
    <row r="51" spans="1:88" ht="15">
      <c r="A51" s="300"/>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row>
    <row r="52" spans="1:88" ht="15">
      <c r="A52" s="300"/>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row>
    <row r="53" spans="1:88" ht="15">
      <c r="A53" s="300"/>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row>
    <row r="54" spans="1:88" ht="15">
      <c r="A54" s="300"/>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row>
    <row r="55" spans="1:88" ht="15">
      <c r="A55" s="300"/>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263"/>
      <c r="AL55" s="263"/>
      <c r="AM55" s="263"/>
      <c r="AN55" s="263"/>
      <c r="AO55" s="263"/>
      <c r="AP55" s="263"/>
      <c r="AQ55" s="263"/>
      <c r="AR55" s="263"/>
      <c r="AS55" s="263"/>
      <c r="AT55" s="263"/>
      <c r="AU55" s="263"/>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row>
    <row r="56" spans="1:88" ht="15">
      <c r="A56" s="300"/>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row>
    <row r="57" spans="1:88" ht="15">
      <c r="A57" s="300"/>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263"/>
      <c r="AL57" s="263"/>
      <c r="AM57" s="263"/>
      <c r="AN57" s="263"/>
      <c r="AO57" s="263"/>
      <c r="AP57" s="263"/>
      <c r="AQ57" s="263"/>
      <c r="AR57" s="263"/>
      <c r="AS57" s="263"/>
      <c r="AT57" s="263"/>
      <c r="AU57" s="263"/>
      <c r="AV57" s="263"/>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row>
    <row r="58" spans="1:88" ht="15">
      <c r="A58" s="300"/>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row>
    <row r="59" spans="1:88" ht="15">
      <c r="A59" s="263"/>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row>
    <row r="60" spans="1:88" ht="15">
      <c r="A60" s="263"/>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263"/>
      <c r="AQ60" s="263"/>
      <c r="AR60" s="263"/>
      <c r="AS60" s="263"/>
      <c r="AT60" s="263"/>
      <c r="AU60" s="263"/>
      <c r="AV60" s="263"/>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row>
    <row r="61" spans="1:88" ht="15">
      <c r="A61" s="263"/>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row>
    <row r="62" spans="1:88" ht="15">
      <c r="A62" s="26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row>
    <row r="63" spans="1:88" ht="15">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row>
    <row r="64" spans="1:88" ht="15">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row>
    <row r="65" spans="1:88" ht="15">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row>
    <row r="66" spans="1:88" ht="15">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row>
    <row r="67" spans="1:88" ht="15">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row>
    <row r="68" spans="1:88" ht="15">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row>
    <row r="69" spans="1:88" ht="15">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row>
    <row r="70" spans="1:88" ht="15">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row>
    <row r="71" spans="1:88" ht="15">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row>
    <row r="72" spans="1:88" ht="15">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row>
    <row r="73" spans="1:88" ht="15">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row>
    <row r="74" spans="1:88" ht="15">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row>
    <row r="75" spans="1:88" ht="15">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row>
    <row r="76" spans="1:88" ht="15">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row>
    <row r="77" spans="1:88" ht="15">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row>
    <row r="78" spans="1:88" ht="15">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row>
    <row r="79" spans="1:88" ht="15">
      <c r="A79" s="263"/>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row>
    <row r="80" spans="1:88" ht="15">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row>
    <row r="81" spans="1:88" ht="15">
      <c r="A81" s="263"/>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row>
    <row r="82" spans="1:88" ht="15">
      <c r="A82" s="263"/>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row>
    <row r="83" spans="1:88" ht="15">
      <c r="A83" s="263"/>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row>
    <row r="84" spans="1:88" ht="15">
      <c r="A84" s="263"/>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row>
    <row r="85" spans="1:88" ht="15">
      <c r="A85" s="263"/>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row>
    <row r="86" spans="1:88" ht="15">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row>
    <row r="87" spans="1:88" ht="15">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row>
    <row r="88" spans="1:88" ht="15">
      <c r="A88" s="263"/>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row>
    <row r="89" spans="1:88" ht="15">
      <c r="A89" s="263"/>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row>
    <row r="90" spans="1:88" ht="15">
      <c r="A90" s="263"/>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row>
    <row r="91" spans="1:88" ht="15">
      <c r="A91" s="263"/>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row>
    <row r="92" spans="1:88" ht="15">
      <c r="A92" s="263"/>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row>
    <row r="93" spans="1:88" ht="15">
      <c r="A93" s="263"/>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row>
    <row r="94" spans="1:88" ht="15">
      <c r="A94" s="263"/>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row>
    <row r="95" spans="1:88" ht="15">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row>
    <row r="96" spans="1:88" ht="15">
      <c r="A96" s="263"/>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row>
    <row r="97" spans="1:88" ht="15">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row>
    <row r="98" spans="1:88" ht="15">
      <c r="A98" s="263"/>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row>
    <row r="99" spans="1:88" ht="15">
      <c r="A99" s="263"/>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row>
    <row r="100" spans="1:88" ht="15">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row>
    <row r="101" spans="1:88" ht="15">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row>
    <row r="102" spans="1:88" ht="15">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row>
    <row r="103" spans="1:88" ht="15">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row>
    <row r="104" spans="1:88" ht="15">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row>
    <row r="105" spans="1:88" ht="15">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row>
    <row r="106" spans="1:88" ht="15">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row>
    <row r="107" spans="1:88" ht="15">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row>
    <row r="108" spans="1:88" ht="15">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263"/>
      <c r="AS108" s="263"/>
      <c r="AT108" s="263"/>
      <c r="AU108" s="263"/>
      <c r="AV108" s="263"/>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row>
    <row r="109" spans="1:88" ht="15">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row>
    <row r="110" spans="1:88" ht="15">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row>
    <row r="111" spans="1:88" ht="15">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row>
    <row r="112" spans="1:88" ht="15">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row>
    <row r="113" spans="1:88" ht="15">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row>
    <row r="114" spans="1:88" ht="15">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row>
    <row r="115" spans="1:88" ht="15">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row>
    <row r="116" spans="1:88" ht="15">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row>
    <row r="117" spans="1:88" ht="15">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row>
    <row r="118" spans="1:88" ht="15">
      <c r="A118" s="263"/>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row>
    <row r="119" spans="1:88" ht="15">
      <c r="A119" s="263"/>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row>
    <row r="120" spans="1:88" ht="15">
      <c r="A120" s="263"/>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c r="BT120" s="263"/>
      <c r="BU120" s="263"/>
      <c r="BV120" s="263"/>
      <c r="BW120" s="263"/>
      <c r="BX120" s="263"/>
      <c r="BY120" s="263"/>
      <c r="BZ120" s="263"/>
      <c r="CA120" s="263"/>
      <c r="CB120" s="263"/>
      <c r="CC120" s="263"/>
      <c r="CD120" s="263"/>
      <c r="CE120" s="263"/>
      <c r="CF120" s="263"/>
      <c r="CG120" s="263"/>
      <c r="CH120" s="263"/>
      <c r="CI120" s="263"/>
      <c r="CJ120" s="263"/>
    </row>
    <row r="121" spans="1:88" ht="15">
      <c r="A121" s="263"/>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c r="BT121" s="263"/>
      <c r="BU121" s="263"/>
      <c r="BV121" s="263"/>
      <c r="BW121" s="263"/>
      <c r="BX121" s="263"/>
      <c r="BY121" s="263"/>
      <c r="BZ121" s="263"/>
      <c r="CA121" s="263"/>
      <c r="CB121" s="263"/>
      <c r="CC121" s="263"/>
      <c r="CD121" s="263"/>
      <c r="CE121" s="263"/>
      <c r="CF121" s="263"/>
      <c r="CG121" s="263"/>
      <c r="CH121" s="263"/>
      <c r="CI121" s="263"/>
      <c r="CJ121" s="263"/>
    </row>
    <row r="122" spans="1:88" ht="15">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c r="AU122" s="263"/>
      <c r="AV122" s="263"/>
      <c r="AW122" s="263"/>
      <c r="AX122" s="263"/>
      <c r="AY122" s="263"/>
      <c r="AZ122" s="263"/>
      <c r="BA122" s="263"/>
      <c r="BB122" s="263"/>
      <c r="BC122" s="263"/>
      <c r="BD122" s="263"/>
      <c r="BE122" s="263"/>
      <c r="BF122" s="263"/>
      <c r="BG122" s="263"/>
      <c r="BH122" s="263"/>
      <c r="BI122" s="263"/>
      <c r="BJ122" s="263"/>
      <c r="BK122" s="263"/>
      <c r="BL122" s="263"/>
      <c r="BM122" s="263"/>
      <c r="BN122" s="263"/>
      <c r="BO122" s="263"/>
      <c r="BP122" s="263"/>
      <c r="BQ122" s="263"/>
      <c r="BR122" s="263"/>
      <c r="BS122" s="263"/>
      <c r="BT122" s="263"/>
      <c r="BU122" s="263"/>
      <c r="BV122" s="263"/>
      <c r="BW122" s="263"/>
      <c r="BX122" s="263"/>
      <c r="BY122" s="263"/>
      <c r="BZ122" s="263"/>
      <c r="CA122" s="263"/>
      <c r="CB122" s="263"/>
      <c r="CC122" s="263"/>
      <c r="CD122" s="263"/>
      <c r="CE122" s="263"/>
      <c r="CF122" s="263"/>
      <c r="CG122" s="263"/>
      <c r="CH122" s="263"/>
      <c r="CI122" s="263"/>
      <c r="CJ122" s="263"/>
    </row>
    <row r="123" spans="1:88" ht="15">
      <c r="A123" s="263"/>
      <c r="B123" s="263"/>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263"/>
      <c r="AS123" s="263"/>
      <c r="AT123" s="263"/>
      <c r="AU123" s="263"/>
      <c r="AV123" s="263"/>
      <c r="AW123" s="263"/>
      <c r="AX123" s="263"/>
      <c r="AY123" s="263"/>
      <c r="AZ123" s="263"/>
      <c r="BA123" s="263"/>
      <c r="BB123" s="263"/>
      <c r="BC123" s="263"/>
      <c r="BD123" s="263"/>
      <c r="BE123" s="263"/>
      <c r="BF123" s="263"/>
      <c r="BG123" s="263"/>
      <c r="BH123" s="263"/>
      <c r="BI123" s="263"/>
      <c r="BJ123" s="263"/>
      <c r="BK123" s="263"/>
      <c r="BL123" s="263"/>
      <c r="BM123" s="263"/>
      <c r="BN123" s="263"/>
      <c r="BO123" s="263"/>
      <c r="BP123" s="263"/>
      <c r="BQ123" s="263"/>
      <c r="BR123" s="263"/>
      <c r="BS123" s="263"/>
      <c r="BT123" s="263"/>
      <c r="BU123" s="263"/>
      <c r="BV123" s="263"/>
      <c r="BW123" s="263"/>
      <c r="BX123" s="263"/>
      <c r="BY123" s="263"/>
      <c r="BZ123" s="263"/>
      <c r="CA123" s="263"/>
      <c r="CB123" s="263"/>
      <c r="CC123" s="263"/>
      <c r="CD123" s="263"/>
      <c r="CE123" s="263"/>
      <c r="CF123" s="263"/>
      <c r="CG123" s="263"/>
      <c r="CH123" s="263"/>
      <c r="CI123" s="263"/>
      <c r="CJ123" s="263"/>
    </row>
    <row r="124" spans="1:88" ht="15">
      <c r="A124" s="263"/>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Q124" s="263"/>
      <c r="AR124" s="263"/>
      <c r="AS124" s="263"/>
      <c r="AT124" s="263"/>
      <c r="AU124" s="263"/>
      <c r="AV124" s="263"/>
      <c r="AW124" s="263"/>
      <c r="AX124" s="263"/>
      <c r="AY124" s="263"/>
      <c r="AZ124" s="263"/>
      <c r="BA124" s="263"/>
      <c r="BB124" s="263"/>
      <c r="BC124" s="263"/>
      <c r="BD124" s="263"/>
      <c r="BE124" s="263"/>
      <c r="BF124" s="263"/>
      <c r="BG124" s="263"/>
      <c r="BH124" s="263"/>
      <c r="BI124" s="263"/>
      <c r="BJ124" s="263"/>
      <c r="BK124" s="263"/>
      <c r="BL124" s="263"/>
      <c r="BM124" s="263"/>
      <c r="BN124" s="263"/>
      <c r="BO124" s="263"/>
      <c r="BP124" s="263"/>
      <c r="BQ124" s="263"/>
      <c r="BR124" s="263"/>
      <c r="BS124" s="263"/>
      <c r="BT124" s="263"/>
      <c r="BU124" s="263"/>
      <c r="BV124" s="263"/>
      <c r="BW124" s="263"/>
      <c r="BX124" s="263"/>
      <c r="BY124" s="263"/>
      <c r="BZ124" s="263"/>
      <c r="CA124" s="263"/>
      <c r="CB124" s="263"/>
      <c r="CC124" s="263"/>
      <c r="CD124" s="263"/>
      <c r="CE124" s="263"/>
      <c r="CF124" s="263"/>
      <c r="CG124" s="263"/>
      <c r="CH124" s="263"/>
      <c r="CI124" s="263"/>
      <c r="CJ124" s="263"/>
    </row>
    <row r="125" spans="1:88" ht="15">
      <c r="A125" s="263"/>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263"/>
      <c r="AS125" s="263"/>
      <c r="AT125" s="263"/>
      <c r="AU125" s="263"/>
      <c r="AV125" s="263"/>
      <c r="AW125" s="263"/>
      <c r="AX125" s="263"/>
      <c r="AY125" s="263"/>
      <c r="AZ125" s="263"/>
      <c r="BA125" s="263"/>
      <c r="BB125" s="263"/>
      <c r="BC125" s="263"/>
      <c r="BD125" s="263"/>
      <c r="BE125" s="263"/>
      <c r="BF125" s="263"/>
      <c r="BG125" s="263"/>
      <c r="BH125" s="263"/>
      <c r="BI125" s="263"/>
      <c r="BJ125" s="263"/>
      <c r="BK125" s="263"/>
      <c r="BL125" s="263"/>
      <c r="BM125" s="263"/>
      <c r="BN125" s="263"/>
      <c r="BO125" s="263"/>
      <c r="BP125" s="263"/>
      <c r="BQ125" s="263"/>
      <c r="BR125" s="263"/>
      <c r="BS125" s="263"/>
      <c r="BT125" s="263"/>
      <c r="BU125" s="263"/>
      <c r="BV125" s="263"/>
      <c r="BW125" s="263"/>
      <c r="BX125" s="263"/>
      <c r="BY125" s="263"/>
      <c r="BZ125" s="263"/>
      <c r="CA125" s="263"/>
      <c r="CB125" s="263"/>
      <c r="CC125" s="263"/>
      <c r="CD125" s="263"/>
      <c r="CE125" s="263"/>
      <c r="CF125" s="263"/>
      <c r="CG125" s="263"/>
      <c r="CH125" s="263"/>
      <c r="CI125" s="263"/>
      <c r="CJ125" s="263"/>
    </row>
    <row r="126" spans="1:88" ht="15">
      <c r="A126" s="263"/>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s="263"/>
      <c r="AG126" s="263"/>
      <c r="AH126" s="263"/>
      <c r="AI126" s="263"/>
      <c r="AJ126" s="263"/>
      <c r="AK126" s="263"/>
      <c r="AL126" s="263"/>
      <c r="AM126" s="263"/>
      <c r="AN126" s="263"/>
      <c r="AO126" s="263"/>
      <c r="AP126" s="263"/>
      <c r="AQ126" s="263"/>
      <c r="AR126" s="263"/>
      <c r="AS126" s="263"/>
      <c r="AT126" s="263"/>
      <c r="AU126" s="263"/>
      <c r="AV126" s="263"/>
      <c r="AW126" s="263"/>
      <c r="AX126" s="263"/>
      <c r="AY126" s="263"/>
      <c r="AZ126" s="263"/>
      <c r="BA126" s="263"/>
      <c r="BB126" s="263"/>
      <c r="BC126" s="263"/>
      <c r="BD126" s="263"/>
      <c r="BE126" s="263"/>
      <c r="BF126" s="263"/>
      <c r="BG126" s="263"/>
      <c r="BH126" s="263"/>
      <c r="BI126" s="263"/>
      <c r="BJ126" s="263"/>
      <c r="BK126" s="263"/>
      <c r="BL126" s="263"/>
      <c r="BM126" s="263"/>
      <c r="BN126" s="263"/>
      <c r="BO126" s="263"/>
      <c r="BP126" s="263"/>
      <c r="BQ126" s="263"/>
      <c r="BR126" s="263"/>
      <c r="BS126" s="263"/>
      <c r="BT126" s="263"/>
      <c r="BU126" s="263"/>
      <c r="BV126" s="263"/>
      <c r="BW126" s="263"/>
      <c r="BX126" s="263"/>
      <c r="BY126" s="263"/>
      <c r="BZ126" s="263"/>
      <c r="CA126" s="263"/>
      <c r="CB126" s="263"/>
      <c r="CC126" s="263"/>
      <c r="CD126" s="263"/>
      <c r="CE126" s="263"/>
      <c r="CF126" s="263"/>
      <c r="CG126" s="263"/>
      <c r="CH126" s="263"/>
      <c r="CI126" s="263"/>
      <c r="CJ126" s="263"/>
    </row>
    <row r="127" spans="1:88" ht="15">
      <c r="A127" s="263"/>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c r="AZ127" s="263"/>
      <c r="BA127" s="263"/>
      <c r="BB127" s="263"/>
      <c r="BC127" s="263"/>
      <c r="BD127" s="263"/>
      <c r="BE127" s="263"/>
      <c r="BF127" s="263"/>
      <c r="BG127" s="263"/>
      <c r="BH127" s="263"/>
      <c r="BI127" s="263"/>
      <c r="BJ127" s="263"/>
      <c r="BK127" s="263"/>
      <c r="BL127" s="263"/>
      <c r="BM127" s="263"/>
      <c r="BN127" s="263"/>
      <c r="BO127" s="263"/>
      <c r="BP127" s="263"/>
      <c r="BQ127" s="263"/>
      <c r="BR127" s="263"/>
      <c r="BS127" s="263"/>
      <c r="BT127" s="263"/>
      <c r="BU127" s="263"/>
      <c r="BV127" s="263"/>
      <c r="BW127" s="263"/>
      <c r="BX127" s="263"/>
      <c r="BY127" s="263"/>
      <c r="BZ127" s="263"/>
      <c r="CA127" s="263"/>
      <c r="CB127" s="263"/>
      <c r="CC127" s="263"/>
      <c r="CD127" s="263"/>
      <c r="CE127" s="263"/>
      <c r="CF127" s="263"/>
      <c r="CG127" s="263"/>
      <c r="CH127" s="263"/>
      <c r="CI127" s="263"/>
      <c r="CJ127" s="263"/>
    </row>
    <row r="128" spans="1:88" ht="15">
      <c r="A128" s="263"/>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263"/>
      <c r="AN128" s="263"/>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3"/>
      <c r="BK128" s="263"/>
      <c r="BL128" s="263"/>
      <c r="BM128" s="263"/>
      <c r="BN128" s="263"/>
      <c r="BO128" s="263"/>
      <c r="BP128" s="263"/>
      <c r="BQ128" s="263"/>
      <c r="BR128" s="263"/>
      <c r="BS128" s="263"/>
      <c r="BT128" s="263"/>
      <c r="BU128" s="263"/>
      <c r="BV128" s="263"/>
      <c r="BW128" s="263"/>
      <c r="BX128" s="263"/>
      <c r="BY128" s="263"/>
      <c r="BZ128" s="263"/>
      <c r="CA128" s="263"/>
      <c r="CB128" s="263"/>
      <c r="CC128" s="263"/>
      <c r="CD128" s="263"/>
      <c r="CE128" s="263"/>
      <c r="CF128" s="263"/>
      <c r="CG128" s="263"/>
      <c r="CH128" s="263"/>
      <c r="CI128" s="263"/>
      <c r="CJ128" s="263"/>
    </row>
  </sheetData>
  <sheetProtection password="D95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 ref="GI2:GL2"/>
    <mergeCell ref="GM2:GP2"/>
    <mergeCell ref="FC2:FF2"/>
    <mergeCell ref="FG2:FJ2"/>
    <mergeCell ref="FK2:FN2"/>
    <mergeCell ref="FO2:FR2"/>
    <mergeCell ref="FS2:FV2"/>
    <mergeCell ref="FW2:FZ2"/>
    <mergeCell ref="GA2:GD2"/>
    <mergeCell ref="IA2:ID2"/>
    <mergeCell ref="IE2:IH2"/>
    <mergeCell ref="II2:IL2"/>
    <mergeCell ref="IM2:IP2"/>
    <mergeCell ref="HK2:HN2"/>
    <mergeCell ref="HO2:HR2"/>
    <mergeCell ref="HS2:HV2"/>
    <mergeCell ref="HW2:HZ2"/>
    <mergeCell ref="GU2:GX2"/>
    <mergeCell ref="GY2:HB2"/>
    <mergeCell ref="HC2:HF2"/>
    <mergeCell ref="HG2:HJ2"/>
    <mergeCell ref="GQ2:GT2"/>
    <mergeCell ref="AE3:AH3"/>
    <mergeCell ref="AI3:AL3"/>
    <mergeCell ref="AM3:AP3"/>
    <mergeCell ref="AQ3:AT3"/>
    <mergeCell ref="AU3:AX3"/>
    <mergeCell ref="AY3:BB3"/>
    <mergeCell ref="BC3:BF3"/>
    <mergeCell ref="BG3:BJ3"/>
    <mergeCell ref="BK3:BN3"/>
    <mergeCell ref="BO3:BR3"/>
    <mergeCell ref="BS3:BV3"/>
    <mergeCell ref="BW3:BZ3"/>
    <mergeCell ref="CA3:CD3"/>
    <mergeCell ref="CE3:CH3"/>
    <mergeCell ref="CI3:CL3"/>
    <mergeCell ref="CM3:CP3"/>
    <mergeCell ref="CQ3:CT3"/>
    <mergeCell ref="CU3:CX3"/>
    <mergeCell ref="CY3:DB3"/>
    <mergeCell ref="DC3:DF3"/>
    <mergeCell ref="DG3:DJ3"/>
    <mergeCell ref="DK3:DN3"/>
    <mergeCell ref="DO3:DR3"/>
    <mergeCell ref="DS3:DV3"/>
    <mergeCell ref="DW3:DZ3"/>
    <mergeCell ref="EA3:ED3"/>
    <mergeCell ref="EE3:EH3"/>
    <mergeCell ref="EI3:EL3"/>
    <mergeCell ref="EM3:EP3"/>
    <mergeCell ref="EQ3:ET3"/>
    <mergeCell ref="EU3:EX3"/>
    <mergeCell ref="EY3:FB3"/>
    <mergeCell ref="FC3:FF3"/>
    <mergeCell ref="FG3:FJ3"/>
    <mergeCell ref="FK3:FN3"/>
    <mergeCell ref="FO3:FR3"/>
    <mergeCell ref="FS3:FV3"/>
    <mergeCell ref="FW3:FZ3"/>
    <mergeCell ref="GA3:GD3"/>
    <mergeCell ref="GE3:GH3"/>
    <mergeCell ref="GI3:GL3"/>
    <mergeCell ref="GM3:GP3"/>
    <mergeCell ref="GQ3:GT3"/>
    <mergeCell ref="GU3:GX3"/>
    <mergeCell ref="GY3:HB3"/>
    <mergeCell ref="HC3:HF3"/>
    <mergeCell ref="HG3:HJ3"/>
    <mergeCell ref="HK3:HN3"/>
    <mergeCell ref="HO3:HR3"/>
    <mergeCell ref="HS3:HV3"/>
    <mergeCell ref="HW3:HZ3"/>
    <mergeCell ref="IA3:ID3"/>
    <mergeCell ref="IE3:IH3"/>
    <mergeCell ref="II3:IL3"/>
    <mergeCell ref="IM3:IP3"/>
  </mergeCells>
  <phoneticPr fontId="0" type="noConversion"/>
  <printOptions horizontalCentered="1" verticalCentered="1" gridLines="1"/>
  <pageMargins left="0.5" right="0.5" top="0.75" bottom="0.5" header="0.4" footer="0.5"/>
  <pageSetup scale="73" orientation="portrait" r:id="rId2"/>
  <headerFooter alignWithMargins="0">
    <oddHeader xml:space="preserve">&amp;C&amp;"Arial,Bold"&amp;14TOWN OF BROADUS
COMBINING STATEMENT OF REVENUES, EXPENDITURES, AND CHANGES IN FUND BALANCES
BUDGET AND ACTUAL
NONMAJOR SPECIAL REVENUE FUNDS
FISCAL YEAR ENDED JUNE 30, 2017
</oddHeader>
  </headerFooter>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2"/>
  <sheetViews>
    <sheetView zoomScaleNormal="100" workbookViewId="0">
      <pane xSplit="2" ySplit="9" topLeftCell="C10" activePane="bottomRight" state="frozen"/>
      <selection pane="topRight" activeCell="C1" sqref="C1"/>
      <selection pane="bottomLeft" activeCell="A10" sqref="A10"/>
      <selection pane="bottomRight" activeCell="O1" sqref="O1:IP1048576"/>
    </sheetView>
  </sheetViews>
  <sheetFormatPr defaultColWidth="8.85546875" defaultRowHeight="12.75"/>
  <cols>
    <col min="1" max="1" width="13.7109375" style="261" customWidth="1"/>
    <col min="2" max="2" width="50.7109375" style="261" customWidth="1"/>
    <col min="3" max="14" width="16.7109375" style="261" customWidth="1"/>
    <col min="15" max="250" width="16.7109375" style="261" hidden="1" customWidth="1"/>
    <col min="251" max="254" width="16.7109375" style="261" customWidth="1"/>
    <col min="255" max="16384" width="8.85546875" style="261"/>
  </cols>
  <sheetData>
    <row r="1" spans="1:254" ht="15.75" customHeight="1">
      <c r="C1" s="1668" t="str">
        <f>'OPER.-NONMAJOR SP. REVENUE(65)'!C2</f>
        <v>FUND#2370</v>
      </c>
      <c r="D1" s="1668"/>
      <c r="E1" s="1668"/>
      <c r="F1" s="1668"/>
      <c r="G1" s="690" t="str">
        <f>'OPER.-NONMAJOR SP. REVENUE(65)'!G2</f>
        <v>FUND#2400</v>
      </c>
      <c r="H1" s="691"/>
      <c r="I1" s="691"/>
      <c r="J1" s="691"/>
      <c r="K1" s="690" t="str">
        <f>'OPER.-NONMAJOR SP. REVENUE(65)'!K2</f>
        <v>FUND#2810</v>
      </c>
      <c r="L1" s="691"/>
      <c r="M1" s="691"/>
      <c r="N1" s="691"/>
      <c r="O1" s="690" t="str">
        <f>'OPER.-NONMAJOR SP. REVENUE(65)'!O2</f>
        <v>FUND#</v>
      </c>
      <c r="P1" s="691"/>
      <c r="Q1" s="691"/>
      <c r="R1" s="691"/>
      <c r="S1" s="690" t="str">
        <f>'OPER.-NONMAJOR SP. REVENUE(65)'!S2</f>
        <v>FUND#</v>
      </c>
      <c r="T1" s="691"/>
      <c r="U1" s="691"/>
      <c r="V1" s="691"/>
      <c r="W1" s="690" t="str">
        <f>'OPER.-NONMAJOR SP. REVENUE(65)'!W2</f>
        <v>FUND#</v>
      </c>
      <c r="X1" s="691"/>
      <c r="Y1" s="691"/>
      <c r="Z1" s="691"/>
      <c r="AA1" s="690" t="str">
        <f>'OPER.-NONMAJOR SP. REVENUE(65)'!AA2</f>
        <v>FUND#</v>
      </c>
      <c r="AB1" s="691"/>
      <c r="AC1" s="691"/>
      <c r="AD1" s="691"/>
      <c r="AE1" s="690" t="str">
        <f>'OPER.-NONMAJOR SP. REVENUE(65)'!AE2</f>
        <v>FUND#</v>
      </c>
      <c r="AF1" s="691"/>
      <c r="AG1" s="691"/>
      <c r="AH1" s="691"/>
      <c r="AI1" s="690" t="str">
        <f>'OPER.-NONMAJOR SP. REVENUE(65)'!AI2</f>
        <v>FUND#</v>
      </c>
      <c r="AJ1" s="691"/>
      <c r="AK1" s="691"/>
      <c r="AL1" s="691"/>
      <c r="AM1" s="690" t="str">
        <f>'OPER.-NONMAJOR SP. REVENUE(65)'!AM2</f>
        <v>FUND#</v>
      </c>
      <c r="AN1" s="691"/>
      <c r="AO1" s="691"/>
      <c r="AP1" s="691"/>
      <c r="AQ1" s="690" t="str">
        <f>'OPER.-NONMAJOR SP. REVENUE(65)'!AQ2</f>
        <v>FUND#</v>
      </c>
      <c r="AR1" s="691"/>
      <c r="AS1" s="691"/>
      <c r="AT1" s="691"/>
      <c r="AU1" s="690" t="str">
        <f>'OPER.-NONMAJOR SP. REVENUE(65)'!AU2</f>
        <v>FUND#</v>
      </c>
      <c r="AV1" s="691"/>
      <c r="AW1" s="691"/>
      <c r="AX1" s="691"/>
      <c r="AY1" s="690" t="str">
        <f>'OPER.-NONMAJOR SP. REVENUE(65)'!AY2</f>
        <v>FUND#</v>
      </c>
      <c r="AZ1" s="691"/>
      <c r="BA1" s="691"/>
      <c r="BB1" s="691"/>
      <c r="BC1" s="690" t="str">
        <f>'OPER.-NONMAJOR SP. REVENUE(65)'!BC2</f>
        <v>FUND#</v>
      </c>
      <c r="BD1" s="691"/>
      <c r="BE1" s="691"/>
      <c r="BF1" s="691"/>
      <c r="BG1" s="690" t="str">
        <f>'OPER.-NONMAJOR SP. REVENUE(65)'!BG2</f>
        <v>FUND#</v>
      </c>
      <c r="BH1" s="691"/>
      <c r="BI1" s="691"/>
      <c r="BJ1" s="691"/>
      <c r="BK1" s="690" t="str">
        <f>'OPER.-NONMAJOR SP. REVENUE(65)'!BK2</f>
        <v>FUND#</v>
      </c>
      <c r="BL1" s="691"/>
      <c r="BM1" s="691"/>
      <c r="BN1" s="691"/>
      <c r="BO1" s="690" t="str">
        <f>'OPER.-NONMAJOR SP. REVENUE(65)'!BO2</f>
        <v>FUND#</v>
      </c>
      <c r="BP1" s="691"/>
      <c r="BQ1" s="691"/>
      <c r="BR1" s="691"/>
      <c r="BS1" s="690" t="str">
        <f>'OPER.-NONMAJOR SP. REVENUE(65)'!BS2</f>
        <v>FUND#</v>
      </c>
      <c r="BT1" s="691"/>
      <c r="BU1" s="691"/>
      <c r="BV1" s="691"/>
      <c r="BW1" s="690" t="str">
        <f>'OPER.-NONMAJOR SP. REVENUE(65)'!BW2</f>
        <v>FUND#</v>
      </c>
      <c r="BX1" s="691"/>
      <c r="BY1" s="691"/>
      <c r="BZ1" s="691"/>
      <c r="CA1" s="690" t="str">
        <f>'OPER.-NONMAJOR SP. REVENUE(65)'!CA2</f>
        <v>FUND#</v>
      </c>
      <c r="CB1" s="691"/>
      <c r="CC1" s="691"/>
      <c r="CD1" s="691"/>
      <c r="CE1" s="690" t="str">
        <f>'OPER.-NONMAJOR SP. REVENUE(65)'!CE2</f>
        <v>FUND#</v>
      </c>
      <c r="CF1" s="691"/>
      <c r="CG1" s="691"/>
      <c r="CH1" s="691"/>
      <c r="CI1" s="690" t="str">
        <f>'OPER.-NONMAJOR SP. REVENUE(65)'!CI2</f>
        <v>FUND#</v>
      </c>
      <c r="CJ1" s="691"/>
      <c r="CK1" s="691"/>
      <c r="CL1" s="691"/>
      <c r="CM1" s="690" t="str">
        <f>'OPER.-NONMAJOR SP. REVENUE(65)'!CM2</f>
        <v>FUND#</v>
      </c>
      <c r="CN1" s="691"/>
      <c r="CO1" s="691"/>
      <c r="CP1" s="691"/>
      <c r="CQ1" s="690" t="str">
        <f>'OPER.-NONMAJOR SP. REVENUE(65)'!CQ2</f>
        <v>FUND#</v>
      </c>
      <c r="CR1" s="691"/>
      <c r="CS1" s="691"/>
      <c r="CT1" s="691"/>
      <c r="CU1" s="690" t="str">
        <f>'OPER.-NONMAJOR SP. REVENUE(65)'!CU2</f>
        <v>FUND#</v>
      </c>
      <c r="CV1" s="691"/>
      <c r="CW1" s="691"/>
      <c r="CX1" s="691"/>
      <c r="CY1" s="690" t="str">
        <f>'OPER.-NONMAJOR SP. REVENUE(65)'!CY2</f>
        <v>FUND#</v>
      </c>
      <c r="CZ1" s="691"/>
      <c r="DA1" s="691"/>
      <c r="DB1" s="691"/>
      <c r="DC1" s="690" t="str">
        <f>'OPER.-NONMAJOR SP. REVENUE(65)'!DC2</f>
        <v>FUND#</v>
      </c>
      <c r="DD1" s="691"/>
      <c r="DE1" s="691"/>
      <c r="DF1" s="691"/>
      <c r="DG1" s="690" t="str">
        <f>'OPER.-NONMAJOR SP. REVENUE(65)'!DG2</f>
        <v>FUND#</v>
      </c>
      <c r="DH1" s="691"/>
      <c r="DI1" s="691"/>
      <c r="DJ1" s="691"/>
      <c r="DK1" s="690" t="str">
        <f>'OPER.-NONMAJOR SP. REVENUE(65)'!DK2</f>
        <v>FUND#</v>
      </c>
      <c r="DL1" s="691"/>
      <c r="DM1" s="691"/>
      <c r="DN1" s="691"/>
      <c r="DO1" s="690" t="str">
        <f>'OPER.-NONMAJOR SP. REVENUE(65)'!DO2</f>
        <v>FUND#</v>
      </c>
      <c r="DP1" s="691"/>
      <c r="DQ1" s="691"/>
      <c r="DR1" s="691"/>
      <c r="DS1" s="690" t="str">
        <f>'OPER.-NONMAJOR SP. REVENUE(65)'!DS2</f>
        <v>FUND#</v>
      </c>
      <c r="DT1" s="691"/>
      <c r="DU1" s="691"/>
      <c r="DV1" s="691"/>
      <c r="DW1" s="690" t="str">
        <f>'OPER.-NONMAJOR SP. REVENUE(65)'!DW2</f>
        <v>FUND#</v>
      </c>
      <c r="DX1" s="691"/>
      <c r="DY1" s="691"/>
      <c r="DZ1" s="691"/>
      <c r="EA1" s="690" t="str">
        <f>'OPER.-NONMAJOR SP. REVENUE(65)'!EA2</f>
        <v>FUND#</v>
      </c>
      <c r="EB1" s="691"/>
      <c r="EC1" s="691"/>
      <c r="ED1" s="691"/>
      <c r="EE1" s="1668" t="str">
        <f>'OPER.-NONMAJOR SP. REVENUE(65)'!EE2:EH2</f>
        <v>FUND#</v>
      </c>
      <c r="EF1" s="1743"/>
      <c r="EG1" s="1743"/>
      <c r="EH1" s="1743"/>
      <c r="EI1" s="1668" t="str">
        <f>'OPER.-NONMAJOR SP. REVENUE(65)'!EI2:EL2</f>
        <v>FUND#</v>
      </c>
      <c r="EJ1" s="1743"/>
      <c r="EK1" s="1743"/>
      <c r="EL1" s="1743"/>
      <c r="EM1" s="1668" t="str">
        <f>'OPER.-NONMAJOR SP. REVENUE(65)'!EM2:EP2</f>
        <v>FUND#</v>
      </c>
      <c r="EN1" s="1743"/>
      <c r="EO1" s="1743"/>
      <c r="EP1" s="1743"/>
      <c r="EQ1" s="1668" t="str">
        <f>'OPER.-NONMAJOR SP. REVENUE(65)'!EQ2:ET2</f>
        <v>FUND#</v>
      </c>
      <c r="ER1" s="1743"/>
      <c r="ES1" s="1743"/>
      <c r="ET1" s="1743"/>
      <c r="EU1" s="1668" t="str">
        <f>'OPER.-NONMAJOR SP. REVENUE(65)'!EU2:EX2</f>
        <v>FUND#</v>
      </c>
      <c r="EV1" s="1743"/>
      <c r="EW1" s="1743"/>
      <c r="EX1" s="1743"/>
      <c r="EY1" s="1668" t="str">
        <f>'OPER.-NONMAJOR SP. REVENUE(65)'!EY2:FB2</f>
        <v>FUND#</v>
      </c>
      <c r="EZ1" s="1743"/>
      <c r="FA1" s="1743"/>
      <c r="FB1" s="1743"/>
      <c r="FC1" s="1668" t="str">
        <f>'OPER.-NONMAJOR SP. REVENUE(65)'!FC2:FF2</f>
        <v>FUND#</v>
      </c>
      <c r="FD1" s="1743"/>
      <c r="FE1" s="1743"/>
      <c r="FF1" s="1743"/>
      <c r="FG1" s="1668" t="str">
        <f>'OPER.-NONMAJOR SP. REVENUE(65)'!FG2:FJ2</f>
        <v>FUND#</v>
      </c>
      <c r="FH1" s="1743"/>
      <c r="FI1" s="1743"/>
      <c r="FJ1" s="1743"/>
      <c r="FK1" s="1668" t="str">
        <f>'OPER.-NONMAJOR SP. REVENUE(65)'!FK2:FN2</f>
        <v>FUND#</v>
      </c>
      <c r="FL1" s="1743"/>
      <c r="FM1" s="1743"/>
      <c r="FN1" s="1743"/>
      <c r="FO1" s="1668" t="str">
        <f>'OPER.-NONMAJOR SP. REVENUE(65)'!FO2:FR2</f>
        <v>FUND#</v>
      </c>
      <c r="FP1" s="1743"/>
      <c r="FQ1" s="1743"/>
      <c r="FR1" s="1743"/>
      <c r="FS1" s="1668" t="str">
        <f>'OPER.-NONMAJOR SP. REVENUE(65)'!FS2:FV2</f>
        <v>FUND#</v>
      </c>
      <c r="FT1" s="1743"/>
      <c r="FU1" s="1743"/>
      <c r="FV1" s="1743"/>
      <c r="FW1" s="1668" t="str">
        <f>'OPER.-NONMAJOR SP. REVENUE(65)'!FW2:FZ2</f>
        <v>FUND#</v>
      </c>
      <c r="FX1" s="1743"/>
      <c r="FY1" s="1743"/>
      <c r="FZ1" s="1743"/>
      <c r="GA1" s="1668" t="str">
        <f>'OPER.-NONMAJOR SP. REVENUE(65)'!GA2:GD2</f>
        <v>FUND#</v>
      </c>
      <c r="GB1" s="1743"/>
      <c r="GC1" s="1743"/>
      <c r="GD1" s="1743"/>
      <c r="GE1" s="1668" t="str">
        <f>'OPER.-NONMAJOR SP. REVENUE(65)'!GE2:GH2</f>
        <v>FUND#</v>
      </c>
      <c r="GF1" s="1743"/>
      <c r="GG1" s="1743"/>
      <c r="GH1" s="1743"/>
      <c r="GI1" s="1668" t="str">
        <f>'OPER.-NONMAJOR SP. REVENUE(65)'!GI2:GL2</f>
        <v>FUND#</v>
      </c>
      <c r="GJ1" s="1743"/>
      <c r="GK1" s="1743"/>
      <c r="GL1" s="1743"/>
      <c r="GM1" s="1668" t="str">
        <f>'OPER.-NONMAJOR SP. REVENUE(65)'!GM2:GP2</f>
        <v>FUND#</v>
      </c>
      <c r="GN1" s="1743"/>
      <c r="GO1" s="1743"/>
      <c r="GP1" s="1743"/>
      <c r="GQ1" s="1668" t="str">
        <f>'OPER.-NONMAJOR SP. REVENUE(65)'!GQ2:GT2</f>
        <v>FUND#</v>
      </c>
      <c r="GR1" s="1743"/>
      <c r="GS1" s="1743"/>
      <c r="GT1" s="1743"/>
      <c r="GU1" s="1668" t="str">
        <f>'OPER.-NONMAJOR SP. REVENUE(65)'!GU2:GX2</f>
        <v>FUND#</v>
      </c>
      <c r="GV1" s="1743"/>
      <c r="GW1" s="1743"/>
      <c r="GX1" s="1743"/>
      <c r="GY1" s="1668" t="str">
        <f>'OPER.-NONMAJOR SP. REVENUE(65)'!GY2:HB2</f>
        <v>FUND#</v>
      </c>
      <c r="GZ1" s="1743"/>
      <c r="HA1" s="1743"/>
      <c r="HB1" s="1743"/>
      <c r="HC1" s="1668" t="str">
        <f>'OPER.-NONMAJOR SP. REVENUE(65)'!HC2:HF2</f>
        <v>FUND#</v>
      </c>
      <c r="HD1" s="1743"/>
      <c r="HE1" s="1743"/>
      <c r="HF1" s="1743"/>
      <c r="HG1" s="1668" t="str">
        <f>'OPER.-NONMAJOR SP. REVENUE(65)'!HG2:HJ2</f>
        <v>FUND#</v>
      </c>
      <c r="HH1" s="1743"/>
      <c r="HI1" s="1743"/>
      <c r="HJ1" s="1743"/>
      <c r="HK1" s="1668" t="str">
        <f>'OPER.-NONMAJOR SP. REVENUE(65)'!HK2:HN2</f>
        <v>FUND#</v>
      </c>
      <c r="HL1" s="1743"/>
      <c r="HM1" s="1743"/>
      <c r="HN1" s="1743"/>
      <c r="HO1" s="1668" t="str">
        <f>'OPER.-NONMAJOR SP. REVENUE(65)'!HO2:HR2</f>
        <v>FUND#</v>
      </c>
      <c r="HP1" s="1743"/>
      <c r="HQ1" s="1743"/>
      <c r="HR1" s="1743"/>
      <c r="HS1" s="1668" t="str">
        <f>'OPER.-NONMAJOR SP. REVENUE(65)'!HS2:HV2</f>
        <v>FUND#</v>
      </c>
      <c r="HT1" s="1743"/>
      <c r="HU1" s="1743"/>
      <c r="HV1" s="1743"/>
      <c r="HW1" s="1668" t="str">
        <f>'OPER.-NONMAJOR SP. REVENUE(65)'!HW2:HZ2</f>
        <v>FUND#</v>
      </c>
      <c r="HX1" s="1743"/>
      <c r="HY1" s="1743"/>
      <c r="HZ1" s="1743"/>
      <c r="IA1" s="1668" t="str">
        <f>'OPER.-NONMAJOR SP. REVENUE(65)'!IA2:ID2</f>
        <v>FUND#</v>
      </c>
      <c r="IB1" s="1743"/>
      <c r="IC1" s="1743"/>
      <c r="ID1" s="1743"/>
      <c r="IE1" s="1668" t="str">
        <f>'OPER.-NONMAJOR SP. REVENUE(65)'!IE2:IH2</f>
        <v>FUND#</v>
      </c>
      <c r="IF1" s="1743"/>
      <c r="IG1" s="1743"/>
      <c r="IH1" s="1743"/>
      <c r="II1" s="1668" t="str">
        <f>'OPER.-NONMAJOR SP. REVENUE(65)'!II2:IL2</f>
        <v>FUND#</v>
      </c>
      <c r="IJ1" s="1743"/>
      <c r="IK1" s="1743"/>
      <c r="IL1" s="1743"/>
      <c r="IM1" s="1668" t="str">
        <f>'OPER.-NONMAJOR SP. REVENUE(65)'!IM2:IP2</f>
        <v>FUND#</v>
      </c>
      <c r="IN1" s="1743"/>
      <c r="IO1" s="1743"/>
      <c r="IP1" s="1743"/>
      <c r="IQ1" s="691" t="s">
        <v>126</v>
      </c>
      <c r="IR1" s="691"/>
      <c r="IS1" s="691"/>
      <c r="IT1" s="691"/>
    </row>
    <row r="2" spans="1:254" ht="15.75" customHeight="1">
      <c r="C2" s="1741" t="str">
        <f>'OPER.-NONMAJOR SP. REVENUE(65)'!C3:F3</f>
        <v>PERS</v>
      </c>
      <c r="D2" s="1743"/>
      <c r="E2" s="1743"/>
      <c r="F2" s="1743"/>
      <c r="G2" s="1668" t="str">
        <f>'OPER.-NONMAJOR SP. REVENUE(65)'!G3:J3</f>
        <v>LIGHT MAINT</v>
      </c>
      <c r="H2" s="1743"/>
      <c r="I2" s="1743"/>
      <c r="J2" s="1743"/>
      <c r="K2" s="1668" t="str">
        <f>'OPER.-NONMAJOR SP. REVENUE(65)'!K3:N3</f>
        <v>POLICE TRAINING</v>
      </c>
      <c r="L2" s="1743"/>
      <c r="M2" s="1743"/>
      <c r="N2" s="1743"/>
      <c r="O2" s="1668" t="str">
        <f>'OPER.-NONMAJOR SP. REVENUE(65)'!O3:R3</f>
        <v>NAME</v>
      </c>
      <c r="P2" s="1743"/>
      <c r="Q2" s="1743"/>
      <c r="R2" s="1743"/>
      <c r="S2" s="1668" t="str">
        <f>'OPER.-NONMAJOR SP. REVENUE(65)'!S3:V3</f>
        <v>NAME</v>
      </c>
      <c r="T2" s="1743"/>
      <c r="U2" s="1743"/>
      <c r="V2" s="1743"/>
      <c r="W2" s="1668" t="str">
        <f>'OPER.-NONMAJOR SP. REVENUE(65)'!W3:Z3</f>
        <v>NAME</v>
      </c>
      <c r="X2" s="1743"/>
      <c r="Y2" s="1743"/>
      <c r="Z2" s="1743"/>
      <c r="AA2" s="1668" t="str">
        <f>'OPER.-NONMAJOR SP. REVENUE(65)'!AA3:AD3</f>
        <v>NAME</v>
      </c>
      <c r="AB2" s="1743"/>
      <c r="AC2" s="1743"/>
      <c r="AD2" s="1743"/>
      <c r="AE2" s="1668" t="str">
        <f>'OPER.-NONMAJOR SP. REVENUE(65)'!AE3:AH3</f>
        <v>NAME</v>
      </c>
      <c r="AF2" s="1743"/>
      <c r="AG2" s="1743"/>
      <c r="AH2" s="1743"/>
      <c r="AI2" s="1668" t="str">
        <f>'OPER.-NONMAJOR SP. REVENUE(65)'!AI3:AL3</f>
        <v>NAME</v>
      </c>
      <c r="AJ2" s="1743"/>
      <c r="AK2" s="1743"/>
      <c r="AL2" s="1743"/>
      <c r="AM2" s="1668" t="str">
        <f>'OPER.-NONMAJOR SP. REVENUE(65)'!AM3:AP3</f>
        <v>NAME</v>
      </c>
      <c r="AN2" s="1743"/>
      <c r="AO2" s="1743"/>
      <c r="AP2" s="1743"/>
      <c r="AQ2" s="1668" t="str">
        <f>'OPER.-NONMAJOR SP. REVENUE(65)'!AQ3:AT3</f>
        <v>NAME</v>
      </c>
      <c r="AR2" s="1743"/>
      <c r="AS2" s="1743"/>
      <c r="AT2" s="1743"/>
      <c r="AU2" s="1668" t="str">
        <f>'OPER.-NONMAJOR SP. REVENUE(65)'!AU3:AX3</f>
        <v>NAME</v>
      </c>
      <c r="AV2" s="1743"/>
      <c r="AW2" s="1743"/>
      <c r="AX2" s="1743"/>
      <c r="AY2" s="1668" t="str">
        <f>'OPER.-NONMAJOR SP. REVENUE(65)'!AY3:BB3</f>
        <v>NAME</v>
      </c>
      <c r="AZ2" s="1743"/>
      <c r="BA2" s="1743"/>
      <c r="BB2" s="1743"/>
      <c r="BC2" s="1668" t="str">
        <f>'OPER.-NONMAJOR SP. REVENUE(65)'!BC3:BF3</f>
        <v>NAME</v>
      </c>
      <c r="BD2" s="1743"/>
      <c r="BE2" s="1743"/>
      <c r="BF2" s="1743"/>
      <c r="BG2" s="1668" t="str">
        <f>'OPER.-NONMAJOR SP. REVENUE(65)'!BG3:BJ3</f>
        <v>NAME</v>
      </c>
      <c r="BH2" s="1743"/>
      <c r="BI2" s="1743"/>
      <c r="BJ2" s="1743"/>
      <c r="BK2" s="1668" t="str">
        <f>'OPER.-NONMAJOR SP. REVENUE(65)'!BK3:BN3</f>
        <v>NAME</v>
      </c>
      <c r="BL2" s="1743"/>
      <c r="BM2" s="1743"/>
      <c r="BN2" s="1743"/>
      <c r="BO2" s="1668" t="str">
        <f>'OPER.-NONMAJOR SP. REVENUE(65)'!BO3:BR3</f>
        <v>NAME</v>
      </c>
      <c r="BP2" s="1743"/>
      <c r="BQ2" s="1743"/>
      <c r="BR2" s="1743"/>
      <c r="BS2" s="1668" t="str">
        <f>'OPER.-NONMAJOR SP. REVENUE(65)'!BS3:BV3</f>
        <v>NAME</v>
      </c>
      <c r="BT2" s="1743"/>
      <c r="BU2" s="1743"/>
      <c r="BV2" s="1743"/>
      <c r="BW2" s="1668" t="str">
        <f>'OPER.-NONMAJOR SP. REVENUE(65)'!BW3:BZ3</f>
        <v>NAME</v>
      </c>
      <c r="BX2" s="1743"/>
      <c r="BY2" s="1743"/>
      <c r="BZ2" s="1743"/>
      <c r="CA2" s="1668" t="str">
        <f>'OPER.-NONMAJOR SP. REVENUE(65)'!CA3:CD3</f>
        <v>NAME</v>
      </c>
      <c r="CB2" s="1743"/>
      <c r="CC2" s="1743"/>
      <c r="CD2" s="1743"/>
      <c r="CE2" s="1668" t="str">
        <f>'OPER.-NONMAJOR SP. REVENUE(65)'!CE3:CH3</f>
        <v>NAME</v>
      </c>
      <c r="CF2" s="1743"/>
      <c r="CG2" s="1743"/>
      <c r="CH2" s="1743"/>
      <c r="CI2" s="1668" t="str">
        <f>'OPER.-NONMAJOR SP. REVENUE(65)'!CI3:CL3</f>
        <v>NAME</v>
      </c>
      <c r="CJ2" s="1743"/>
      <c r="CK2" s="1743"/>
      <c r="CL2" s="1743"/>
      <c r="CM2" s="1668" t="str">
        <f>'OPER.-NONMAJOR SP. REVENUE(65)'!CM3:CP3</f>
        <v>NAME</v>
      </c>
      <c r="CN2" s="1743"/>
      <c r="CO2" s="1743"/>
      <c r="CP2" s="1743"/>
      <c r="CQ2" s="1668" t="str">
        <f>'OPER.-NONMAJOR SP. REVENUE(65)'!CQ3:CT3</f>
        <v>NAME</v>
      </c>
      <c r="CR2" s="1743"/>
      <c r="CS2" s="1743"/>
      <c r="CT2" s="1743"/>
      <c r="CU2" s="1668" t="str">
        <f>'OPER.-NONMAJOR SP. REVENUE(65)'!CU3:CX3</f>
        <v>NAME</v>
      </c>
      <c r="CV2" s="1743"/>
      <c r="CW2" s="1743"/>
      <c r="CX2" s="1743"/>
      <c r="CY2" s="1668" t="str">
        <f>'OPER.-NONMAJOR SP. REVENUE(65)'!CY3:DB3</f>
        <v>NAME</v>
      </c>
      <c r="CZ2" s="1743"/>
      <c r="DA2" s="1743"/>
      <c r="DB2" s="1743"/>
      <c r="DC2" s="1668" t="str">
        <f>'OPER.-NONMAJOR SP. REVENUE(65)'!DC3:DF3</f>
        <v>NAME</v>
      </c>
      <c r="DD2" s="1743"/>
      <c r="DE2" s="1743"/>
      <c r="DF2" s="1743"/>
      <c r="DG2" s="1668" t="str">
        <f>'OPER.-NONMAJOR SP. REVENUE(65)'!DG3:DJ3</f>
        <v>NAME</v>
      </c>
      <c r="DH2" s="1743"/>
      <c r="DI2" s="1743"/>
      <c r="DJ2" s="1743"/>
      <c r="DK2" s="1668" t="str">
        <f>'OPER.-NONMAJOR SP. REVENUE(65)'!DK3:DN3</f>
        <v>NAME</v>
      </c>
      <c r="DL2" s="1743"/>
      <c r="DM2" s="1743"/>
      <c r="DN2" s="1743"/>
      <c r="DO2" s="1668" t="str">
        <f>'OPER.-NONMAJOR SP. REVENUE(65)'!DO3:DR3</f>
        <v>NAME</v>
      </c>
      <c r="DP2" s="1743"/>
      <c r="DQ2" s="1743"/>
      <c r="DR2" s="1743"/>
      <c r="DS2" s="1668" t="str">
        <f>'OPER.-NONMAJOR SP. REVENUE(65)'!DS3:DV3</f>
        <v>NAME</v>
      </c>
      <c r="DT2" s="1743"/>
      <c r="DU2" s="1743"/>
      <c r="DV2" s="1743"/>
      <c r="DW2" s="1668" t="str">
        <f>'OPER.-NONMAJOR SP. REVENUE(65)'!DW3:DZ3</f>
        <v>NAME</v>
      </c>
      <c r="DX2" s="1743"/>
      <c r="DY2" s="1743"/>
      <c r="DZ2" s="1743"/>
      <c r="EA2" s="1668" t="str">
        <f>'OPER.-NONMAJOR SP. REVENUE(65)'!EA3:ED3</f>
        <v>NAME</v>
      </c>
      <c r="EB2" s="1743"/>
      <c r="EC2" s="1743"/>
      <c r="ED2" s="1743"/>
      <c r="EE2" s="1668" t="str">
        <f>'OPER.-NONMAJOR SP. REVENUE(65)'!EE3:EH3</f>
        <v>NAME</v>
      </c>
      <c r="EF2" s="1743"/>
      <c r="EG2" s="1743"/>
      <c r="EH2" s="1743"/>
      <c r="EI2" s="1668" t="str">
        <f>'OPER.-NONMAJOR SP. REVENUE(65)'!EI3:EL3</f>
        <v>NAME</v>
      </c>
      <c r="EJ2" s="1743"/>
      <c r="EK2" s="1743"/>
      <c r="EL2" s="1743"/>
      <c r="EM2" s="1668" t="str">
        <f>'OPER.-NONMAJOR SP. REVENUE(65)'!EM3:EP3</f>
        <v>NAME</v>
      </c>
      <c r="EN2" s="1743"/>
      <c r="EO2" s="1743"/>
      <c r="EP2" s="1743"/>
      <c r="EQ2" s="1668" t="str">
        <f>'OPER.-NONMAJOR SP. REVENUE(65)'!EQ3:ET3</f>
        <v>NAME</v>
      </c>
      <c r="ER2" s="1743"/>
      <c r="ES2" s="1743"/>
      <c r="ET2" s="1743"/>
      <c r="EU2" s="1668" t="str">
        <f>'OPER.-NONMAJOR SP. REVENUE(65)'!EU3:EX3</f>
        <v>NAME</v>
      </c>
      <c r="EV2" s="1743"/>
      <c r="EW2" s="1743"/>
      <c r="EX2" s="1743"/>
      <c r="EY2" s="1668" t="str">
        <f>'OPER.-NONMAJOR SP. REVENUE(65)'!EY3:FB3</f>
        <v>NAME</v>
      </c>
      <c r="EZ2" s="1743"/>
      <c r="FA2" s="1743"/>
      <c r="FB2" s="1743"/>
      <c r="FC2" s="1668" t="str">
        <f>'OPER.-NONMAJOR SP. REVENUE(65)'!FC3:FF3</f>
        <v>NAME</v>
      </c>
      <c r="FD2" s="1743"/>
      <c r="FE2" s="1743"/>
      <c r="FF2" s="1743"/>
      <c r="FG2" s="1668" t="str">
        <f>'OPER.-NONMAJOR SP. REVENUE(65)'!FG3:FJ3</f>
        <v>NAME</v>
      </c>
      <c r="FH2" s="1743"/>
      <c r="FI2" s="1743"/>
      <c r="FJ2" s="1743"/>
      <c r="FK2" s="1668" t="str">
        <f>'OPER.-NONMAJOR SP. REVENUE(65)'!FK3:FN3</f>
        <v>NAME</v>
      </c>
      <c r="FL2" s="1743"/>
      <c r="FM2" s="1743"/>
      <c r="FN2" s="1743"/>
      <c r="FO2" s="1668" t="str">
        <f>'OPER.-NONMAJOR SP. REVENUE(65)'!FO3:FR3</f>
        <v>NAME</v>
      </c>
      <c r="FP2" s="1743"/>
      <c r="FQ2" s="1743"/>
      <c r="FR2" s="1743"/>
      <c r="FS2" s="1668" t="str">
        <f>'OPER.-NONMAJOR SP. REVENUE(65)'!FS3:FV3</f>
        <v>NAME</v>
      </c>
      <c r="FT2" s="1743"/>
      <c r="FU2" s="1743"/>
      <c r="FV2" s="1743"/>
      <c r="FW2" s="1668" t="str">
        <f>'OPER.-NONMAJOR SP. REVENUE(65)'!FW3:FZ3</f>
        <v>NAME</v>
      </c>
      <c r="FX2" s="1743"/>
      <c r="FY2" s="1743"/>
      <c r="FZ2" s="1743"/>
      <c r="GA2" s="1668" t="str">
        <f>'OPER.-NONMAJOR SP. REVENUE(65)'!GA3:GD3</f>
        <v>NAME</v>
      </c>
      <c r="GB2" s="1743"/>
      <c r="GC2" s="1743"/>
      <c r="GD2" s="1743"/>
      <c r="GE2" s="1668" t="str">
        <f>'OPER.-NONMAJOR SP. REVENUE(65)'!GE3:GH3</f>
        <v>NAME</v>
      </c>
      <c r="GF2" s="1743"/>
      <c r="GG2" s="1743"/>
      <c r="GH2" s="1743"/>
      <c r="GI2" s="1668" t="str">
        <f>'OPER.-NONMAJOR SP. REVENUE(65)'!GI3:GL3</f>
        <v>NAME</v>
      </c>
      <c r="GJ2" s="1743"/>
      <c r="GK2" s="1743"/>
      <c r="GL2" s="1743"/>
      <c r="GM2" s="1668" t="str">
        <f>'OPER.-NONMAJOR SP. REVENUE(65)'!GM3:GP3</f>
        <v>NAME</v>
      </c>
      <c r="GN2" s="1743"/>
      <c r="GO2" s="1743"/>
      <c r="GP2" s="1743"/>
      <c r="GQ2" s="1668" t="str">
        <f>'OPER.-NONMAJOR SP. REVENUE(65)'!GQ3:GT3</f>
        <v>NAME</v>
      </c>
      <c r="GR2" s="1743"/>
      <c r="GS2" s="1743"/>
      <c r="GT2" s="1743"/>
      <c r="GU2" s="1668" t="str">
        <f>'OPER.-NONMAJOR SP. REVENUE(65)'!GU3:GX3</f>
        <v>NAME</v>
      </c>
      <c r="GV2" s="1743"/>
      <c r="GW2" s="1743"/>
      <c r="GX2" s="1743"/>
      <c r="GY2" s="1668" t="str">
        <f>'OPER.-NONMAJOR SP. REVENUE(65)'!GY3:HB3</f>
        <v>NAME</v>
      </c>
      <c r="GZ2" s="1743"/>
      <c r="HA2" s="1743"/>
      <c r="HB2" s="1743"/>
      <c r="HC2" s="1668" t="str">
        <f>'OPER.-NONMAJOR SP. REVENUE(65)'!HC3:HF3</f>
        <v>NAME</v>
      </c>
      <c r="HD2" s="1743"/>
      <c r="HE2" s="1743"/>
      <c r="HF2" s="1743"/>
      <c r="HG2" s="1668" t="str">
        <f>'OPER.-NONMAJOR SP. REVENUE(65)'!HG3:HJ3</f>
        <v>NAME</v>
      </c>
      <c r="HH2" s="1743"/>
      <c r="HI2" s="1743"/>
      <c r="HJ2" s="1743"/>
      <c r="HK2" s="1668" t="str">
        <f>'OPER.-NONMAJOR SP. REVENUE(65)'!HK3:HN3</f>
        <v>NAME</v>
      </c>
      <c r="HL2" s="1743"/>
      <c r="HM2" s="1743"/>
      <c r="HN2" s="1743"/>
      <c r="HO2" s="1668" t="str">
        <f>'OPER.-NONMAJOR SP. REVENUE(65)'!HO3:HR3</f>
        <v>NAME</v>
      </c>
      <c r="HP2" s="1743"/>
      <c r="HQ2" s="1743"/>
      <c r="HR2" s="1743"/>
      <c r="HS2" s="1668" t="str">
        <f>'OPER.-NONMAJOR SP. REVENUE(65)'!HS3:HV3</f>
        <v>NAME</v>
      </c>
      <c r="HT2" s="1743"/>
      <c r="HU2" s="1743"/>
      <c r="HV2" s="1743"/>
      <c r="HW2" s="1668" t="str">
        <f>'OPER.-NONMAJOR SP. REVENUE(65)'!HW3:HZ3</f>
        <v>NAME</v>
      </c>
      <c r="HX2" s="1743"/>
      <c r="HY2" s="1743"/>
      <c r="HZ2" s="1743"/>
      <c r="IA2" s="1668" t="str">
        <f>'OPER.-NONMAJOR SP. REVENUE(65)'!IA3:ID3</f>
        <v>NAME</v>
      </c>
      <c r="IB2" s="1743"/>
      <c r="IC2" s="1743"/>
      <c r="ID2" s="1743"/>
      <c r="IE2" s="1668" t="str">
        <f>'OPER.-NONMAJOR SP. REVENUE(65)'!IE3:IH3</f>
        <v>NAME</v>
      </c>
      <c r="IF2" s="1743"/>
      <c r="IG2" s="1743"/>
      <c r="IH2" s="1743"/>
      <c r="II2" s="1668" t="str">
        <f>'OPER.-NONMAJOR SP. REVENUE(65)'!II3:IL3</f>
        <v>NAME</v>
      </c>
      <c r="IJ2" s="1743"/>
      <c r="IK2" s="1743"/>
      <c r="IL2" s="1743"/>
      <c r="IM2" s="1668" t="str">
        <f>'OPER.-NONMAJOR SP. REVENUE(65)'!IM3:IP3</f>
        <v>NAME</v>
      </c>
      <c r="IN2" s="1743"/>
      <c r="IO2" s="1743"/>
      <c r="IP2" s="1743"/>
      <c r="IQ2" s="431"/>
      <c r="IR2" s="431"/>
      <c r="IS2" s="431"/>
      <c r="IT2" s="431"/>
    </row>
    <row r="3" spans="1:254" ht="15.75">
      <c r="A3" s="425"/>
      <c r="B3" s="276"/>
      <c r="C3" s="693"/>
      <c r="D3" s="694"/>
      <c r="E3" s="691"/>
      <c r="F3" s="781" t="s">
        <v>1001</v>
      </c>
      <c r="G3" s="693"/>
      <c r="H3" s="694"/>
      <c r="I3" s="691"/>
      <c r="J3" s="781" t="s">
        <v>1001</v>
      </c>
      <c r="K3" s="693"/>
      <c r="L3" s="694"/>
      <c r="M3" s="691"/>
      <c r="N3" s="781" t="s">
        <v>1001</v>
      </c>
      <c r="O3" s="693"/>
      <c r="P3" s="694"/>
      <c r="Q3" s="691"/>
      <c r="R3" s="781" t="s">
        <v>1001</v>
      </c>
      <c r="S3" s="693"/>
      <c r="T3" s="694"/>
      <c r="U3" s="691"/>
      <c r="V3" s="781" t="s">
        <v>1001</v>
      </c>
      <c r="W3" s="693"/>
      <c r="X3" s="694"/>
      <c r="Y3" s="691"/>
      <c r="Z3" s="781" t="s">
        <v>1001</v>
      </c>
      <c r="AA3" s="693"/>
      <c r="AB3" s="694"/>
      <c r="AC3" s="691"/>
      <c r="AD3" s="781" t="s">
        <v>1001</v>
      </c>
      <c r="AE3" s="693"/>
      <c r="AF3" s="694"/>
      <c r="AG3" s="691"/>
      <c r="AH3" s="781" t="s">
        <v>1001</v>
      </c>
      <c r="AI3" s="693"/>
      <c r="AJ3" s="694"/>
      <c r="AK3" s="691"/>
      <c r="AL3" s="781" t="s">
        <v>1001</v>
      </c>
      <c r="AM3" s="693"/>
      <c r="AN3" s="694"/>
      <c r="AO3" s="691"/>
      <c r="AP3" s="781" t="s">
        <v>1001</v>
      </c>
      <c r="AQ3" s="693"/>
      <c r="AR3" s="694"/>
      <c r="AS3" s="691"/>
      <c r="AT3" s="781" t="s">
        <v>1001</v>
      </c>
      <c r="AU3" s="693"/>
      <c r="AV3" s="694"/>
      <c r="AW3" s="691"/>
      <c r="AX3" s="781" t="s">
        <v>1001</v>
      </c>
      <c r="AY3" s="693"/>
      <c r="AZ3" s="694"/>
      <c r="BA3" s="691"/>
      <c r="BB3" s="781" t="s">
        <v>1001</v>
      </c>
      <c r="BC3" s="693"/>
      <c r="BD3" s="694"/>
      <c r="BE3" s="691"/>
      <c r="BF3" s="781" t="s">
        <v>1001</v>
      </c>
      <c r="BG3" s="693"/>
      <c r="BH3" s="694"/>
      <c r="BI3" s="691"/>
      <c r="BJ3" s="781" t="s">
        <v>1001</v>
      </c>
      <c r="BK3" s="693"/>
      <c r="BL3" s="694"/>
      <c r="BM3" s="691"/>
      <c r="BN3" s="781" t="s">
        <v>1001</v>
      </c>
      <c r="BO3" s="693"/>
      <c r="BP3" s="694"/>
      <c r="BQ3" s="691"/>
      <c r="BR3" s="781" t="s">
        <v>1001</v>
      </c>
      <c r="BS3" s="693"/>
      <c r="BT3" s="694"/>
      <c r="BU3" s="691"/>
      <c r="BV3" s="781" t="s">
        <v>1001</v>
      </c>
      <c r="BW3" s="693"/>
      <c r="BX3" s="694"/>
      <c r="BY3" s="691"/>
      <c r="BZ3" s="781" t="s">
        <v>1001</v>
      </c>
      <c r="CA3" s="693"/>
      <c r="CB3" s="694"/>
      <c r="CC3" s="691"/>
      <c r="CD3" s="781" t="s">
        <v>1001</v>
      </c>
      <c r="CE3" s="693"/>
      <c r="CF3" s="694"/>
      <c r="CG3" s="691"/>
      <c r="CH3" s="781" t="s">
        <v>1001</v>
      </c>
      <c r="CI3" s="693"/>
      <c r="CJ3" s="694"/>
      <c r="CK3" s="691"/>
      <c r="CL3" s="781" t="s">
        <v>1001</v>
      </c>
      <c r="CM3" s="693"/>
      <c r="CN3" s="694"/>
      <c r="CO3" s="691"/>
      <c r="CP3" s="781" t="s">
        <v>1001</v>
      </c>
      <c r="CQ3" s="693"/>
      <c r="CR3" s="694"/>
      <c r="CS3" s="691"/>
      <c r="CT3" s="781" t="s">
        <v>1001</v>
      </c>
      <c r="CU3" s="693"/>
      <c r="CV3" s="694"/>
      <c r="CW3" s="691"/>
      <c r="CX3" s="781" t="s">
        <v>1001</v>
      </c>
      <c r="CY3" s="693"/>
      <c r="CZ3" s="694"/>
      <c r="DA3" s="691"/>
      <c r="DB3" s="781" t="s">
        <v>1001</v>
      </c>
      <c r="DC3" s="693"/>
      <c r="DD3" s="694"/>
      <c r="DE3" s="691"/>
      <c r="DF3" s="781" t="s">
        <v>1001</v>
      </c>
      <c r="DG3" s="693"/>
      <c r="DH3" s="694"/>
      <c r="DI3" s="691"/>
      <c r="DJ3" s="781" t="s">
        <v>1001</v>
      </c>
      <c r="DK3" s="693"/>
      <c r="DL3" s="694"/>
      <c r="DM3" s="691"/>
      <c r="DN3" s="781" t="s">
        <v>1001</v>
      </c>
      <c r="DO3" s="693"/>
      <c r="DP3" s="694"/>
      <c r="DQ3" s="691"/>
      <c r="DR3" s="781" t="s">
        <v>1001</v>
      </c>
      <c r="DS3" s="693"/>
      <c r="DT3" s="694"/>
      <c r="DU3" s="691"/>
      <c r="DV3" s="781" t="s">
        <v>1001</v>
      </c>
      <c r="DW3" s="693"/>
      <c r="DX3" s="694"/>
      <c r="DY3" s="691"/>
      <c r="DZ3" s="781" t="s">
        <v>1001</v>
      </c>
      <c r="EA3" s="693"/>
      <c r="EB3" s="694"/>
      <c r="EC3" s="691"/>
      <c r="ED3" s="781" t="s">
        <v>1001</v>
      </c>
      <c r="EE3" s="693"/>
      <c r="EF3" s="694"/>
      <c r="EG3" s="691"/>
      <c r="EH3" s="781" t="s">
        <v>1001</v>
      </c>
      <c r="EI3" s="693"/>
      <c r="EJ3" s="694"/>
      <c r="EK3" s="691"/>
      <c r="EL3" s="781" t="s">
        <v>1001</v>
      </c>
      <c r="EM3" s="693"/>
      <c r="EN3" s="694"/>
      <c r="EO3" s="691"/>
      <c r="EP3" s="781" t="s">
        <v>1001</v>
      </c>
      <c r="EQ3" s="693"/>
      <c r="ER3" s="694"/>
      <c r="ES3" s="691"/>
      <c r="ET3" s="781" t="s">
        <v>1001</v>
      </c>
      <c r="EU3" s="693"/>
      <c r="EV3" s="694"/>
      <c r="EW3" s="691"/>
      <c r="EX3" s="781" t="s">
        <v>1001</v>
      </c>
      <c r="EY3" s="693"/>
      <c r="EZ3" s="694"/>
      <c r="FA3" s="691"/>
      <c r="FB3" s="781" t="s">
        <v>1001</v>
      </c>
      <c r="FC3" s="693"/>
      <c r="FD3" s="694"/>
      <c r="FE3" s="691"/>
      <c r="FF3" s="781" t="s">
        <v>1001</v>
      </c>
      <c r="FG3" s="693"/>
      <c r="FH3" s="694"/>
      <c r="FI3" s="691"/>
      <c r="FJ3" s="781" t="s">
        <v>1001</v>
      </c>
      <c r="FK3" s="693"/>
      <c r="FL3" s="694"/>
      <c r="FM3" s="691"/>
      <c r="FN3" s="781" t="s">
        <v>1001</v>
      </c>
      <c r="FO3" s="693"/>
      <c r="FP3" s="694"/>
      <c r="FQ3" s="691"/>
      <c r="FR3" s="781" t="s">
        <v>1001</v>
      </c>
      <c r="FS3" s="693"/>
      <c r="FT3" s="694"/>
      <c r="FU3" s="691"/>
      <c r="FV3" s="781" t="s">
        <v>1001</v>
      </c>
      <c r="FW3" s="693"/>
      <c r="FX3" s="694"/>
      <c r="FY3" s="691"/>
      <c r="FZ3" s="781" t="s">
        <v>1001</v>
      </c>
      <c r="GA3" s="693"/>
      <c r="GB3" s="694"/>
      <c r="GC3" s="691"/>
      <c r="GD3" s="781" t="s">
        <v>1001</v>
      </c>
      <c r="GE3" s="693"/>
      <c r="GF3" s="694"/>
      <c r="GG3" s="691"/>
      <c r="GH3" s="781" t="s">
        <v>1001</v>
      </c>
      <c r="GI3" s="693"/>
      <c r="GJ3" s="694"/>
      <c r="GK3" s="691"/>
      <c r="GL3" s="781" t="s">
        <v>1001</v>
      </c>
      <c r="GM3" s="693"/>
      <c r="GN3" s="694"/>
      <c r="GO3" s="691"/>
      <c r="GP3" s="781" t="s">
        <v>1001</v>
      </c>
      <c r="GQ3" s="693"/>
      <c r="GR3" s="694"/>
      <c r="GS3" s="691"/>
      <c r="GT3" s="781" t="s">
        <v>1001</v>
      </c>
      <c r="GU3" s="693"/>
      <c r="GV3" s="694"/>
      <c r="GW3" s="691"/>
      <c r="GX3" s="781" t="s">
        <v>1001</v>
      </c>
      <c r="GY3" s="693"/>
      <c r="GZ3" s="694"/>
      <c r="HA3" s="691"/>
      <c r="HB3" s="781" t="s">
        <v>1001</v>
      </c>
      <c r="HC3" s="693"/>
      <c r="HD3" s="694"/>
      <c r="HE3" s="691"/>
      <c r="HF3" s="781" t="s">
        <v>1001</v>
      </c>
      <c r="HG3" s="693"/>
      <c r="HH3" s="694"/>
      <c r="HI3" s="691"/>
      <c r="HJ3" s="781" t="s">
        <v>1001</v>
      </c>
      <c r="HK3" s="693"/>
      <c r="HL3" s="694"/>
      <c r="HM3" s="691"/>
      <c r="HN3" s="781" t="s">
        <v>1001</v>
      </c>
      <c r="HO3" s="693"/>
      <c r="HP3" s="694"/>
      <c r="HQ3" s="691"/>
      <c r="HR3" s="781" t="s">
        <v>1001</v>
      </c>
      <c r="HS3" s="693"/>
      <c r="HT3" s="694"/>
      <c r="HU3" s="691"/>
      <c r="HV3" s="781" t="s">
        <v>1001</v>
      </c>
      <c r="HW3" s="693"/>
      <c r="HX3" s="694"/>
      <c r="HY3" s="691"/>
      <c r="HZ3" s="781" t="s">
        <v>1001</v>
      </c>
      <c r="IA3" s="693"/>
      <c r="IB3" s="694"/>
      <c r="IC3" s="691"/>
      <c r="ID3" s="781" t="s">
        <v>1001</v>
      </c>
      <c r="IE3" s="693"/>
      <c r="IF3" s="694"/>
      <c r="IG3" s="691"/>
      <c r="IH3" s="781" t="s">
        <v>1001</v>
      </c>
      <c r="II3" s="693"/>
      <c r="IJ3" s="694"/>
      <c r="IK3" s="691"/>
      <c r="IL3" s="781" t="s">
        <v>1001</v>
      </c>
      <c r="IM3" s="693"/>
      <c r="IN3" s="694"/>
      <c r="IO3" s="691"/>
      <c r="IP3" s="781" t="s">
        <v>1001</v>
      </c>
      <c r="IQ3" s="693"/>
      <c r="IR3" s="694"/>
      <c r="IS3" s="691"/>
      <c r="IT3" s="781" t="s">
        <v>1001</v>
      </c>
    </row>
    <row r="4" spans="1:254" ht="15.75" customHeight="1">
      <c r="A4" s="282"/>
      <c r="B4" s="282"/>
      <c r="C4" s="430"/>
      <c r="D4" s="430"/>
      <c r="E4" s="430"/>
      <c r="F4" s="430" t="s">
        <v>1002</v>
      </c>
      <c r="G4" s="430"/>
      <c r="H4" s="430"/>
      <c r="I4" s="430"/>
      <c r="J4" s="430" t="s">
        <v>1002</v>
      </c>
      <c r="K4" s="430"/>
      <c r="L4" s="430"/>
      <c r="M4" s="430"/>
      <c r="N4" s="430" t="s">
        <v>1002</v>
      </c>
      <c r="O4" s="430"/>
      <c r="P4" s="430"/>
      <c r="Q4" s="430"/>
      <c r="R4" s="430" t="s">
        <v>1002</v>
      </c>
      <c r="S4" s="430"/>
      <c r="T4" s="430"/>
      <c r="U4" s="430"/>
      <c r="V4" s="430" t="s">
        <v>1002</v>
      </c>
      <c r="W4" s="430"/>
      <c r="X4" s="430"/>
      <c r="Y4" s="430"/>
      <c r="Z4" s="430" t="s">
        <v>1002</v>
      </c>
      <c r="AA4" s="430"/>
      <c r="AB4" s="430"/>
      <c r="AC4" s="430"/>
      <c r="AD4" s="430" t="s">
        <v>1002</v>
      </c>
      <c r="AE4" s="430"/>
      <c r="AF4" s="430"/>
      <c r="AG4" s="430"/>
      <c r="AH4" s="430" t="s">
        <v>1002</v>
      </c>
      <c r="AI4" s="430"/>
      <c r="AJ4" s="430"/>
      <c r="AK4" s="430"/>
      <c r="AL4" s="430" t="s">
        <v>1002</v>
      </c>
      <c r="AM4" s="430"/>
      <c r="AN4" s="430"/>
      <c r="AO4" s="430"/>
      <c r="AP4" s="430" t="s">
        <v>1002</v>
      </c>
      <c r="AQ4" s="430"/>
      <c r="AR4" s="430"/>
      <c r="AS4" s="430"/>
      <c r="AT4" s="430" t="s">
        <v>1002</v>
      </c>
      <c r="AU4" s="430"/>
      <c r="AV4" s="430"/>
      <c r="AW4" s="430"/>
      <c r="AX4" s="430" t="s">
        <v>1002</v>
      </c>
      <c r="AY4" s="430"/>
      <c r="AZ4" s="430"/>
      <c r="BA4" s="430"/>
      <c r="BB4" s="430" t="s">
        <v>1002</v>
      </c>
      <c r="BC4" s="430"/>
      <c r="BD4" s="430"/>
      <c r="BE4" s="430"/>
      <c r="BF4" s="430" t="s">
        <v>1002</v>
      </c>
      <c r="BG4" s="430"/>
      <c r="BH4" s="430"/>
      <c r="BI4" s="430"/>
      <c r="BJ4" s="430" t="s">
        <v>1002</v>
      </c>
      <c r="BK4" s="430"/>
      <c r="BL4" s="430"/>
      <c r="BM4" s="430"/>
      <c r="BN4" s="430" t="s">
        <v>1002</v>
      </c>
      <c r="BO4" s="430"/>
      <c r="BP4" s="430"/>
      <c r="BQ4" s="430"/>
      <c r="BR4" s="430" t="s">
        <v>1002</v>
      </c>
      <c r="BS4" s="430"/>
      <c r="BT4" s="430"/>
      <c r="BU4" s="430"/>
      <c r="BV4" s="430" t="s">
        <v>1002</v>
      </c>
      <c r="BW4" s="430"/>
      <c r="BX4" s="430"/>
      <c r="BY4" s="430"/>
      <c r="BZ4" s="430" t="s">
        <v>1002</v>
      </c>
      <c r="CA4" s="430"/>
      <c r="CB4" s="430"/>
      <c r="CC4" s="430"/>
      <c r="CD4" s="430" t="s">
        <v>1002</v>
      </c>
      <c r="CE4" s="430"/>
      <c r="CF4" s="430"/>
      <c r="CG4" s="430"/>
      <c r="CH4" s="430" t="s">
        <v>1002</v>
      </c>
      <c r="CI4" s="430"/>
      <c r="CJ4" s="430"/>
      <c r="CK4" s="430"/>
      <c r="CL4" s="430" t="s">
        <v>1002</v>
      </c>
      <c r="CM4" s="430"/>
      <c r="CN4" s="430"/>
      <c r="CO4" s="430"/>
      <c r="CP4" s="430" t="s">
        <v>1002</v>
      </c>
      <c r="CQ4" s="430"/>
      <c r="CR4" s="430"/>
      <c r="CS4" s="430"/>
      <c r="CT4" s="430" t="s">
        <v>1002</v>
      </c>
      <c r="CU4" s="430"/>
      <c r="CV4" s="430"/>
      <c r="CW4" s="430"/>
      <c r="CX4" s="430" t="s">
        <v>1002</v>
      </c>
      <c r="CY4" s="430"/>
      <c r="CZ4" s="430"/>
      <c r="DA4" s="430"/>
      <c r="DB4" s="430" t="s">
        <v>1002</v>
      </c>
      <c r="DC4" s="430"/>
      <c r="DD4" s="430"/>
      <c r="DE4" s="430"/>
      <c r="DF4" s="430" t="s">
        <v>1002</v>
      </c>
      <c r="DG4" s="430"/>
      <c r="DH4" s="430"/>
      <c r="DI4" s="430"/>
      <c r="DJ4" s="430" t="s">
        <v>1002</v>
      </c>
      <c r="DK4" s="430"/>
      <c r="DL4" s="430"/>
      <c r="DM4" s="430"/>
      <c r="DN4" s="430" t="s">
        <v>1002</v>
      </c>
      <c r="DO4" s="430"/>
      <c r="DP4" s="430"/>
      <c r="DQ4" s="430"/>
      <c r="DR4" s="430" t="s">
        <v>1002</v>
      </c>
      <c r="DS4" s="430" t="s">
        <v>1428</v>
      </c>
      <c r="DT4" s="430"/>
      <c r="DU4" s="430"/>
      <c r="DV4" s="430" t="s">
        <v>1002</v>
      </c>
      <c r="DW4" s="430"/>
      <c r="DX4" s="430"/>
      <c r="DY4" s="430"/>
      <c r="DZ4" s="430" t="s">
        <v>1002</v>
      </c>
      <c r="EA4" s="430"/>
      <c r="EB4" s="430"/>
      <c r="EC4" s="430"/>
      <c r="ED4" s="430" t="s">
        <v>1002</v>
      </c>
      <c r="EE4" s="430"/>
      <c r="EF4" s="430"/>
      <c r="EG4" s="430"/>
      <c r="EH4" s="430" t="s">
        <v>1002</v>
      </c>
      <c r="EI4" s="430"/>
      <c r="EJ4" s="430"/>
      <c r="EK4" s="430"/>
      <c r="EL4" s="430" t="s">
        <v>1002</v>
      </c>
      <c r="EM4" s="430"/>
      <c r="EN4" s="430"/>
      <c r="EO4" s="430"/>
      <c r="EP4" s="430" t="s">
        <v>1002</v>
      </c>
      <c r="EQ4" s="430"/>
      <c r="ER4" s="430"/>
      <c r="ES4" s="430"/>
      <c r="ET4" s="430" t="s">
        <v>1002</v>
      </c>
      <c r="EU4" s="430"/>
      <c r="EV4" s="430"/>
      <c r="EW4" s="430"/>
      <c r="EX4" s="430" t="s">
        <v>1002</v>
      </c>
      <c r="EY4" s="430"/>
      <c r="EZ4" s="430"/>
      <c r="FA4" s="430"/>
      <c r="FB4" s="430" t="s">
        <v>1002</v>
      </c>
      <c r="FC4" s="430"/>
      <c r="FD4" s="430"/>
      <c r="FE4" s="430"/>
      <c r="FF4" s="430" t="s">
        <v>1002</v>
      </c>
      <c r="FG4" s="430"/>
      <c r="FH4" s="430"/>
      <c r="FI4" s="430"/>
      <c r="FJ4" s="430" t="s">
        <v>1002</v>
      </c>
      <c r="FK4" s="430"/>
      <c r="FL4" s="430"/>
      <c r="FM4" s="430"/>
      <c r="FN4" s="430" t="s">
        <v>1002</v>
      </c>
      <c r="FO4" s="430"/>
      <c r="FP4" s="430"/>
      <c r="FQ4" s="430"/>
      <c r="FR4" s="430" t="s">
        <v>1002</v>
      </c>
      <c r="FS4" s="430"/>
      <c r="FT4" s="430"/>
      <c r="FU4" s="430"/>
      <c r="FV4" s="430" t="s">
        <v>1002</v>
      </c>
      <c r="FW4" s="430"/>
      <c r="FX4" s="430"/>
      <c r="FY4" s="430"/>
      <c r="FZ4" s="430" t="s">
        <v>1002</v>
      </c>
      <c r="GA4" s="430"/>
      <c r="GB4" s="430"/>
      <c r="GC4" s="430"/>
      <c r="GD4" s="430" t="s">
        <v>1002</v>
      </c>
      <c r="GE4" s="430"/>
      <c r="GF4" s="430"/>
      <c r="GG4" s="430"/>
      <c r="GH4" s="430" t="s">
        <v>1002</v>
      </c>
      <c r="GI4" s="430"/>
      <c r="GJ4" s="430"/>
      <c r="GK4" s="430"/>
      <c r="GL4" s="430" t="s">
        <v>1002</v>
      </c>
      <c r="GM4" s="430"/>
      <c r="GN4" s="430"/>
      <c r="GO4" s="430"/>
      <c r="GP4" s="430" t="s">
        <v>1002</v>
      </c>
      <c r="GQ4" s="430"/>
      <c r="GR4" s="430"/>
      <c r="GS4" s="430"/>
      <c r="GT4" s="430" t="s">
        <v>1002</v>
      </c>
      <c r="GU4" s="430"/>
      <c r="GV4" s="430"/>
      <c r="GW4" s="430"/>
      <c r="GX4" s="430" t="s">
        <v>1002</v>
      </c>
      <c r="GY4" s="430"/>
      <c r="GZ4" s="430"/>
      <c r="HA4" s="430"/>
      <c r="HB4" s="430" t="s">
        <v>1002</v>
      </c>
      <c r="HC4" s="430"/>
      <c r="HD4" s="430"/>
      <c r="HE4" s="430"/>
      <c r="HF4" s="430" t="s">
        <v>1002</v>
      </c>
      <c r="HG4" s="430"/>
      <c r="HH4" s="430"/>
      <c r="HI4" s="430"/>
      <c r="HJ4" s="430" t="s">
        <v>1002</v>
      </c>
      <c r="HK4" s="430"/>
      <c r="HL4" s="430"/>
      <c r="HM4" s="430"/>
      <c r="HN4" s="430" t="s">
        <v>1002</v>
      </c>
      <c r="HO4" s="430"/>
      <c r="HP4" s="430"/>
      <c r="HQ4" s="430"/>
      <c r="HR4" s="430" t="s">
        <v>1002</v>
      </c>
      <c r="HS4" s="430"/>
      <c r="HT4" s="430"/>
      <c r="HU4" s="430"/>
      <c r="HV4" s="430" t="s">
        <v>1002</v>
      </c>
      <c r="HW4" s="430"/>
      <c r="HX4" s="430"/>
      <c r="HY4" s="430"/>
      <c r="HZ4" s="430" t="s">
        <v>1002</v>
      </c>
      <c r="IA4" s="430"/>
      <c r="IB4" s="430"/>
      <c r="IC4" s="430"/>
      <c r="ID4" s="430" t="s">
        <v>1002</v>
      </c>
      <c r="IE4" s="430"/>
      <c r="IF4" s="430"/>
      <c r="IG4" s="430"/>
      <c r="IH4" s="430" t="s">
        <v>1002</v>
      </c>
      <c r="II4" s="430"/>
      <c r="IJ4" s="430"/>
      <c r="IK4" s="430"/>
      <c r="IL4" s="430" t="s">
        <v>1002</v>
      </c>
      <c r="IM4" s="430"/>
      <c r="IN4" s="430"/>
      <c r="IO4" s="430"/>
      <c r="IP4" s="430" t="s">
        <v>1002</v>
      </c>
      <c r="IQ4" s="430"/>
      <c r="IR4" s="430"/>
      <c r="IS4" s="430"/>
      <c r="IT4" s="430" t="s">
        <v>1002</v>
      </c>
    </row>
    <row r="5" spans="1:254" s="308" customFormat="1" ht="16.5" thickBot="1">
      <c r="A5" s="411"/>
      <c r="B5" s="411"/>
      <c r="C5" s="695" t="s">
        <v>994</v>
      </c>
      <c r="D5" s="682"/>
      <c r="E5" s="430"/>
      <c r="F5" s="430" t="s">
        <v>1003</v>
      </c>
      <c r="G5" s="695" t="s">
        <v>994</v>
      </c>
      <c r="H5" s="682"/>
      <c r="I5" s="430"/>
      <c r="J5" s="430" t="s">
        <v>1003</v>
      </c>
      <c r="K5" s="695" t="s">
        <v>994</v>
      </c>
      <c r="L5" s="682"/>
      <c r="M5" s="430"/>
      <c r="N5" s="430" t="s">
        <v>1003</v>
      </c>
      <c r="O5" s="695" t="s">
        <v>994</v>
      </c>
      <c r="P5" s="682"/>
      <c r="Q5" s="430"/>
      <c r="R5" s="430" t="s">
        <v>1003</v>
      </c>
      <c r="S5" s="695" t="s">
        <v>994</v>
      </c>
      <c r="T5" s="682"/>
      <c r="U5" s="430"/>
      <c r="V5" s="430" t="s">
        <v>1003</v>
      </c>
      <c r="W5" s="695" t="s">
        <v>994</v>
      </c>
      <c r="X5" s="682"/>
      <c r="Y5" s="430"/>
      <c r="Z5" s="430" t="s">
        <v>1003</v>
      </c>
      <c r="AA5" s="695" t="s">
        <v>994</v>
      </c>
      <c r="AB5" s="682"/>
      <c r="AC5" s="430"/>
      <c r="AD5" s="430" t="s">
        <v>1003</v>
      </c>
      <c r="AE5" s="695" t="s">
        <v>994</v>
      </c>
      <c r="AF5" s="682"/>
      <c r="AG5" s="430"/>
      <c r="AH5" s="430" t="s">
        <v>1003</v>
      </c>
      <c r="AI5" s="695" t="s">
        <v>994</v>
      </c>
      <c r="AJ5" s="682"/>
      <c r="AK5" s="430"/>
      <c r="AL5" s="430" t="s">
        <v>1003</v>
      </c>
      <c r="AM5" s="695" t="s">
        <v>994</v>
      </c>
      <c r="AN5" s="682"/>
      <c r="AO5" s="430"/>
      <c r="AP5" s="430" t="s">
        <v>1003</v>
      </c>
      <c r="AQ5" s="695" t="s">
        <v>994</v>
      </c>
      <c r="AR5" s="682"/>
      <c r="AS5" s="430"/>
      <c r="AT5" s="430" t="s">
        <v>1003</v>
      </c>
      <c r="AU5" s="695" t="s">
        <v>994</v>
      </c>
      <c r="AV5" s="682"/>
      <c r="AW5" s="430"/>
      <c r="AX5" s="430" t="s">
        <v>1003</v>
      </c>
      <c r="AY5" s="695" t="s">
        <v>994</v>
      </c>
      <c r="AZ5" s="682"/>
      <c r="BA5" s="430"/>
      <c r="BB5" s="430" t="s">
        <v>1003</v>
      </c>
      <c r="BC5" s="695" t="s">
        <v>994</v>
      </c>
      <c r="BD5" s="682"/>
      <c r="BE5" s="430"/>
      <c r="BF5" s="430" t="s">
        <v>1003</v>
      </c>
      <c r="BG5" s="695" t="s">
        <v>994</v>
      </c>
      <c r="BH5" s="682"/>
      <c r="BI5" s="430"/>
      <c r="BJ5" s="430" t="s">
        <v>1003</v>
      </c>
      <c r="BK5" s="695" t="s">
        <v>994</v>
      </c>
      <c r="BL5" s="682"/>
      <c r="BM5" s="430"/>
      <c r="BN5" s="430" t="s">
        <v>1003</v>
      </c>
      <c r="BO5" s="695" t="s">
        <v>994</v>
      </c>
      <c r="BP5" s="682"/>
      <c r="BQ5" s="430"/>
      <c r="BR5" s="430" t="s">
        <v>1003</v>
      </c>
      <c r="BS5" s="695" t="s">
        <v>994</v>
      </c>
      <c r="BT5" s="682"/>
      <c r="BU5" s="430"/>
      <c r="BV5" s="430" t="s">
        <v>1003</v>
      </c>
      <c r="BW5" s="695" t="s">
        <v>994</v>
      </c>
      <c r="BX5" s="682"/>
      <c r="BY5" s="430"/>
      <c r="BZ5" s="430" t="s">
        <v>1003</v>
      </c>
      <c r="CA5" s="695" t="s">
        <v>994</v>
      </c>
      <c r="CB5" s="682"/>
      <c r="CC5" s="430"/>
      <c r="CD5" s="430" t="s">
        <v>1003</v>
      </c>
      <c r="CE5" s="695" t="s">
        <v>994</v>
      </c>
      <c r="CF5" s="682"/>
      <c r="CG5" s="430"/>
      <c r="CH5" s="430" t="s">
        <v>1003</v>
      </c>
      <c r="CI5" s="695" t="s">
        <v>994</v>
      </c>
      <c r="CJ5" s="682"/>
      <c r="CK5" s="430"/>
      <c r="CL5" s="430" t="s">
        <v>1003</v>
      </c>
      <c r="CM5" s="695" t="s">
        <v>994</v>
      </c>
      <c r="CN5" s="682"/>
      <c r="CO5" s="430"/>
      <c r="CP5" s="430" t="s">
        <v>1003</v>
      </c>
      <c r="CQ5" s="695" t="s">
        <v>994</v>
      </c>
      <c r="CR5" s="682"/>
      <c r="CS5" s="430"/>
      <c r="CT5" s="430" t="s">
        <v>1003</v>
      </c>
      <c r="CU5" s="695" t="s">
        <v>994</v>
      </c>
      <c r="CV5" s="682"/>
      <c r="CW5" s="430"/>
      <c r="CX5" s="430" t="s">
        <v>1003</v>
      </c>
      <c r="CY5" s="695" t="s">
        <v>994</v>
      </c>
      <c r="CZ5" s="682"/>
      <c r="DA5" s="430"/>
      <c r="DB5" s="430" t="s">
        <v>1003</v>
      </c>
      <c r="DC5" s="695" t="s">
        <v>994</v>
      </c>
      <c r="DD5" s="682"/>
      <c r="DE5" s="430"/>
      <c r="DF5" s="430" t="s">
        <v>1003</v>
      </c>
      <c r="DG5" s="695" t="s">
        <v>994</v>
      </c>
      <c r="DH5" s="682"/>
      <c r="DI5" s="430"/>
      <c r="DJ5" s="430" t="s">
        <v>1003</v>
      </c>
      <c r="DK5" s="695" t="s">
        <v>994</v>
      </c>
      <c r="DL5" s="682"/>
      <c r="DM5" s="430"/>
      <c r="DN5" s="430" t="s">
        <v>1003</v>
      </c>
      <c r="DO5" s="695" t="s">
        <v>994</v>
      </c>
      <c r="DP5" s="682"/>
      <c r="DQ5" s="430"/>
      <c r="DR5" s="430" t="s">
        <v>1003</v>
      </c>
      <c r="DS5" s="695" t="s">
        <v>994</v>
      </c>
      <c r="DT5" s="682"/>
      <c r="DU5" s="430"/>
      <c r="DV5" s="430" t="s">
        <v>1003</v>
      </c>
      <c r="DW5" s="695" t="s">
        <v>994</v>
      </c>
      <c r="DX5" s="682"/>
      <c r="DY5" s="430"/>
      <c r="DZ5" s="430" t="s">
        <v>1003</v>
      </c>
      <c r="EA5" s="695" t="s">
        <v>994</v>
      </c>
      <c r="EB5" s="682"/>
      <c r="EC5" s="430"/>
      <c r="ED5" s="430" t="s">
        <v>1003</v>
      </c>
      <c r="EE5" s="695" t="s">
        <v>994</v>
      </c>
      <c r="EF5" s="682"/>
      <c r="EG5" s="430"/>
      <c r="EH5" s="430" t="s">
        <v>1003</v>
      </c>
      <c r="EI5" s="695" t="s">
        <v>994</v>
      </c>
      <c r="EJ5" s="682"/>
      <c r="EK5" s="430"/>
      <c r="EL5" s="430" t="s">
        <v>1003</v>
      </c>
      <c r="EM5" s="695" t="s">
        <v>994</v>
      </c>
      <c r="EN5" s="682"/>
      <c r="EO5" s="430"/>
      <c r="EP5" s="430" t="s">
        <v>1003</v>
      </c>
      <c r="EQ5" s="695" t="s">
        <v>994</v>
      </c>
      <c r="ER5" s="682"/>
      <c r="ES5" s="430"/>
      <c r="ET5" s="430" t="s">
        <v>1003</v>
      </c>
      <c r="EU5" s="695" t="s">
        <v>994</v>
      </c>
      <c r="EV5" s="682"/>
      <c r="EW5" s="430"/>
      <c r="EX5" s="430" t="s">
        <v>1003</v>
      </c>
      <c r="EY5" s="695" t="s">
        <v>994</v>
      </c>
      <c r="EZ5" s="682"/>
      <c r="FA5" s="430"/>
      <c r="FB5" s="430" t="s">
        <v>1003</v>
      </c>
      <c r="FC5" s="695" t="s">
        <v>994</v>
      </c>
      <c r="FD5" s="682"/>
      <c r="FE5" s="430"/>
      <c r="FF5" s="430" t="s">
        <v>1003</v>
      </c>
      <c r="FG5" s="695" t="s">
        <v>994</v>
      </c>
      <c r="FH5" s="682"/>
      <c r="FI5" s="430"/>
      <c r="FJ5" s="430" t="s">
        <v>1003</v>
      </c>
      <c r="FK5" s="695" t="s">
        <v>994</v>
      </c>
      <c r="FL5" s="682"/>
      <c r="FM5" s="430"/>
      <c r="FN5" s="430" t="s">
        <v>1003</v>
      </c>
      <c r="FO5" s="695" t="s">
        <v>994</v>
      </c>
      <c r="FP5" s="682"/>
      <c r="FQ5" s="430"/>
      <c r="FR5" s="430" t="s">
        <v>1003</v>
      </c>
      <c r="FS5" s="695" t="s">
        <v>994</v>
      </c>
      <c r="FT5" s="682"/>
      <c r="FU5" s="430"/>
      <c r="FV5" s="430" t="s">
        <v>1003</v>
      </c>
      <c r="FW5" s="695" t="s">
        <v>994</v>
      </c>
      <c r="FX5" s="682"/>
      <c r="FY5" s="430"/>
      <c r="FZ5" s="430" t="s">
        <v>1003</v>
      </c>
      <c r="GA5" s="695" t="s">
        <v>994</v>
      </c>
      <c r="GB5" s="682"/>
      <c r="GC5" s="430"/>
      <c r="GD5" s="430" t="s">
        <v>1003</v>
      </c>
      <c r="GE5" s="695" t="s">
        <v>994</v>
      </c>
      <c r="GF5" s="682"/>
      <c r="GG5" s="430"/>
      <c r="GH5" s="430" t="s">
        <v>1003</v>
      </c>
      <c r="GI5" s="695" t="s">
        <v>994</v>
      </c>
      <c r="GJ5" s="682"/>
      <c r="GK5" s="430"/>
      <c r="GL5" s="430" t="s">
        <v>1003</v>
      </c>
      <c r="GM5" s="695" t="s">
        <v>994</v>
      </c>
      <c r="GN5" s="682"/>
      <c r="GO5" s="430"/>
      <c r="GP5" s="430" t="s">
        <v>1003</v>
      </c>
      <c r="GQ5" s="695" t="s">
        <v>994</v>
      </c>
      <c r="GR5" s="682"/>
      <c r="GS5" s="430"/>
      <c r="GT5" s="430" t="s">
        <v>1003</v>
      </c>
      <c r="GU5" s="695" t="s">
        <v>994</v>
      </c>
      <c r="GV5" s="682"/>
      <c r="GW5" s="430"/>
      <c r="GX5" s="430" t="s">
        <v>1003</v>
      </c>
      <c r="GY5" s="695" t="s">
        <v>994</v>
      </c>
      <c r="GZ5" s="682"/>
      <c r="HA5" s="430"/>
      <c r="HB5" s="430" t="s">
        <v>1003</v>
      </c>
      <c r="HC5" s="695" t="s">
        <v>994</v>
      </c>
      <c r="HD5" s="682"/>
      <c r="HE5" s="430"/>
      <c r="HF5" s="430" t="s">
        <v>1003</v>
      </c>
      <c r="HG5" s="695" t="s">
        <v>994</v>
      </c>
      <c r="HH5" s="682"/>
      <c r="HI5" s="430"/>
      <c r="HJ5" s="430" t="s">
        <v>1003</v>
      </c>
      <c r="HK5" s="695" t="s">
        <v>994</v>
      </c>
      <c r="HL5" s="682"/>
      <c r="HM5" s="430"/>
      <c r="HN5" s="430" t="s">
        <v>1003</v>
      </c>
      <c r="HO5" s="695" t="s">
        <v>994</v>
      </c>
      <c r="HP5" s="682"/>
      <c r="HQ5" s="430"/>
      <c r="HR5" s="430" t="s">
        <v>1003</v>
      </c>
      <c r="HS5" s="695" t="s">
        <v>994</v>
      </c>
      <c r="HT5" s="682"/>
      <c r="HU5" s="430"/>
      <c r="HV5" s="430" t="s">
        <v>1003</v>
      </c>
      <c r="HW5" s="695" t="s">
        <v>994</v>
      </c>
      <c r="HX5" s="682"/>
      <c r="HY5" s="430"/>
      <c r="HZ5" s="430" t="s">
        <v>1003</v>
      </c>
      <c r="IA5" s="695" t="s">
        <v>994</v>
      </c>
      <c r="IB5" s="682"/>
      <c r="IC5" s="430"/>
      <c r="ID5" s="430" t="s">
        <v>1003</v>
      </c>
      <c r="IE5" s="695" t="s">
        <v>994</v>
      </c>
      <c r="IF5" s="682"/>
      <c r="IG5" s="430"/>
      <c r="IH5" s="430" t="s">
        <v>1003</v>
      </c>
      <c r="II5" s="695" t="s">
        <v>994</v>
      </c>
      <c r="IJ5" s="682"/>
      <c r="IK5" s="430"/>
      <c r="IL5" s="430" t="s">
        <v>1003</v>
      </c>
      <c r="IM5" s="695" t="s">
        <v>994</v>
      </c>
      <c r="IN5" s="682"/>
      <c r="IO5" s="430"/>
      <c r="IP5" s="430" t="s">
        <v>1003</v>
      </c>
      <c r="IQ5" s="695" t="s">
        <v>994</v>
      </c>
      <c r="IR5" s="682"/>
      <c r="IS5" s="430"/>
      <c r="IT5" s="430" t="s">
        <v>1003</v>
      </c>
    </row>
    <row r="6" spans="1:254" s="308" customFormat="1" ht="15.75">
      <c r="A6" s="430" t="s">
        <v>1013</v>
      </c>
      <c r="B6" s="430"/>
      <c r="C6" s="430"/>
      <c r="D6" s="430"/>
      <c r="E6" s="430" t="s">
        <v>999</v>
      </c>
      <c r="F6" s="430" t="s">
        <v>1004</v>
      </c>
      <c r="G6" s="430"/>
      <c r="H6" s="430"/>
      <c r="I6" s="430" t="s">
        <v>999</v>
      </c>
      <c r="J6" s="430" t="s">
        <v>1004</v>
      </c>
      <c r="K6" s="430"/>
      <c r="L6" s="430"/>
      <c r="M6" s="430" t="s">
        <v>999</v>
      </c>
      <c r="N6" s="430" t="s">
        <v>1004</v>
      </c>
      <c r="O6" s="430"/>
      <c r="P6" s="430"/>
      <c r="Q6" s="430" t="s">
        <v>999</v>
      </c>
      <c r="R6" s="430" t="s">
        <v>1004</v>
      </c>
      <c r="S6" s="430"/>
      <c r="T6" s="430"/>
      <c r="U6" s="430" t="s">
        <v>999</v>
      </c>
      <c r="V6" s="430" t="s">
        <v>1004</v>
      </c>
      <c r="W6" s="430"/>
      <c r="X6" s="430"/>
      <c r="Y6" s="430" t="s">
        <v>999</v>
      </c>
      <c r="Z6" s="430" t="s">
        <v>1004</v>
      </c>
      <c r="AA6" s="430"/>
      <c r="AB6" s="430"/>
      <c r="AC6" s="430" t="s">
        <v>999</v>
      </c>
      <c r="AD6" s="430" t="s">
        <v>1004</v>
      </c>
      <c r="AE6" s="430"/>
      <c r="AF6" s="430"/>
      <c r="AG6" s="430" t="s">
        <v>999</v>
      </c>
      <c r="AH6" s="430" t="s">
        <v>1004</v>
      </c>
      <c r="AI6" s="430"/>
      <c r="AJ6" s="430"/>
      <c r="AK6" s="430" t="s">
        <v>999</v>
      </c>
      <c r="AL6" s="430" t="s">
        <v>1004</v>
      </c>
      <c r="AM6" s="430"/>
      <c r="AN6" s="430"/>
      <c r="AO6" s="430" t="s">
        <v>999</v>
      </c>
      <c r="AP6" s="430" t="s">
        <v>1004</v>
      </c>
      <c r="AQ6" s="430"/>
      <c r="AR6" s="430"/>
      <c r="AS6" s="430" t="s">
        <v>999</v>
      </c>
      <c r="AT6" s="430" t="s">
        <v>1004</v>
      </c>
      <c r="AU6" s="430"/>
      <c r="AV6" s="430"/>
      <c r="AW6" s="430" t="s">
        <v>999</v>
      </c>
      <c r="AX6" s="430" t="s">
        <v>1004</v>
      </c>
      <c r="AY6" s="430"/>
      <c r="AZ6" s="430"/>
      <c r="BA6" s="430" t="s">
        <v>999</v>
      </c>
      <c r="BB6" s="430" t="s">
        <v>1004</v>
      </c>
      <c r="BC6" s="430"/>
      <c r="BD6" s="430"/>
      <c r="BE6" s="430" t="s">
        <v>999</v>
      </c>
      <c r="BF6" s="430" t="s">
        <v>1004</v>
      </c>
      <c r="BG6" s="430"/>
      <c r="BH6" s="430"/>
      <c r="BI6" s="430" t="s">
        <v>999</v>
      </c>
      <c r="BJ6" s="430" t="s">
        <v>1004</v>
      </c>
      <c r="BK6" s="430"/>
      <c r="BL6" s="430"/>
      <c r="BM6" s="430" t="s">
        <v>999</v>
      </c>
      <c r="BN6" s="430" t="s">
        <v>1004</v>
      </c>
      <c r="BO6" s="430"/>
      <c r="BP6" s="430"/>
      <c r="BQ6" s="430" t="s">
        <v>999</v>
      </c>
      <c r="BR6" s="430" t="s">
        <v>1004</v>
      </c>
      <c r="BS6" s="430"/>
      <c r="BT6" s="430"/>
      <c r="BU6" s="430" t="s">
        <v>999</v>
      </c>
      <c r="BV6" s="430" t="s">
        <v>1004</v>
      </c>
      <c r="BW6" s="430"/>
      <c r="BX6" s="430"/>
      <c r="BY6" s="430" t="s">
        <v>999</v>
      </c>
      <c r="BZ6" s="430" t="s">
        <v>1004</v>
      </c>
      <c r="CA6" s="430"/>
      <c r="CB6" s="430"/>
      <c r="CC6" s="430" t="s">
        <v>999</v>
      </c>
      <c r="CD6" s="430" t="s">
        <v>1004</v>
      </c>
      <c r="CE6" s="430"/>
      <c r="CF6" s="430"/>
      <c r="CG6" s="430" t="s">
        <v>999</v>
      </c>
      <c r="CH6" s="430" t="s">
        <v>1004</v>
      </c>
      <c r="CI6" s="430"/>
      <c r="CJ6" s="430"/>
      <c r="CK6" s="430" t="s">
        <v>999</v>
      </c>
      <c r="CL6" s="430" t="s">
        <v>1004</v>
      </c>
      <c r="CM6" s="430"/>
      <c r="CN6" s="430"/>
      <c r="CO6" s="430" t="s">
        <v>999</v>
      </c>
      <c r="CP6" s="430" t="s">
        <v>1004</v>
      </c>
      <c r="CQ6" s="430"/>
      <c r="CR6" s="430"/>
      <c r="CS6" s="430" t="s">
        <v>999</v>
      </c>
      <c r="CT6" s="430" t="s">
        <v>1004</v>
      </c>
      <c r="CU6" s="430"/>
      <c r="CV6" s="430"/>
      <c r="CW6" s="430" t="s">
        <v>999</v>
      </c>
      <c r="CX6" s="430" t="s">
        <v>1004</v>
      </c>
      <c r="CY6" s="430"/>
      <c r="CZ6" s="430"/>
      <c r="DA6" s="430" t="s">
        <v>999</v>
      </c>
      <c r="DB6" s="430" t="s">
        <v>1004</v>
      </c>
      <c r="DC6" s="430"/>
      <c r="DD6" s="430"/>
      <c r="DE6" s="430" t="s">
        <v>999</v>
      </c>
      <c r="DF6" s="430" t="s">
        <v>1004</v>
      </c>
      <c r="DG6" s="430"/>
      <c r="DH6" s="430"/>
      <c r="DI6" s="430" t="s">
        <v>999</v>
      </c>
      <c r="DJ6" s="430" t="s">
        <v>1004</v>
      </c>
      <c r="DK6" s="430"/>
      <c r="DL6" s="430"/>
      <c r="DM6" s="430" t="s">
        <v>999</v>
      </c>
      <c r="DN6" s="430" t="s">
        <v>1004</v>
      </c>
      <c r="DO6" s="430"/>
      <c r="DP6" s="430"/>
      <c r="DQ6" s="430" t="s">
        <v>999</v>
      </c>
      <c r="DR6" s="430" t="s">
        <v>1004</v>
      </c>
      <c r="DS6" s="430"/>
      <c r="DT6" s="430"/>
      <c r="DU6" s="430" t="s">
        <v>999</v>
      </c>
      <c r="DV6" s="430" t="s">
        <v>1004</v>
      </c>
      <c r="DW6" s="430"/>
      <c r="DX6" s="430"/>
      <c r="DY6" s="430" t="s">
        <v>999</v>
      </c>
      <c r="DZ6" s="430" t="s">
        <v>1004</v>
      </c>
      <c r="EA6" s="430"/>
      <c r="EB6" s="430"/>
      <c r="EC6" s="430" t="s">
        <v>999</v>
      </c>
      <c r="ED6" s="430" t="s">
        <v>1004</v>
      </c>
      <c r="EE6" s="430"/>
      <c r="EF6" s="430"/>
      <c r="EG6" s="430" t="s">
        <v>999</v>
      </c>
      <c r="EH6" s="430" t="s">
        <v>1004</v>
      </c>
      <c r="EI6" s="430"/>
      <c r="EJ6" s="430"/>
      <c r="EK6" s="430" t="s">
        <v>999</v>
      </c>
      <c r="EL6" s="430" t="s">
        <v>1004</v>
      </c>
      <c r="EM6" s="430"/>
      <c r="EN6" s="430"/>
      <c r="EO6" s="430" t="s">
        <v>999</v>
      </c>
      <c r="EP6" s="430" t="s">
        <v>1004</v>
      </c>
      <c r="EQ6" s="430"/>
      <c r="ER6" s="430"/>
      <c r="ES6" s="430" t="s">
        <v>999</v>
      </c>
      <c r="ET6" s="430" t="s">
        <v>1004</v>
      </c>
      <c r="EU6" s="430"/>
      <c r="EV6" s="430"/>
      <c r="EW6" s="430" t="s">
        <v>999</v>
      </c>
      <c r="EX6" s="430" t="s">
        <v>1004</v>
      </c>
      <c r="EY6" s="430"/>
      <c r="EZ6" s="430"/>
      <c r="FA6" s="430" t="s">
        <v>999</v>
      </c>
      <c r="FB6" s="430" t="s">
        <v>1004</v>
      </c>
      <c r="FC6" s="430"/>
      <c r="FD6" s="430"/>
      <c r="FE6" s="430" t="s">
        <v>999</v>
      </c>
      <c r="FF6" s="430" t="s">
        <v>1004</v>
      </c>
      <c r="FG6" s="430"/>
      <c r="FH6" s="430"/>
      <c r="FI6" s="430" t="s">
        <v>999</v>
      </c>
      <c r="FJ6" s="430" t="s">
        <v>1004</v>
      </c>
      <c r="FK6" s="430"/>
      <c r="FL6" s="430"/>
      <c r="FM6" s="430" t="s">
        <v>999</v>
      </c>
      <c r="FN6" s="430" t="s">
        <v>1004</v>
      </c>
      <c r="FO6" s="430"/>
      <c r="FP6" s="430"/>
      <c r="FQ6" s="430" t="s">
        <v>999</v>
      </c>
      <c r="FR6" s="430" t="s">
        <v>1004</v>
      </c>
      <c r="FS6" s="430"/>
      <c r="FT6" s="430"/>
      <c r="FU6" s="430" t="s">
        <v>999</v>
      </c>
      <c r="FV6" s="430" t="s">
        <v>1004</v>
      </c>
      <c r="FW6" s="430"/>
      <c r="FX6" s="430"/>
      <c r="FY6" s="430" t="s">
        <v>999</v>
      </c>
      <c r="FZ6" s="430" t="s">
        <v>1004</v>
      </c>
      <c r="GA6" s="430"/>
      <c r="GB6" s="430"/>
      <c r="GC6" s="430" t="s">
        <v>999</v>
      </c>
      <c r="GD6" s="430" t="s">
        <v>1004</v>
      </c>
      <c r="GE6" s="430"/>
      <c r="GF6" s="430"/>
      <c r="GG6" s="430" t="s">
        <v>999</v>
      </c>
      <c r="GH6" s="430" t="s">
        <v>1004</v>
      </c>
      <c r="GI6" s="430"/>
      <c r="GJ6" s="430"/>
      <c r="GK6" s="430" t="s">
        <v>999</v>
      </c>
      <c r="GL6" s="430" t="s">
        <v>1004</v>
      </c>
      <c r="GM6" s="430"/>
      <c r="GN6" s="430"/>
      <c r="GO6" s="430" t="s">
        <v>999</v>
      </c>
      <c r="GP6" s="430" t="s">
        <v>1004</v>
      </c>
      <c r="GQ6" s="430"/>
      <c r="GR6" s="430"/>
      <c r="GS6" s="430" t="s">
        <v>999</v>
      </c>
      <c r="GT6" s="430" t="s">
        <v>1004</v>
      </c>
      <c r="GU6" s="430"/>
      <c r="GV6" s="430"/>
      <c r="GW6" s="430" t="s">
        <v>999</v>
      </c>
      <c r="GX6" s="430" t="s">
        <v>1004</v>
      </c>
      <c r="GY6" s="430"/>
      <c r="GZ6" s="430"/>
      <c r="HA6" s="430" t="s">
        <v>999</v>
      </c>
      <c r="HB6" s="430" t="s">
        <v>1004</v>
      </c>
      <c r="HC6" s="430"/>
      <c r="HD6" s="430"/>
      <c r="HE6" s="430" t="s">
        <v>999</v>
      </c>
      <c r="HF6" s="430" t="s">
        <v>1004</v>
      </c>
      <c r="HG6" s="430"/>
      <c r="HH6" s="430"/>
      <c r="HI6" s="430" t="s">
        <v>999</v>
      </c>
      <c r="HJ6" s="430" t="s">
        <v>1004</v>
      </c>
      <c r="HK6" s="430"/>
      <c r="HL6" s="430"/>
      <c r="HM6" s="430" t="s">
        <v>999</v>
      </c>
      <c r="HN6" s="430" t="s">
        <v>1004</v>
      </c>
      <c r="HO6" s="430"/>
      <c r="HP6" s="430"/>
      <c r="HQ6" s="430" t="s">
        <v>999</v>
      </c>
      <c r="HR6" s="430" t="s">
        <v>1004</v>
      </c>
      <c r="HS6" s="430"/>
      <c r="HT6" s="430"/>
      <c r="HU6" s="430" t="s">
        <v>999</v>
      </c>
      <c r="HV6" s="430" t="s">
        <v>1004</v>
      </c>
      <c r="HW6" s="430"/>
      <c r="HX6" s="430"/>
      <c r="HY6" s="430" t="s">
        <v>999</v>
      </c>
      <c r="HZ6" s="430" t="s">
        <v>1004</v>
      </c>
      <c r="IA6" s="430"/>
      <c r="IB6" s="430"/>
      <c r="IC6" s="430" t="s">
        <v>999</v>
      </c>
      <c r="ID6" s="430" t="s">
        <v>1004</v>
      </c>
      <c r="IE6" s="430"/>
      <c r="IF6" s="430"/>
      <c r="IG6" s="430" t="s">
        <v>999</v>
      </c>
      <c r="IH6" s="430" t="s">
        <v>1004</v>
      </c>
      <c r="II6" s="430"/>
      <c r="IJ6" s="430"/>
      <c r="IK6" s="430" t="s">
        <v>999</v>
      </c>
      <c r="IL6" s="430" t="s">
        <v>1004</v>
      </c>
      <c r="IM6" s="430"/>
      <c r="IN6" s="430"/>
      <c r="IO6" s="430" t="s">
        <v>999</v>
      </c>
      <c r="IP6" s="430" t="s">
        <v>1004</v>
      </c>
      <c r="IQ6" s="430"/>
      <c r="IR6" s="430"/>
      <c r="IS6" s="430" t="s">
        <v>999</v>
      </c>
      <c r="IT6" s="430" t="s">
        <v>1004</v>
      </c>
    </row>
    <row r="7" spans="1:254" s="308" customFormat="1" ht="16.5" thickBot="1">
      <c r="A7" s="676" t="s">
        <v>1014</v>
      </c>
      <c r="B7" s="676" t="s">
        <v>1015</v>
      </c>
      <c r="C7" s="676" t="s">
        <v>995</v>
      </c>
      <c r="D7" s="676" t="s">
        <v>996</v>
      </c>
      <c r="E7" s="676" t="s">
        <v>1000</v>
      </c>
      <c r="F7" s="676" t="s">
        <v>1005</v>
      </c>
      <c r="G7" s="676" t="s">
        <v>995</v>
      </c>
      <c r="H7" s="676" t="s">
        <v>996</v>
      </c>
      <c r="I7" s="676" t="s">
        <v>1000</v>
      </c>
      <c r="J7" s="676" t="s">
        <v>1005</v>
      </c>
      <c r="K7" s="676" t="s">
        <v>995</v>
      </c>
      <c r="L7" s="676" t="s">
        <v>996</v>
      </c>
      <c r="M7" s="676" t="s">
        <v>1000</v>
      </c>
      <c r="N7" s="676" t="s">
        <v>1005</v>
      </c>
      <c r="O7" s="676" t="s">
        <v>995</v>
      </c>
      <c r="P7" s="676" t="s">
        <v>996</v>
      </c>
      <c r="Q7" s="676" t="s">
        <v>1000</v>
      </c>
      <c r="R7" s="676" t="s">
        <v>1005</v>
      </c>
      <c r="S7" s="676" t="s">
        <v>995</v>
      </c>
      <c r="T7" s="676" t="s">
        <v>996</v>
      </c>
      <c r="U7" s="676" t="s">
        <v>1000</v>
      </c>
      <c r="V7" s="676" t="s">
        <v>1005</v>
      </c>
      <c r="W7" s="676" t="s">
        <v>995</v>
      </c>
      <c r="X7" s="676" t="s">
        <v>996</v>
      </c>
      <c r="Y7" s="676" t="s">
        <v>1000</v>
      </c>
      <c r="Z7" s="676" t="s">
        <v>1005</v>
      </c>
      <c r="AA7" s="676" t="s">
        <v>995</v>
      </c>
      <c r="AB7" s="676" t="s">
        <v>996</v>
      </c>
      <c r="AC7" s="676" t="s">
        <v>1000</v>
      </c>
      <c r="AD7" s="676" t="s">
        <v>1005</v>
      </c>
      <c r="AE7" s="676" t="s">
        <v>995</v>
      </c>
      <c r="AF7" s="676" t="s">
        <v>996</v>
      </c>
      <c r="AG7" s="676" t="s">
        <v>1000</v>
      </c>
      <c r="AH7" s="676" t="s">
        <v>1005</v>
      </c>
      <c r="AI7" s="676" t="s">
        <v>995</v>
      </c>
      <c r="AJ7" s="676" t="s">
        <v>996</v>
      </c>
      <c r="AK7" s="676" t="s">
        <v>1000</v>
      </c>
      <c r="AL7" s="676" t="s">
        <v>1005</v>
      </c>
      <c r="AM7" s="676" t="s">
        <v>995</v>
      </c>
      <c r="AN7" s="676" t="s">
        <v>996</v>
      </c>
      <c r="AO7" s="676" t="s">
        <v>1000</v>
      </c>
      <c r="AP7" s="676" t="s">
        <v>1005</v>
      </c>
      <c r="AQ7" s="676" t="s">
        <v>995</v>
      </c>
      <c r="AR7" s="676" t="s">
        <v>996</v>
      </c>
      <c r="AS7" s="676" t="s">
        <v>1000</v>
      </c>
      <c r="AT7" s="676" t="s">
        <v>1005</v>
      </c>
      <c r="AU7" s="676" t="s">
        <v>995</v>
      </c>
      <c r="AV7" s="676" t="s">
        <v>996</v>
      </c>
      <c r="AW7" s="676" t="s">
        <v>1000</v>
      </c>
      <c r="AX7" s="676" t="s">
        <v>1005</v>
      </c>
      <c r="AY7" s="676" t="s">
        <v>995</v>
      </c>
      <c r="AZ7" s="676" t="s">
        <v>996</v>
      </c>
      <c r="BA7" s="676" t="s">
        <v>1000</v>
      </c>
      <c r="BB7" s="676" t="s">
        <v>1005</v>
      </c>
      <c r="BC7" s="676" t="s">
        <v>995</v>
      </c>
      <c r="BD7" s="676" t="s">
        <v>996</v>
      </c>
      <c r="BE7" s="676" t="s">
        <v>1000</v>
      </c>
      <c r="BF7" s="676" t="s">
        <v>1005</v>
      </c>
      <c r="BG7" s="676" t="s">
        <v>995</v>
      </c>
      <c r="BH7" s="676" t="s">
        <v>996</v>
      </c>
      <c r="BI7" s="676" t="s">
        <v>1000</v>
      </c>
      <c r="BJ7" s="676" t="s">
        <v>1005</v>
      </c>
      <c r="BK7" s="676" t="s">
        <v>995</v>
      </c>
      <c r="BL7" s="676" t="s">
        <v>996</v>
      </c>
      <c r="BM7" s="676" t="s">
        <v>1000</v>
      </c>
      <c r="BN7" s="676" t="s">
        <v>1005</v>
      </c>
      <c r="BO7" s="676" t="s">
        <v>995</v>
      </c>
      <c r="BP7" s="676" t="s">
        <v>996</v>
      </c>
      <c r="BQ7" s="676" t="s">
        <v>1000</v>
      </c>
      <c r="BR7" s="676" t="s">
        <v>1005</v>
      </c>
      <c r="BS7" s="676" t="s">
        <v>995</v>
      </c>
      <c r="BT7" s="676" t="s">
        <v>996</v>
      </c>
      <c r="BU7" s="676" t="s">
        <v>1000</v>
      </c>
      <c r="BV7" s="676" t="s">
        <v>1005</v>
      </c>
      <c r="BW7" s="676" t="s">
        <v>995</v>
      </c>
      <c r="BX7" s="676" t="s">
        <v>996</v>
      </c>
      <c r="BY7" s="676" t="s">
        <v>1000</v>
      </c>
      <c r="BZ7" s="676" t="s">
        <v>1005</v>
      </c>
      <c r="CA7" s="676" t="s">
        <v>995</v>
      </c>
      <c r="CB7" s="676" t="s">
        <v>996</v>
      </c>
      <c r="CC7" s="676" t="s">
        <v>1000</v>
      </c>
      <c r="CD7" s="676" t="s">
        <v>1005</v>
      </c>
      <c r="CE7" s="676" t="s">
        <v>995</v>
      </c>
      <c r="CF7" s="676" t="s">
        <v>996</v>
      </c>
      <c r="CG7" s="676" t="s">
        <v>1000</v>
      </c>
      <c r="CH7" s="676" t="s">
        <v>1005</v>
      </c>
      <c r="CI7" s="676" t="s">
        <v>995</v>
      </c>
      <c r="CJ7" s="676" t="s">
        <v>996</v>
      </c>
      <c r="CK7" s="676" t="s">
        <v>1000</v>
      </c>
      <c r="CL7" s="676" t="s">
        <v>1005</v>
      </c>
      <c r="CM7" s="676" t="s">
        <v>995</v>
      </c>
      <c r="CN7" s="676" t="s">
        <v>996</v>
      </c>
      <c r="CO7" s="676" t="s">
        <v>1000</v>
      </c>
      <c r="CP7" s="676" t="s">
        <v>1005</v>
      </c>
      <c r="CQ7" s="676" t="s">
        <v>995</v>
      </c>
      <c r="CR7" s="676" t="s">
        <v>996</v>
      </c>
      <c r="CS7" s="676" t="s">
        <v>1000</v>
      </c>
      <c r="CT7" s="676" t="s">
        <v>1005</v>
      </c>
      <c r="CU7" s="676" t="s">
        <v>995</v>
      </c>
      <c r="CV7" s="676" t="s">
        <v>996</v>
      </c>
      <c r="CW7" s="676" t="s">
        <v>1000</v>
      </c>
      <c r="CX7" s="676" t="s">
        <v>1005</v>
      </c>
      <c r="CY7" s="676" t="s">
        <v>995</v>
      </c>
      <c r="CZ7" s="676" t="s">
        <v>996</v>
      </c>
      <c r="DA7" s="676" t="s">
        <v>1000</v>
      </c>
      <c r="DB7" s="676" t="s">
        <v>1005</v>
      </c>
      <c r="DC7" s="676" t="s">
        <v>995</v>
      </c>
      <c r="DD7" s="676" t="s">
        <v>996</v>
      </c>
      <c r="DE7" s="676" t="s">
        <v>1000</v>
      </c>
      <c r="DF7" s="676" t="s">
        <v>1005</v>
      </c>
      <c r="DG7" s="676" t="s">
        <v>995</v>
      </c>
      <c r="DH7" s="676" t="s">
        <v>996</v>
      </c>
      <c r="DI7" s="676" t="s">
        <v>1000</v>
      </c>
      <c r="DJ7" s="676" t="s">
        <v>1005</v>
      </c>
      <c r="DK7" s="676" t="s">
        <v>995</v>
      </c>
      <c r="DL7" s="676" t="s">
        <v>996</v>
      </c>
      <c r="DM7" s="676" t="s">
        <v>1000</v>
      </c>
      <c r="DN7" s="676" t="s">
        <v>1005</v>
      </c>
      <c r="DO7" s="676" t="s">
        <v>995</v>
      </c>
      <c r="DP7" s="676" t="s">
        <v>996</v>
      </c>
      <c r="DQ7" s="676" t="s">
        <v>1000</v>
      </c>
      <c r="DR7" s="676" t="s">
        <v>1005</v>
      </c>
      <c r="DS7" s="676" t="s">
        <v>995</v>
      </c>
      <c r="DT7" s="676" t="s">
        <v>996</v>
      </c>
      <c r="DU7" s="676" t="s">
        <v>1000</v>
      </c>
      <c r="DV7" s="676" t="s">
        <v>1005</v>
      </c>
      <c r="DW7" s="676" t="s">
        <v>995</v>
      </c>
      <c r="DX7" s="676" t="s">
        <v>996</v>
      </c>
      <c r="DY7" s="676" t="s">
        <v>1000</v>
      </c>
      <c r="DZ7" s="676" t="s">
        <v>1005</v>
      </c>
      <c r="EA7" s="676" t="s">
        <v>995</v>
      </c>
      <c r="EB7" s="676" t="s">
        <v>996</v>
      </c>
      <c r="EC7" s="676" t="s">
        <v>1000</v>
      </c>
      <c r="ED7" s="676" t="s">
        <v>1005</v>
      </c>
      <c r="EE7" s="676" t="s">
        <v>995</v>
      </c>
      <c r="EF7" s="676" t="s">
        <v>996</v>
      </c>
      <c r="EG7" s="676" t="s">
        <v>1000</v>
      </c>
      <c r="EH7" s="676" t="s">
        <v>1005</v>
      </c>
      <c r="EI7" s="676" t="s">
        <v>995</v>
      </c>
      <c r="EJ7" s="676" t="s">
        <v>996</v>
      </c>
      <c r="EK7" s="676" t="s">
        <v>1000</v>
      </c>
      <c r="EL7" s="676" t="s">
        <v>1005</v>
      </c>
      <c r="EM7" s="676" t="s">
        <v>995</v>
      </c>
      <c r="EN7" s="676" t="s">
        <v>996</v>
      </c>
      <c r="EO7" s="676" t="s">
        <v>1000</v>
      </c>
      <c r="EP7" s="676" t="s">
        <v>1005</v>
      </c>
      <c r="EQ7" s="676" t="s">
        <v>995</v>
      </c>
      <c r="ER7" s="676" t="s">
        <v>996</v>
      </c>
      <c r="ES7" s="676" t="s">
        <v>1000</v>
      </c>
      <c r="ET7" s="676" t="s">
        <v>1005</v>
      </c>
      <c r="EU7" s="676" t="s">
        <v>995</v>
      </c>
      <c r="EV7" s="676" t="s">
        <v>996</v>
      </c>
      <c r="EW7" s="676" t="s">
        <v>1000</v>
      </c>
      <c r="EX7" s="676" t="s">
        <v>1005</v>
      </c>
      <c r="EY7" s="676" t="s">
        <v>995</v>
      </c>
      <c r="EZ7" s="676" t="s">
        <v>996</v>
      </c>
      <c r="FA7" s="676" t="s">
        <v>1000</v>
      </c>
      <c r="FB7" s="676" t="s">
        <v>1005</v>
      </c>
      <c r="FC7" s="676" t="s">
        <v>995</v>
      </c>
      <c r="FD7" s="676" t="s">
        <v>996</v>
      </c>
      <c r="FE7" s="676" t="s">
        <v>1000</v>
      </c>
      <c r="FF7" s="676" t="s">
        <v>1005</v>
      </c>
      <c r="FG7" s="676" t="s">
        <v>995</v>
      </c>
      <c r="FH7" s="676" t="s">
        <v>996</v>
      </c>
      <c r="FI7" s="676" t="s">
        <v>1000</v>
      </c>
      <c r="FJ7" s="676" t="s">
        <v>1005</v>
      </c>
      <c r="FK7" s="676" t="s">
        <v>995</v>
      </c>
      <c r="FL7" s="676" t="s">
        <v>996</v>
      </c>
      <c r="FM7" s="676" t="s">
        <v>1000</v>
      </c>
      <c r="FN7" s="676" t="s">
        <v>1005</v>
      </c>
      <c r="FO7" s="676" t="s">
        <v>995</v>
      </c>
      <c r="FP7" s="676" t="s">
        <v>996</v>
      </c>
      <c r="FQ7" s="676" t="s">
        <v>1000</v>
      </c>
      <c r="FR7" s="676" t="s">
        <v>1005</v>
      </c>
      <c r="FS7" s="676" t="s">
        <v>995</v>
      </c>
      <c r="FT7" s="676" t="s">
        <v>996</v>
      </c>
      <c r="FU7" s="676" t="s">
        <v>1000</v>
      </c>
      <c r="FV7" s="676" t="s">
        <v>1005</v>
      </c>
      <c r="FW7" s="676" t="s">
        <v>995</v>
      </c>
      <c r="FX7" s="676" t="s">
        <v>996</v>
      </c>
      <c r="FY7" s="676" t="s">
        <v>1000</v>
      </c>
      <c r="FZ7" s="676" t="s">
        <v>1005</v>
      </c>
      <c r="GA7" s="676" t="s">
        <v>995</v>
      </c>
      <c r="GB7" s="676" t="s">
        <v>996</v>
      </c>
      <c r="GC7" s="676" t="s">
        <v>1000</v>
      </c>
      <c r="GD7" s="676" t="s">
        <v>1005</v>
      </c>
      <c r="GE7" s="676" t="s">
        <v>995</v>
      </c>
      <c r="GF7" s="676" t="s">
        <v>996</v>
      </c>
      <c r="GG7" s="676" t="s">
        <v>1000</v>
      </c>
      <c r="GH7" s="676" t="s">
        <v>1005</v>
      </c>
      <c r="GI7" s="676" t="s">
        <v>995</v>
      </c>
      <c r="GJ7" s="676" t="s">
        <v>996</v>
      </c>
      <c r="GK7" s="676" t="s">
        <v>1000</v>
      </c>
      <c r="GL7" s="676" t="s">
        <v>1005</v>
      </c>
      <c r="GM7" s="676" t="s">
        <v>995</v>
      </c>
      <c r="GN7" s="676" t="s">
        <v>996</v>
      </c>
      <c r="GO7" s="676" t="s">
        <v>1000</v>
      </c>
      <c r="GP7" s="676" t="s">
        <v>1005</v>
      </c>
      <c r="GQ7" s="676" t="s">
        <v>995</v>
      </c>
      <c r="GR7" s="676" t="s">
        <v>996</v>
      </c>
      <c r="GS7" s="676" t="s">
        <v>1000</v>
      </c>
      <c r="GT7" s="676" t="s">
        <v>1005</v>
      </c>
      <c r="GU7" s="676" t="s">
        <v>995</v>
      </c>
      <c r="GV7" s="676" t="s">
        <v>996</v>
      </c>
      <c r="GW7" s="676" t="s">
        <v>1000</v>
      </c>
      <c r="GX7" s="676" t="s">
        <v>1005</v>
      </c>
      <c r="GY7" s="676" t="s">
        <v>995</v>
      </c>
      <c r="GZ7" s="676" t="s">
        <v>996</v>
      </c>
      <c r="HA7" s="676" t="s">
        <v>1000</v>
      </c>
      <c r="HB7" s="676" t="s">
        <v>1005</v>
      </c>
      <c r="HC7" s="676" t="s">
        <v>995</v>
      </c>
      <c r="HD7" s="676" t="s">
        <v>996</v>
      </c>
      <c r="HE7" s="676" t="s">
        <v>1000</v>
      </c>
      <c r="HF7" s="676" t="s">
        <v>1005</v>
      </c>
      <c r="HG7" s="676" t="s">
        <v>995</v>
      </c>
      <c r="HH7" s="676" t="s">
        <v>996</v>
      </c>
      <c r="HI7" s="676" t="s">
        <v>1000</v>
      </c>
      <c r="HJ7" s="676" t="s">
        <v>1005</v>
      </c>
      <c r="HK7" s="676" t="s">
        <v>995</v>
      </c>
      <c r="HL7" s="676" t="s">
        <v>996</v>
      </c>
      <c r="HM7" s="676" t="s">
        <v>1000</v>
      </c>
      <c r="HN7" s="676" t="s">
        <v>1005</v>
      </c>
      <c r="HO7" s="676" t="s">
        <v>995</v>
      </c>
      <c r="HP7" s="676" t="s">
        <v>996</v>
      </c>
      <c r="HQ7" s="676" t="s">
        <v>1000</v>
      </c>
      <c r="HR7" s="676" t="s">
        <v>1005</v>
      </c>
      <c r="HS7" s="676" t="s">
        <v>995</v>
      </c>
      <c r="HT7" s="676" t="s">
        <v>996</v>
      </c>
      <c r="HU7" s="676" t="s">
        <v>1000</v>
      </c>
      <c r="HV7" s="676" t="s">
        <v>1005</v>
      </c>
      <c r="HW7" s="676" t="s">
        <v>995</v>
      </c>
      <c r="HX7" s="676" t="s">
        <v>996</v>
      </c>
      <c r="HY7" s="676" t="s">
        <v>1000</v>
      </c>
      <c r="HZ7" s="676" t="s">
        <v>1005</v>
      </c>
      <c r="IA7" s="676" t="s">
        <v>995</v>
      </c>
      <c r="IB7" s="676" t="s">
        <v>996</v>
      </c>
      <c r="IC7" s="676" t="s">
        <v>1000</v>
      </c>
      <c r="ID7" s="676" t="s">
        <v>1005</v>
      </c>
      <c r="IE7" s="676" t="s">
        <v>995</v>
      </c>
      <c r="IF7" s="676" t="s">
        <v>996</v>
      </c>
      <c r="IG7" s="676" t="s">
        <v>1000</v>
      </c>
      <c r="IH7" s="676" t="s">
        <v>1005</v>
      </c>
      <c r="II7" s="676" t="s">
        <v>995</v>
      </c>
      <c r="IJ7" s="676" t="s">
        <v>996</v>
      </c>
      <c r="IK7" s="676" t="s">
        <v>1000</v>
      </c>
      <c r="IL7" s="676" t="s">
        <v>1005</v>
      </c>
      <c r="IM7" s="676" t="s">
        <v>995</v>
      </c>
      <c r="IN7" s="676" t="s">
        <v>996</v>
      </c>
      <c r="IO7" s="676" t="s">
        <v>1000</v>
      </c>
      <c r="IP7" s="676" t="s">
        <v>1005</v>
      </c>
      <c r="IQ7" s="676" t="s">
        <v>995</v>
      </c>
      <c r="IR7" s="676" t="s">
        <v>996</v>
      </c>
      <c r="IS7" s="676" t="s">
        <v>1000</v>
      </c>
      <c r="IT7" s="676" t="s">
        <v>1005</v>
      </c>
    </row>
    <row r="8" spans="1:254" s="308" customFormat="1" ht="15" customHeight="1">
      <c r="A8" s="429"/>
      <c r="B8" s="431" t="s">
        <v>217</v>
      </c>
      <c r="C8" s="437"/>
      <c r="D8" s="437"/>
      <c r="E8" s="423"/>
      <c r="F8" s="423"/>
      <c r="G8" s="437"/>
      <c r="H8" s="437"/>
      <c r="I8" s="423"/>
      <c r="J8" s="423"/>
      <c r="K8" s="437"/>
      <c r="L8" s="437"/>
      <c r="M8" s="423"/>
      <c r="N8" s="423"/>
      <c r="O8" s="437"/>
      <c r="P8" s="437"/>
      <c r="Q8" s="423"/>
      <c r="R8" s="423"/>
      <c r="S8" s="437"/>
      <c r="T8" s="437"/>
      <c r="U8" s="423"/>
      <c r="V8" s="423"/>
      <c r="W8" s="437"/>
      <c r="X8" s="437"/>
      <c r="Y8" s="423"/>
      <c r="Z8" s="423"/>
      <c r="AA8" s="437"/>
      <c r="AB8" s="437"/>
      <c r="AC8" s="423"/>
      <c r="AD8" s="423"/>
      <c r="AE8" s="437"/>
      <c r="AF8" s="437"/>
      <c r="AG8" s="423"/>
      <c r="AH8" s="423"/>
      <c r="AI8" s="437"/>
      <c r="AJ8" s="437"/>
      <c r="AK8" s="423"/>
      <c r="AL8" s="423"/>
      <c r="AM8" s="437"/>
      <c r="AN8" s="437"/>
      <c r="AO8" s="423"/>
      <c r="AP8" s="423"/>
      <c r="AQ8" s="437"/>
      <c r="AR8" s="437"/>
      <c r="AS8" s="423"/>
      <c r="AT8" s="423"/>
      <c r="AU8" s="437"/>
      <c r="AV8" s="437"/>
      <c r="AW8" s="423"/>
      <c r="AX8" s="423"/>
      <c r="AY8" s="437"/>
      <c r="AZ8" s="437"/>
      <c r="BA8" s="423"/>
      <c r="BB8" s="423"/>
      <c r="BC8" s="437"/>
      <c r="BD8" s="437"/>
      <c r="BE8" s="423"/>
      <c r="BF8" s="423"/>
      <c r="BG8" s="437"/>
      <c r="BH8" s="437"/>
      <c r="BI8" s="423"/>
      <c r="BJ8" s="423"/>
      <c r="BK8" s="437"/>
      <c r="BL8" s="437"/>
      <c r="BM8" s="423"/>
      <c r="BN8" s="423"/>
      <c r="BO8" s="437"/>
      <c r="BP8" s="437"/>
      <c r="BQ8" s="423"/>
      <c r="BR8" s="423"/>
      <c r="BS8" s="437"/>
      <c r="BT8" s="437"/>
      <c r="BU8" s="423"/>
      <c r="BV8" s="423"/>
      <c r="BW8" s="437"/>
      <c r="BX8" s="437"/>
      <c r="BY8" s="423"/>
      <c r="BZ8" s="423"/>
      <c r="CA8" s="437"/>
      <c r="CB8" s="437"/>
      <c r="CC8" s="423"/>
      <c r="CD8" s="423"/>
      <c r="CE8" s="437"/>
      <c r="CF8" s="437"/>
      <c r="CG8" s="423"/>
      <c r="CH8" s="423"/>
      <c r="CI8" s="437"/>
      <c r="CJ8" s="437"/>
      <c r="CK8" s="423"/>
      <c r="CL8" s="423"/>
      <c r="CM8" s="437"/>
      <c r="CN8" s="437"/>
      <c r="CO8" s="423"/>
      <c r="CP8" s="423"/>
      <c r="CQ8" s="437"/>
      <c r="CR8" s="437"/>
      <c r="CS8" s="423"/>
      <c r="CT8" s="423"/>
      <c r="CU8" s="437"/>
      <c r="CV8" s="437"/>
      <c r="CW8" s="423"/>
      <c r="CX8" s="423"/>
      <c r="CY8" s="437"/>
      <c r="CZ8" s="437"/>
      <c r="DA8" s="423"/>
      <c r="DB8" s="423"/>
      <c r="DC8" s="437"/>
      <c r="DD8" s="437"/>
      <c r="DE8" s="423"/>
      <c r="DF8" s="423"/>
      <c r="DG8" s="437"/>
      <c r="DH8" s="437"/>
      <c r="DI8" s="423"/>
      <c r="DJ8" s="423"/>
      <c r="DK8" s="437"/>
      <c r="DL8" s="437"/>
      <c r="DM8" s="423"/>
      <c r="DN8" s="423"/>
      <c r="DO8" s="437"/>
      <c r="DP8" s="437"/>
      <c r="DQ8" s="423"/>
      <c r="DR8" s="423"/>
      <c r="DS8" s="437"/>
      <c r="DT8" s="437"/>
      <c r="DU8" s="423"/>
      <c r="DV8" s="423"/>
      <c r="DW8" s="437"/>
      <c r="DX8" s="437"/>
      <c r="DY8" s="423"/>
      <c r="DZ8" s="423"/>
      <c r="EA8" s="437"/>
      <c r="EB8" s="437"/>
      <c r="EC8" s="423"/>
      <c r="ED8" s="423"/>
      <c r="EE8" s="437"/>
      <c r="EF8" s="437"/>
      <c r="EG8" s="423"/>
      <c r="EH8" s="423"/>
      <c r="EI8" s="437"/>
      <c r="EJ8" s="437"/>
      <c r="EK8" s="423"/>
      <c r="EL8" s="423"/>
      <c r="EM8" s="437"/>
      <c r="EN8" s="437"/>
      <c r="EO8" s="423"/>
      <c r="EP8" s="423"/>
      <c r="EQ8" s="437"/>
      <c r="ER8" s="437"/>
      <c r="ES8" s="423"/>
      <c r="ET8" s="423"/>
      <c r="EU8" s="437"/>
      <c r="EV8" s="437"/>
      <c r="EW8" s="423"/>
      <c r="EX8" s="423"/>
      <c r="EY8" s="437"/>
      <c r="EZ8" s="437"/>
      <c r="FA8" s="423"/>
      <c r="FB8" s="423"/>
      <c r="FC8" s="437"/>
      <c r="FD8" s="437"/>
      <c r="FE8" s="423"/>
      <c r="FF8" s="423"/>
      <c r="FG8" s="437"/>
      <c r="FH8" s="437"/>
      <c r="FI8" s="423"/>
      <c r="FJ8" s="423"/>
      <c r="FK8" s="437"/>
      <c r="FL8" s="437"/>
      <c r="FM8" s="423"/>
      <c r="FN8" s="423"/>
      <c r="FO8" s="437"/>
      <c r="FP8" s="437"/>
      <c r="FQ8" s="423"/>
      <c r="FR8" s="423"/>
      <c r="FS8" s="437"/>
      <c r="FT8" s="437"/>
      <c r="FU8" s="423"/>
      <c r="FV8" s="423"/>
      <c r="FW8" s="437"/>
      <c r="FX8" s="437"/>
      <c r="FY8" s="423"/>
      <c r="FZ8" s="423"/>
      <c r="GA8" s="437"/>
      <c r="GB8" s="437"/>
      <c r="GC8" s="423"/>
      <c r="GD8" s="423"/>
      <c r="GE8" s="437"/>
      <c r="GF8" s="437"/>
      <c r="GG8" s="423"/>
      <c r="GH8" s="423"/>
      <c r="GI8" s="437"/>
      <c r="GJ8" s="437"/>
      <c r="GK8" s="423"/>
      <c r="GL8" s="423"/>
      <c r="GM8" s="437"/>
      <c r="GN8" s="437"/>
      <c r="GO8" s="423"/>
      <c r="GP8" s="423"/>
      <c r="GQ8" s="437"/>
      <c r="GR8" s="437"/>
      <c r="GS8" s="423"/>
      <c r="GT8" s="423"/>
      <c r="GU8" s="437"/>
      <c r="GV8" s="437"/>
      <c r="GW8" s="423"/>
      <c r="GX8" s="423"/>
      <c r="GY8" s="437"/>
      <c r="GZ8" s="437"/>
      <c r="HA8" s="423"/>
      <c r="HB8" s="423"/>
      <c r="HC8" s="437"/>
      <c r="HD8" s="437"/>
      <c r="HE8" s="423"/>
      <c r="HF8" s="423"/>
      <c r="HG8" s="437"/>
      <c r="HH8" s="437"/>
      <c r="HI8" s="423"/>
      <c r="HJ8" s="423"/>
      <c r="HK8" s="437"/>
      <c r="HL8" s="437"/>
      <c r="HM8" s="423"/>
      <c r="HN8" s="423"/>
      <c r="HO8" s="437"/>
      <c r="HP8" s="437"/>
      <c r="HQ8" s="423"/>
      <c r="HR8" s="423"/>
      <c r="HS8" s="437"/>
      <c r="HT8" s="437"/>
      <c r="HU8" s="423"/>
      <c r="HV8" s="423"/>
      <c r="HW8" s="437"/>
      <c r="HX8" s="437"/>
      <c r="HY8" s="423"/>
      <c r="HZ8" s="423"/>
      <c r="IA8" s="437"/>
      <c r="IB8" s="437"/>
      <c r="IC8" s="423"/>
      <c r="ID8" s="423"/>
      <c r="IE8" s="437"/>
      <c r="IF8" s="437"/>
      <c r="IG8" s="423"/>
      <c r="IH8" s="423"/>
      <c r="II8" s="437"/>
      <c r="IJ8" s="437"/>
      <c r="IK8" s="423"/>
      <c r="IL8" s="423"/>
      <c r="IM8" s="437"/>
      <c r="IN8" s="437"/>
      <c r="IO8" s="423"/>
      <c r="IP8" s="423"/>
      <c r="IQ8" s="326"/>
      <c r="IR8" s="326"/>
      <c r="IS8" s="326"/>
      <c r="IT8" s="326"/>
    </row>
    <row r="9" spans="1:254" s="308" customFormat="1" ht="15" customHeight="1">
      <c r="A9" s="429"/>
      <c r="B9" s="431" t="s">
        <v>218</v>
      </c>
      <c r="C9" s="437"/>
      <c r="D9" s="437"/>
      <c r="E9" s="423"/>
      <c r="F9" s="423"/>
      <c r="G9" s="437"/>
      <c r="H9" s="437"/>
      <c r="I9" s="423"/>
      <c r="J9" s="423"/>
      <c r="K9" s="437"/>
      <c r="L9" s="437"/>
      <c r="M9" s="423"/>
      <c r="N9" s="423"/>
      <c r="O9" s="437"/>
      <c r="P9" s="437"/>
      <c r="Q9" s="423"/>
      <c r="R9" s="423"/>
      <c r="S9" s="437"/>
      <c r="T9" s="437"/>
      <c r="U9" s="423"/>
      <c r="V9" s="423"/>
      <c r="W9" s="437"/>
      <c r="X9" s="437"/>
      <c r="Y9" s="423"/>
      <c r="Z9" s="423"/>
      <c r="AA9" s="437"/>
      <c r="AB9" s="437"/>
      <c r="AC9" s="423"/>
      <c r="AD9" s="423"/>
      <c r="AE9" s="437"/>
      <c r="AF9" s="437"/>
      <c r="AG9" s="423"/>
      <c r="AH9" s="423"/>
      <c r="AI9" s="437"/>
      <c r="AJ9" s="437"/>
      <c r="AK9" s="423"/>
      <c r="AL9" s="423"/>
      <c r="AM9" s="437"/>
      <c r="AN9" s="437"/>
      <c r="AO9" s="423"/>
      <c r="AP9" s="423"/>
      <c r="AQ9" s="437"/>
      <c r="AR9" s="437"/>
      <c r="AS9" s="423"/>
      <c r="AT9" s="423"/>
      <c r="AU9" s="437"/>
      <c r="AV9" s="437"/>
      <c r="AW9" s="423"/>
      <c r="AX9" s="423"/>
      <c r="AY9" s="437"/>
      <c r="AZ9" s="437"/>
      <c r="BA9" s="423"/>
      <c r="BB9" s="423"/>
      <c r="BC9" s="437"/>
      <c r="BD9" s="437"/>
      <c r="BE9" s="423"/>
      <c r="BF9" s="423"/>
      <c r="BG9" s="437"/>
      <c r="BH9" s="437"/>
      <c r="BI9" s="423"/>
      <c r="BJ9" s="423"/>
      <c r="BK9" s="437"/>
      <c r="BL9" s="437"/>
      <c r="BM9" s="423"/>
      <c r="BN9" s="423"/>
      <c r="BO9" s="437"/>
      <c r="BP9" s="437"/>
      <c r="BQ9" s="423"/>
      <c r="BR9" s="423"/>
      <c r="BS9" s="437"/>
      <c r="BT9" s="437"/>
      <c r="BU9" s="423"/>
      <c r="BV9" s="423"/>
      <c r="BW9" s="437"/>
      <c r="BX9" s="437"/>
      <c r="BY9" s="423"/>
      <c r="BZ9" s="423"/>
      <c r="CA9" s="437"/>
      <c r="CB9" s="437"/>
      <c r="CC9" s="423"/>
      <c r="CD9" s="423"/>
      <c r="CE9" s="437"/>
      <c r="CF9" s="437"/>
      <c r="CG9" s="423"/>
      <c r="CH9" s="423"/>
      <c r="CI9" s="437"/>
      <c r="CJ9" s="437"/>
      <c r="CK9" s="423"/>
      <c r="CL9" s="423"/>
      <c r="CM9" s="437"/>
      <c r="CN9" s="437"/>
      <c r="CO9" s="423"/>
      <c r="CP9" s="423"/>
      <c r="CQ9" s="437"/>
      <c r="CR9" s="437"/>
      <c r="CS9" s="423"/>
      <c r="CT9" s="423"/>
      <c r="CU9" s="437"/>
      <c r="CV9" s="437"/>
      <c r="CW9" s="423"/>
      <c r="CX9" s="423"/>
      <c r="CY9" s="437"/>
      <c r="CZ9" s="437"/>
      <c r="DA9" s="423"/>
      <c r="DB9" s="423"/>
      <c r="DC9" s="437"/>
      <c r="DD9" s="437"/>
      <c r="DE9" s="423"/>
      <c r="DF9" s="423"/>
      <c r="DG9" s="437"/>
      <c r="DH9" s="437"/>
      <c r="DI9" s="423"/>
      <c r="DJ9" s="423"/>
      <c r="DK9" s="437"/>
      <c r="DL9" s="437"/>
      <c r="DM9" s="423"/>
      <c r="DN9" s="423"/>
      <c r="DO9" s="437"/>
      <c r="DP9" s="437"/>
      <c r="DQ9" s="423"/>
      <c r="DR9" s="423"/>
      <c r="DS9" s="437"/>
      <c r="DT9" s="437"/>
      <c r="DU9" s="423"/>
      <c r="DV9" s="423"/>
      <c r="DW9" s="437"/>
      <c r="DX9" s="437"/>
      <c r="DY9" s="423"/>
      <c r="DZ9" s="423"/>
      <c r="EA9" s="437"/>
      <c r="EB9" s="437"/>
      <c r="EC9" s="423"/>
      <c r="ED9" s="423"/>
      <c r="EE9" s="437"/>
      <c r="EF9" s="437"/>
      <c r="EG9" s="423"/>
      <c r="EH9" s="423"/>
      <c r="EI9" s="437"/>
      <c r="EJ9" s="437"/>
      <c r="EK9" s="423"/>
      <c r="EL9" s="423"/>
      <c r="EM9" s="437"/>
      <c r="EN9" s="437"/>
      <c r="EO9" s="423"/>
      <c r="EP9" s="423"/>
      <c r="EQ9" s="437"/>
      <c r="ER9" s="437"/>
      <c r="ES9" s="423"/>
      <c r="ET9" s="423"/>
      <c r="EU9" s="437"/>
      <c r="EV9" s="437"/>
      <c r="EW9" s="423"/>
      <c r="EX9" s="423"/>
      <c r="EY9" s="437"/>
      <c r="EZ9" s="437"/>
      <c r="FA9" s="423"/>
      <c r="FB9" s="423"/>
      <c r="FC9" s="437"/>
      <c r="FD9" s="437"/>
      <c r="FE9" s="423"/>
      <c r="FF9" s="423"/>
      <c r="FG9" s="437"/>
      <c r="FH9" s="437"/>
      <c r="FI9" s="423"/>
      <c r="FJ9" s="423"/>
      <c r="FK9" s="437"/>
      <c r="FL9" s="437"/>
      <c r="FM9" s="423"/>
      <c r="FN9" s="423"/>
      <c r="FO9" s="437"/>
      <c r="FP9" s="437"/>
      <c r="FQ9" s="423"/>
      <c r="FR9" s="423"/>
      <c r="FS9" s="437"/>
      <c r="FT9" s="437"/>
      <c r="FU9" s="423"/>
      <c r="FV9" s="423"/>
      <c r="FW9" s="437"/>
      <c r="FX9" s="437"/>
      <c r="FY9" s="423"/>
      <c r="FZ9" s="423"/>
      <c r="GA9" s="437"/>
      <c r="GB9" s="437"/>
      <c r="GC9" s="423"/>
      <c r="GD9" s="423"/>
      <c r="GE9" s="437"/>
      <c r="GF9" s="437"/>
      <c r="GG9" s="423"/>
      <c r="GH9" s="423"/>
      <c r="GI9" s="437"/>
      <c r="GJ9" s="437"/>
      <c r="GK9" s="423"/>
      <c r="GL9" s="423"/>
      <c r="GM9" s="437"/>
      <c r="GN9" s="437"/>
      <c r="GO9" s="423"/>
      <c r="GP9" s="423"/>
      <c r="GQ9" s="437"/>
      <c r="GR9" s="437"/>
      <c r="GS9" s="423"/>
      <c r="GT9" s="423"/>
      <c r="GU9" s="437"/>
      <c r="GV9" s="437"/>
      <c r="GW9" s="423"/>
      <c r="GX9" s="423"/>
      <c r="GY9" s="437"/>
      <c r="GZ9" s="437"/>
      <c r="HA9" s="423"/>
      <c r="HB9" s="423"/>
      <c r="HC9" s="437"/>
      <c r="HD9" s="437"/>
      <c r="HE9" s="423"/>
      <c r="HF9" s="423"/>
      <c r="HG9" s="437"/>
      <c r="HH9" s="437"/>
      <c r="HI9" s="423"/>
      <c r="HJ9" s="423"/>
      <c r="HK9" s="437"/>
      <c r="HL9" s="437"/>
      <c r="HM9" s="423"/>
      <c r="HN9" s="423"/>
      <c r="HO9" s="437"/>
      <c r="HP9" s="437"/>
      <c r="HQ9" s="423"/>
      <c r="HR9" s="423"/>
      <c r="HS9" s="437"/>
      <c r="HT9" s="437"/>
      <c r="HU9" s="423"/>
      <c r="HV9" s="423"/>
      <c r="HW9" s="437"/>
      <c r="HX9" s="437"/>
      <c r="HY9" s="423"/>
      <c r="HZ9" s="423"/>
      <c r="IA9" s="437"/>
      <c r="IB9" s="437"/>
      <c r="IC9" s="423"/>
      <c r="ID9" s="423"/>
      <c r="IE9" s="437"/>
      <c r="IF9" s="437"/>
      <c r="IG9" s="423"/>
      <c r="IH9" s="423"/>
      <c r="II9" s="437"/>
      <c r="IJ9" s="437"/>
      <c r="IK9" s="423"/>
      <c r="IL9" s="423"/>
      <c r="IM9" s="437"/>
      <c r="IN9" s="437"/>
      <c r="IO9" s="423"/>
      <c r="IP9" s="423"/>
      <c r="IQ9" s="326"/>
      <c r="IR9" s="326"/>
      <c r="IS9" s="326"/>
      <c r="IT9" s="326"/>
    </row>
    <row r="10" spans="1:254" s="308" customFormat="1" ht="15" customHeight="1">
      <c r="A10" s="429">
        <v>410000</v>
      </c>
      <c r="B10" s="431" t="s">
        <v>323</v>
      </c>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2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K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c r="GJ10" s="424"/>
      <c r="GK10" s="424"/>
      <c r="GL10" s="424"/>
      <c r="GM10" s="424"/>
      <c r="GN10" s="424"/>
      <c r="GO10" s="424"/>
      <c r="GP10" s="424"/>
      <c r="GQ10" s="424"/>
      <c r="GR10" s="424"/>
      <c r="GS10" s="424"/>
      <c r="GT10" s="424"/>
      <c r="GU10" s="424"/>
      <c r="GV10" s="424"/>
      <c r="GW10" s="424"/>
      <c r="GX10" s="424"/>
      <c r="GY10" s="424"/>
      <c r="GZ10" s="424"/>
      <c r="HA10" s="424"/>
      <c r="HB10" s="424"/>
      <c r="HC10" s="424"/>
      <c r="HD10" s="424"/>
      <c r="HE10" s="424"/>
      <c r="HF10" s="424"/>
      <c r="HG10" s="424"/>
      <c r="HH10" s="424"/>
      <c r="HI10" s="424"/>
      <c r="HJ10" s="424"/>
      <c r="HK10" s="424"/>
      <c r="HL10" s="424"/>
      <c r="HM10" s="424"/>
      <c r="HN10" s="424"/>
      <c r="HO10" s="424"/>
      <c r="HP10" s="424"/>
      <c r="HQ10" s="424"/>
      <c r="HR10" s="424"/>
      <c r="HS10" s="424"/>
      <c r="HT10" s="424"/>
      <c r="HU10" s="424"/>
      <c r="HV10" s="424"/>
      <c r="HW10" s="424"/>
      <c r="HX10" s="424"/>
      <c r="HY10" s="424"/>
      <c r="HZ10" s="424"/>
      <c r="IA10" s="424"/>
      <c r="IB10" s="424"/>
      <c r="IC10" s="424"/>
      <c r="ID10" s="424"/>
      <c r="IE10" s="424"/>
      <c r="IF10" s="424"/>
      <c r="IG10" s="424"/>
      <c r="IH10" s="424"/>
      <c r="II10" s="424"/>
      <c r="IJ10" s="424"/>
      <c r="IK10" s="424"/>
      <c r="IL10" s="424"/>
      <c r="IM10" s="424"/>
      <c r="IN10" s="424"/>
      <c r="IO10" s="424"/>
      <c r="IP10" s="424"/>
      <c r="IQ10" s="277"/>
      <c r="IR10" s="277"/>
      <c r="IS10" s="277"/>
      <c r="IT10" s="277"/>
    </row>
    <row r="11" spans="1:254" ht="15" customHeight="1">
      <c r="A11" s="696">
        <v>100</v>
      </c>
      <c r="B11" s="411" t="s">
        <v>871</v>
      </c>
      <c r="C11" s="269">
        <v>2250</v>
      </c>
      <c r="D11" s="269">
        <v>2250</v>
      </c>
      <c r="E11" s="269">
        <v>2065.56</v>
      </c>
      <c r="F11" s="314">
        <f t="shared" ref="F11:F38" si="0">+D11-E11</f>
        <v>184.44000000000005</v>
      </c>
      <c r="G11" s="269"/>
      <c r="H11" s="269"/>
      <c r="I11" s="269"/>
      <c r="J11" s="314">
        <f>+H11-I11</f>
        <v>0</v>
      </c>
      <c r="K11" s="269"/>
      <c r="L11" s="269"/>
      <c r="M11" s="269"/>
      <c r="N11" s="314">
        <f>+L11-M11</f>
        <v>0</v>
      </c>
      <c r="O11" s="269"/>
      <c r="P11" s="269"/>
      <c r="Q11" s="269"/>
      <c r="R11" s="314">
        <f>+P11-Q11</f>
        <v>0</v>
      </c>
      <c r="S11" s="269"/>
      <c r="T11" s="269"/>
      <c r="U11" s="269"/>
      <c r="V11" s="314">
        <f>+T11-U11</f>
        <v>0</v>
      </c>
      <c r="W11" s="269"/>
      <c r="X11" s="269"/>
      <c r="Y11" s="269"/>
      <c r="Z11" s="311">
        <f>+X11-Y11</f>
        <v>0</v>
      </c>
      <c r="AA11" s="269"/>
      <c r="AB11" s="269"/>
      <c r="AC11" s="269"/>
      <c r="AD11" s="314">
        <f>+AB11-AC11</f>
        <v>0</v>
      </c>
      <c r="AE11" s="269"/>
      <c r="AF11" s="269"/>
      <c r="AG11" s="269"/>
      <c r="AH11" s="314">
        <f>+AF11-AG11</f>
        <v>0</v>
      </c>
      <c r="AI11" s="269"/>
      <c r="AJ11" s="269"/>
      <c r="AK11" s="269"/>
      <c r="AL11" s="314">
        <f>+AJ11-AK11</f>
        <v>0</v>
      </c>
      <c r="AM11" s="269"/>
      <c r="AN11" s="269"/>
      <c r="AO11" s="269"/>
      <c r="AP11" s="314">
        <f>+AN11-AO11</f>
        <v>0</v>
      </c>
      <c r="AQ11" s="269"/>
      <c r="AR11" s="269"/>
      <c r="AS11" s="269"/>
      <c r="AT11" s="314">
        <f>+AR11-AS11</f>
        <v>0</v>
      </c>
      <c r="AU11" s="269"/>
      <c r="AV11" s="269"/>
      <c r="AW11" s="269"/>
      <c r="AX11" s="314">
        <f>+AV11-AW11</f>
        <v>0</v>
      </c>
      <c r="AY11" s="269"/>
      <c r="AZ11" s="269"/>
      <c r="BA11" s="269"/>
      <c r="BB11" s="314">
        <f>+AZ11-BA11</f>
        <v>0</v>
      </c>
      <c r="BC11" s="269"/>
      <c r="BD11" s="269"/>
      <c r="BE11" s="269"/>
      <c r="BF11" s="314">
        <f>+BD11-BE11</f>
        <v>0</v>
      </c>
      <c r="BG11" s="269"/>
      <c r="BH11" s="269"/>
      <c r="BI11" s="269"/>
      <c r="BJ11" s="314">
        <f>+BH11-BI11</f>
        <v>0</v>
      </c>
      <c r="BK11" s="269"/>
      <c r="BL11" s="269"/>
      <c r="BM11" s="269"/>
      <c r="BN11" s="314">
        <f>+BL11-BM11</f>
        <v>0</v>
      </c>
      <c r="BO11" s="269"/>
      <c r="BP11" s="269"/>
      <c r="BQ11" s="269"/>
      <c r="BR11" s="314">
        <f>+BP11-BQ11</f>
        <v>0</v>
      </c>
      <c r="BS11" s="269"/>
      <c r="BT11" s="269"/>
      <c r="BU11" s="269"/>
      <c r="BV11" s="314">
        <f>+BT11-BU11</f>
        <v>0</v>
      </c>
      <c r="BW11" s="269"/>
      <c r="BX11" s="269"/>
      <c r="BY11" s="269"/>
      <c r="BZ11" s="314">
        <f>+BX11-BY11</f>
        <v>0</v>
      </c>
      <c r="CA11" s="269"/>
      <c r="CB11" s="269"/>
      <c r="CC11" s="269"/>
      <c r="CD11" s="314">
        <f>+CB11-CC11</f>
        <v>0</v>
      </c>
      <c r="CE11" s="269"/>
      <c r="CF11" s="269"/>
      <c r="CG11" s="269"/>
      <c r="CH11" s="314">
        <f>+CF11-CG11</f>
        <v>0</v>
      </c>
      <c r="CI11" s="269"/>
      <c r="CJ11" s="269"/>
      <c r="CK11" s="269"/>
      <c r="CL11" s="314">
        <f>+CJ11-CK11</f>
        <v>0</v>
      </c>
      <c r="CM11" s="269"/>
      <c r="CN11" s="269"/>
      <c r="CO11" s="269"/>
      <c r="CP11" s="314">
        <f>+CN11-CO11</f>
        <v>0</v>
      </c>
      <c r="CQ11" s="269"/>
      <c r="CR11" s="269"/>
      <c r="CS11" s="269"/>
      <c r="CT11" s="314">
        <f>+CR11-CS11</f>
        <v>0</v>
      </c>
      <c r="CU11" s="269"/>
      <c r="CV11" s="269"/>
      <c r="CW11" s="269"/>
      <c r="CX11" s="314">
        <f>+CV11-CW11</f>
        <v>0</v>
      </c>
      <c r="CY11" s="269"/>
      <c r="CZ11" s="269"/>
      <c r="DA11" s="269"/>
      <c r="DB11" s="314">
        <f>+CZ11-DA11</f>
        <v>0</v>
      </c>
      <c r="DC11" s="269"/>
      <c r="DD11" s="269"/>
      <c r="DE11" s="269"/>
      <c r="DF11" s="314">
        <f>+DD11-DE11</f>
        <v>0</v>
      </c>
      <c r="DG11" s="269"/>
      <c r="DH11" s="269"/>
      <c r="DI11" s="269"/>
      <c r="DJ11" s="314">
        <f>+DH11-DI11</f>
        <v>0</v>
      </c>
      <c r="DK11" s="269"/>
      <c r="DL11" s="269"/>
      <c r="DM11" s="269"/>
      <c r="DN11" s="314">
        <f>+DL11-DM11</f>
        <v>0</v>
      </c>
      <c r="DO11" s="269"/>
      <c r="DP11" s="269"/>
      <c r="DQ11" s="269"/>
      <c r="DR11" s="314">
        <f>+DP11-DQ11</f>
        <v>0</v>
      </c>
      <c r="DS11" s="269"/>
      <c r="DT11" s="269"/>
      <c r="DU11" s="269"/>
      <c r="DV11" s="314">
        <f>+DT11-DU11</f>
        <v>0</v>
      </c>
      <c r="DW11" s="269"/>
      <c r="DX11" s="269"/>
      <c r="DY11" s="269"/>
      <c r="DZ11" s="314">
        <f>+DX11-DY11</f>
        <v>0</v>
      </c>
      <c r="EA11" s="269"/>
      <c r="EB11" s="269"/>
      <c r="EC11" s="269"/>
      <c r="ED11" s="314">
        <f>+EB11-EC11</f>
        <v>0</v>
      </c>
      <c r="EE11" s="269"/>
      <c r="EF11" s="269"/>
      <c r="EG11" s="269"/>
      <c r="EH11" s="314">
        <f>+EF11-EG11</f>
        <v>0</v>
      </c>
      <c r="EI11" s="269"/>
      <c r="EJ11" s="269"/>
      <c r="EK11" s="269"/>
      <c r="EL11" s="314">
        <f>+EJ11-EK11</f>
        <v>0</v>
      </c>
      <c r="EM11" s="269"/>
      <c r="EN11" s="269"/>
      <c r="EO11" s="269"/>
      <c r="EP11" s="314">
        <f>+EN11-EO11</f>
        <v>0</v>
      </c>
      <c r="EQ11" s="269"/>
      <c r="ER11" s="269"/>
      <c r="ES11" s="269"/>
      <c r="ET11" s="314">
        <f>+ER11-ES11</f>
        <v>0</v>
      </c>
      <c r="EU11" s="269"/>
      <c r="EV11" s="269"/>
      <c r="EW11" s="269"/>
      <c r="EX11" s="314">
        <f>+EV11-EW11</f>
        <v>0</v>
      </c>
      <c r="EY11" s="269"/>
      <c r="EZ11" s="269"/>
      <c r="FA11" s="269"/>
      <c r="FB11" s="314">
        <f>+EZ11-FA11</f>
        <v>0</v>
      </c>
      <c r="FC11" s="269"/>
      <c r="FD11" s="269"/>
      <c r="FE11" s="269"/>
      <c r="FF11" s="314">
        <f>+FD11-FE11</f>
        <v>0</v>
      </c>
      <c r="FG11" s="269"/>
      <c r="FH11" s="269"/>
      <c r="FI11" s="269"/>
      <c r="FJ11" s="314">
        <f>+FH11-FI11</f>
        <v>0</v>
      </c>
      <c r="FK11" s="269"/>
      <c r="FL11" s="269"/>
      <c r="FM11" s="269"/>
      <c r="FN11" s="314">
        <f>+FL11-FM11</f>
        <v>0</v>
      </c>
      <c r="FO11" s="269"/>
      <c r="FP11" s="269"/>
      <c r="FQ11" s="269"/>
      <c r="FR11" s="314">
        <f>+FP11-FQ11</f>
        <v>0</v>
      </c>
      <c r="FS11" s="269"/>
      <c r="FT11" s="269"/>
      <c r="FU11" s="269"/>
      <c r="FV11" s="314">
        <f>+FT11-FU11</f>
        <v>0</v>
      </c>
      <c r="FW11" s="269"/>
      <c r="FX11" s="269"/>
      <c r="FY11" s="269"/>
      <c r="FZ11" s="314">
        <f>+FX11-FY11</f>
        <v>0</v>
      </c>
      <c r="GA11" s="269"/>
      <c r="GB11" s="269"/>
      <c r="GC11" s="269"/>
      <c r="GD11" s="314">
        <f>+GB11-GC11</f>
        <v>0</v>
      </c>
      <c r="GE11" s="269"/>
      <c r="GF11" s="269"/>
      <c r="GG11" s="269"/>
      <c r="GH11" s="314">
        <f>+GF11-GG11</f>
        <v>0</v>
      </c>
      <c r="GI11" s="269"/>
      <c r="GJ11" s="269"/>
      <c r="GK11" s="269"/>
      <c r="GL11" s="314">
        <f>+GJ11-GK11</f>
        <v>0</v>
      </c>
      <c r="GM11" s="269"/>
      <c r="GN11" s="269"/>
      <c r="GO11" s="269"/>
      <c r="GP11" s="314">
        <f>+GN11-GO11</f>
        <v>0</v>
      </c>
      <c r="GQ11" s="269"/>
      <c r="GR11" s="269"/>
      <c r="GS11" s="269"/>
      <c r="GT11" s="314">
        <f>+GR11-GS11</f>
        <v>0</v>
      </c>
      <c r="GU11" s="269"/>
      <c r="GV11" s="269"/>
      <c r="GW11" s="269"/>
      <c r="GX11" s="314">
        <f>+GV11-GW11</f>
        <v>0</v>
      </c>
      <c r="GY11" s="269"/>
      <c r="GZ11" s="269"/>
      <c r="HA11" s="269"/>
      <c r="HB11" s="314">
        <f>+GZ11-HA11</f>
        <v>0</v>
      </c>
      <c r="HC11" s="269"/>
      <c r="HD11" s="269"/>
      <c r="HE11" s="269"/>
      <c r="HF11" s="314">
        <f>+HD11-HE11</f>
        <v>0</v>
      </c>
      <c r="HG11" s="269"/>
      <c r="HH11" s="269"/>
      <c r="HI11" s="269"/>
      <c r="HJ11" s="314">
        <f>+HH11-HI11</f>
        <v>0</v>
      </c>
      <c r="HK11" s="269"/>
      <c r="HL11" s="269"/>
      <c r="HM11" s="269"/>
      <c r="HN11" s="314">
        <f>+HL11-HM11</f>
        <v>0</v>
      </c>
      <c r="HO11" s="269"/>
      <c r="HP11" s="269"/>
      <c r="HQ11" s="269"/>
      <c r="HR11" s="314">
        <f>+HP11-HQ11</f>
        <v>0</v>
      </c>
      <c r="HS11" s="269"/>
      <c r="HT11" s="269"/>
      <c r="HU11" s="269"/>
      <c r="HV11" s="314">
        <f>+HT11-HU11</f>
        <v>0</v>
      </c>
      <c r="HW11" s="269"/>
      <c r="HX11" s="269"/>
      <c r="HY11" s="269"/>
      <c r="HZ11" s="314">
        <f>+HX11-HY11</f>
        <v>0</v>
      </c>
      <c r="IA11" s="269"/>
      <c r="IB11" s="269"/>
      <c r="IC11" s="269"/>
      <c r="ID11" s="314">
        <f>+IB11-IC11</f>
        <v>0</v>
      </c>
      <c r="IE11" s="269"/>
      <c r="IF11" s="269"/>
      <c r="IG11" s="269"/>
      <c r="IH11" s="314">
        <f>+IF11-IG11</f>
        <v>0</v>
      </c>
      <c r="II11" s="269"/>
      <c r="IJ11" s="269"/>
      <c r="IK11" s="269"/>
      <c r="IL11" s="314">
        <f>+IJ11-IK11</f>
        <v>0</v>
      </c>
      <c r="IM11" s="269"/>
      <c r="IN11" s="269"/>
      <c r="IO11" s="269"/>
      <c r="IP11" s="314">
        <f>+IN11-IO11</f>
        <v>0</v>
      </c>
      <c r="IQ11" s="277">
        <f t="shared" ref="IQ11:IT12" si="1">+C11+G11+K11+O11+S11+W11+AA11+AE11+AI11+AM11+AQ11+AU11+AY11+BC11+BG11+BK11+BO11+BS11+BW11+CA11+CE11+CI11+CM11+CQ11+CU11+CY11+DC11+DG11+DK11+DO11+DS11+DW11+EA11+EE11+EI11+EM11+EQ11+EU11+EY11+FC11+FG11+FK11+FO11+FS11+FW11+GA11+GE11+GI11+GM11+GQ11+GU11+GY11+HC11+HG11+HK11+HO11+HS11+HW11+IA11+IE11+II11+IM11</f>
        <v>2250</v>
      </c>
      <c r="IR11" s="277">
        <f t="shared" si="1"/>
        <v>2250</v>
      </c>
      <c r="IS11" s="277">
        <f t="shared" si="1"/>
        <v>2065.56</v>
      </c>
      <c r="IT11" s="277">
        <f t="shared" si="1"/>
        <v>184.44000000000005</v>
      </c>
    </row>
    <row r="12" spans="1:254" ht="15" customHeight="1">
      <c r="A12" s="696" t="s">
        <v>191</v>
      </c>
      <c r="B12" s="411" t="s">
        <v>872</v>
      </c>
      <c r="C12" s="269"/>
      <c r="D12" s="269"/>
      <c r="E12" s="269"/>
      <c r="F12" s="314">
        <f t="shared" si="0"/>
        <v>0</v>
      </c>
      <c r="G12" s="269"/>
      <c r="H12" s="269"/>
      <c r="I12" s="269"/>
      <c r="J12" s="314">
        <f>+H12-I12</f>
        <v>0</v>
      </c>
      <c r="K12" s="269">
        <v>7000</v>
      </c>
      <c r="L12" s="269">
        <v>7000</v>
      </c>
      <c r="M12" s="269">
        <v>2658.81</v>
      </c>
      <c r="N12" s="314">
        <f>+L12-M12</f>
        <v>4341.1900000000005</v>
      </c>
      <c r="O12" s="269"/>
      <c r="P12" s="269"/>
      <c r="Q12" s="269"/>
      <c r="R12" s="314">
        <f>+P12-Q12</f>
        <v>0</v>
      </c>
      <c r="S12" s="269"/>
      <c r="T12" s="269"/>
      <c r="U12" s="269"/>
      <c r="V12" s="314">
        <f>+T12-U12</f>
        <v>0</v>
      </c>
      <c r="W12" s="269"/>
      <c r="X12" s="269"/>
      <c r="Y12" s="269"/>
      <c r="Z12" s="311">
        <f>+X12-Y12</f>
        <v>0</v>
      </c>
      <c r="AA12" s="269"/>
      <c r="AB12" s="269"/>
      <c r="AC12" s="269"/>
      <c r="AD12" s="314">
        <f>+AB12-AC12</f>
        <v>0</v>
      </c>
      <c r="AE12" s="269"/>
      <c r="AF12" s="269"/>
      <c r="AG12" s="269"/>
      <c r="AH12" s="314">
        <f>+AF12-AG12</f>
        <v>0</v>
      </c>
      <c r="AI12" s="269"/>
      <c r="AJ12" s="269"/>
      <c r="AK12" s="269"/>
      <c r="AL12" s="314">
        <f>+AJ12-AK12</f>
        <v>0</v>
      </c>
      <c r="AM12" s="269"/>
      <c r="AN12" s="269"/>
      <c r="AO12" s="269"/>
      <c r="AP12" s="314">
        <f>+AN12-AO12</f>
        <v>0</v>
      </c>
      <c r="AQ12" s="269"/>
      <c r="AR12" s="269"/>
      <c r="AS12" s="269"/>
      <c r="AT12" s="314">
        <f>+AR12-AS12</f>
        <v>0</v>
      </c>
      <c r="AU12" s="269"/>
      <c r="AV12" s="269"/>
      <c r="AW12" s="269"/>
      <c r="AX12" s="314">
        <f>+AV12-AW12</f>
        <v>0</v>
      </c>
      <c r="AY12" s="269"/>
      <c r="AZ12" s="269"/>
      <c r="BA12" s="269"/>
      <c r="BB12" s="314">
        <f>+AZ12-BA12</f>
        <v>0</v>
      </c>
      <c r="BC12" s="269"/>
      <c r="BD12" s="269"/>
      <c r="BE12" s="269"/>
      <c r="BF12" s="314">
        <f>+BD12-BE12</f>
        <v>0</v>
      </c>
      <c r="BG12" s="269"/>
      <c r="BH12" s="269"/>
      <c r="BI12" s="269"/>
      <c r="BJ12" s="314">
        <f>+BH12-BI12</f>
        <v>0</v>
      </c>
      <c r="BK12" s="269"/>
      <c r="BL12" s="269"/>
      <c r="BM12" s="269"/>
      <c r="BN12" s="314">
        <f>+BL12-BM12</f>
        <v>0</v>
      </c>
      <c r="BO12" s="269"/>
      <c r="BP12" s="269"/>
      <c r="BQ12" s="269"/>
      <c r="BR12" s="314">
        <f>+BP12-BQ12</f>
        <v>0</v>
      </c>
      <c r="BS12" s="269"/>
      <c r="BT12" s="269"/>
      <c r="BU12" s="269"/>
      <c r="BV12" s="314">
        <f>+BT12-BU12</f>
        <v>0</v>
      </c>
      <c r="BW12" s="269"/>
      <c r="BX12" s="269"/>
      <c r="BY12" s="269"/>
      <c r="BZ12" s="314">
        <f>+BX12-BY12</f>
        <v>0</v>
      </c>
      <c r="CA12" s="269"/>
      <c r="CB12" s="269"/>
      <c r="CC12" s="269"/>
      <c r="CD12" s="314">
        <f>+CB12-CC12</f>
        <v>0</v>
      </c>
      <c r="CE12" s="269"/>
      <c r="CF12" s="269"/>
      <c r="CG12" s="269"/>
      <c r="CH12" s="314">
        <f>+CF12-CG12</f>
        <v>0</v>
      </c>
      <c r="CI12" s="269"/>
      <c r="CJ12" s="269"/>
      <c r="CK12" s="269"/>
      <c r="CL12" s="314">
        <f>+CJ12-CK12</f>
        <v>0</v>
      </c>
      <c r="CM12" s="269"/>
      <c r="CN12" s="269"/>
      <c r="CO12" s="269"/>
      <c r="CP12" s="314">
        <f>+CN12-CO12</f>
        <v>0</v>
      </c>
      <c r="CQ12" s="269"/>
      <c r="CR12" s="269"/>
      <c r="CS12" s="269"/>
      <c r="CT12" s="314">
        <f>+CR12-CS12</f>
        <v>0</v>
      </c>
      <c r="CU12" s="269"/>
      <c r="CV12" s="269"/>
      <c r="CW12" s="269"/>
      <c r="CX12" s="314">
        <f>+CV12-CW12</f>
        <v>0</v>
      </c>
      <c r="CY12" s="269"/>
      <c r="CZ12" s="269"/>
      <c r="DA12" s="269"/>
      <c r="DB12" s="314">
        <f>+CZ12-DA12</f>
        <v>0</v>
      </c>
      <c r="DC12" s="269"/>
      <c r="DD12" s="269"/>
      <c r="DE12" s="269"/>
      <c r="DF12" s="314">
        <f>+DD12-DE12</f>
        <v>0</v>
      </c>
      <c r="DG12" s="269"/>
      <c r="DH12" s="269"/>
      <c r="DI12" s="269"/>
      <c r="DJ12" s="314">
        <f>+DH12-DI12</f>
        <v>0</v>
      </c>
      <c r="DK12" s="269"/>
      <c r="DL12" s="269"/>
      <c r="DM12" s="269"/>
      <c r="DN12" s="314">
        <f>+DL12-DM12</f>
        <v>0</v>
      </c>
      <c r="DO12" s="269"/>
      <c r="DP12" s="269"/>
      <c r="DQ12" s="269"/>
      <c r="DR12" s="314">
        <f>+DP12-DQ12</f>
        <v>0</v>
      </c>
      <c r="DS12" s="269"/>
      <c r="DT12" s="269"/>
      <c r="DU12" s="269"/>
      <c r="DV12" s="314">
        <f>+DT12-DU12</f>
        <v>0</v>
      </c>
      <c r="DW12" s="269"/>
      <c r="DX12" s="269"/>
      <c r="DY12" s="269"/>
      <c r="DZ12" s="314">
        <f>+DX12-DY12</f>
        <v>0</v>
      </c>
      <c r="EA12" s="269"/>
      <c r="EB12" s="269"/>
      <c r="EC12" s="269"/>
      <c r="ED12" s="314">
        <f>+EB12-EC12</f>
        <v>0</v>
      </c>
      <c r="EE12" s="269"/>
      <c r="EF12" s="269"/>
      <c r="EG12" s="269"/>
      <c r="EH12" s="314">
        <f>+EF12-EG12</f>
        <v>0</v>
      </c>
      <c r="EI12" s="269"/>
      <c r="EJ12" s="269"/>
      <c r="EK12" s="269"/>
      <c r="EL12" s="314">
        <f>+EJ12-EK12</f>
        <v>0</v>
      </c>
      <c r="EM12" s="269"/>
      <c r="EN12" s="269"/>
      <c r="EO12" s="269"/>
      <c r="EP12" s="314">
        <f>+EN12-EO12</f>
        <v>0</v>
      </c>
      <c r="EQ12" s="269"/>
      <c r="ER12" s="269"/>
      <c r="ES12" s="269"/>
      <c r="ET12" s="314">
        <f>+ER12-ES12</f>
        <v>0</v>
      </c>
      <c r="EU12" s="269"/>
      <c r="EV12" s="269"/>
      <c r="EW12" s="269"/>
      <c r="EX12" s="314">
        <f>+EV12-EW12</f>
        <v>0</v>
      </c>
      <c r="EY12" s="269"/>
      <c r="EZ12" s="269"/>
      <c r="FA12" s="269"/>
      <c r="FB12" s="314">
        <f>+EZ12-FA12</f>
        <v>0</v>
      </c>
      <c r="FC12" s="269"/>
      <c r="FD12" s="269"/>
      <c r="FE12" s="269"/>
      <c r="FF12" s="314">
        <f>+FD12-FE12</f>
        <v>0</v>
      </c>
      <c r="FG12" s="269"/>
      <c r="FH12" s="269"/>
      <c r="FI12" s="269"/>
      <c r="FJ12" s="314">
        <f>+FH12-FI12</f>
        <v>0</v>
      </c>
      <c r="FK12" s="269"/>
      <c r="FL12" s="269"/>
      <c r="FM12" s="269"/>
      <c r="FN12" s="314">
        <f>+FL12-FM12</f>
        <v>0</v>
      </c>
      <c r="FO12" s="269"/>
      <c r="FP12" s="269"/>
      <c r="FQ12" s="269"/>
      <c r="FR12" s="314">
        <f>+FP12-FQ12</f>
        <v>0</v>
      </c>
      <c r="FS12" s="269"/>
      <c r="FT12" s="269"/>
      <c r="FU12" s="269"/>
      <c r="FV12" s="314">
        <f>+FT12-FU12</f>
        <v>0</v>
      </c>
      <c r="FW12" s="269"/>
      <c r="FX12" s="269"/>
      <c r="FY12" s="269"/>
      <c r="FZ12" s="314">
        <f>+FX12-FY12</f>
        <v>0</v>
      </c>
      <c r="GA12" s="269"/>
      <c r="GB12" s="269"/>
      <c r="GC12" s="269"/>
      <c r="GD12" s="314">
        <f>+GB12-GC12</f>
        <v>0</v>
      </c>
      <c r="GE12" s="269"/>
      <c r="GF12" s="269"/>
      <c r="GG12" s="269"/>
      <c r="GH12" s="314">
        <f>+GF12-GG12</f>
        <v>0</v>
      </c>
      <c r="GI12" s="269"/>
      <c r="GJ12" s="269"/>
      <c r="GK12" s="269"/>
      <c r="GL12" s="314">
        <f>+GJ12-GK12</f>
        <v>0</v>
      </c>
      <c r="GM12" s="269"/>
      <c r="GN12" s="269"/>
      <c r="GO12" s="269"/>
      <c r="GP12" s="314">
        <f>+GN12-GO12</f>
        <v>0</v>
      </c>
      <c r="GQ12" s="269"/>
      <c r="GR12" s="269"/>
      <c r="GS12" s="269"/>
      <c r="GT12" s="314">
        <f>+GR12-GS12</f>
        <v>0</v>
      </c>
      <c r="GU12" s="269"/>
      <c r="GV12" s="269"/>
      <c r="GW12" s="269"/>
      <c r="GX12" s="314">
        <f>+GV12-GW12</f>
        <v>0</v>
      </c>
      <c r="GY12" s="269"/>
      <c r="GZ12" s="269"/>
      <c r="HA12" s="269"/>
      <c r="HB12" s="314">
        <f>+GZ12-HA12</f>
        <v>0</v>
      </c>
      <c r="HC12" s="269"/>
      <c r="HD12" s="269"/>
      <c r="HE12" s="269"/>
      <c r="HF12" s="314">
        <f>+HD12-HE12</f>
        <v>0</v>
      </c>
      <c r="HG12" s="269"/>
      <c r="HH12" s="269"/>
      <c r="HI12" s="269"/>
      <c r="HJ12" s="314">
        <f>+HH12-HI12</f>
        <v>0</v>
      </c>
      <c r="HK12" s="269"/>
      <c r="HL12" s="269"/>
      <c r="HM12" s="269"/>
      <c r="HN12" s="314">
        <f>+HL12-HM12</f>
        <v>0</v>
      </c>
      <c r="HO12" s="269"/>
      <c r="HP12" s="269"/>
      <c r="HQ12" s="269"/>
      <c r="HR12" s="314">
        <f>+HP12-HQ12</f>
        <v>0</v>
      </c>
      <c r="HS12" s="269"/>
      <c r="HT12" s="269"/>
      <c r="HU12" s="269"/>
      <c r="HV12" s="314">
        <f>+HT12-HU12</f>
        <v>0</v>
      </c>
      <c r="HW12" s="269"/>
      <c r="HX12" s="269"/>
      <c r="HY12" s="269"/>
      <c r="HZ12" s="314">
        <f>+HX12-HY12</f>
        <v>0</v>
      </c>
      <c r="IA12" s="269"/>
      <c r="IB12" s="269"/>
      <c r="IC12" s="269"/>
      <c r="ID12" s="314">
        <f>+IB12-IC12</f>
        <v>0</v>
      </c>
      <c r="IE12" s="269"/>
      <c r="IF12" s="269"/>
      <c r="IG12" s="269"/>
      <c r="IH12" s="314">
        <f>+IF12-IG12</f>
        <v>0</v>
      </c>
      <c r="II12" s="269"/>
      <c r="IJ12" s="269"/>
      <c r="IK12" s="269"/>
      <c r="IL12" s="314">
        <f>+IJ12-IK12</f>
        <v>0</v>
      </c>
      <c r="IM12" s="269"/>
      <c r="IN12" s="269"/>
      <c r="IO12" s="269"/>
      <c r="IP12" s="314">
        <f>+IN12-IO12</f>
        <v>0</v>
      </c>
      <c r="IQ12" s="277">
        <f t="shared" si="1"/>
        <v>7000</v>
      </c>
      <c r="IR12" s="277">
        <f t="shared" si="1"/>
        <v>7000</v>
      </c>
      <c r="IS12" s="277">
        <f t="shared" si="1"/>
        <v>2658.81</v>
      </c>
      <c r="IT12" s="277">
        <f t="shared" si="1"/>
        <v>4341.1900000000005</v>
      </c>
    </row>
    <row r="13" spans="1:254" s="308" customFormat="1" ht="15" customHeight="1">
      <c r="A13" s="429">
        <v>420000</v>
      </c>
      <c r="B13" s="431" t="s">
        <v>1039</v>
      </c>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7"/>
      <c r="CO13" s="277"/>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7"/>
      <c r="EC13" s="277"/>
      <c r="ED13" s="277"/>
      <c r="EE13" s="277"/>
      <c r="EF13" s="277"/>
      <c r="EG13" s="277"/>
      <c r="EH13" s="277"/>
      <c r="EI13" s="277"/>
      <c r="EJ13" s="277"/>
      <c r="EK13" s="277"/>
      <c r="EL13" s="277"/>
      <c r="EM13" s="277"/>
      <c r="EN13" s="277"/>
      <c r="EO13" s="277"/>
      <c r="EP13" s="277"/>
      <c r="EQ13" s="277"/>
      <c r="ER13" s="277"/>
      <c r="ES13" s="277"/>
      <c r="ET13" s="277"/>
      <c r="EU13" s="277"/>
      <c r="EV13" s="277"/>
      <c r="EW13" s="277"/>
      <c r="EX13" s="277"/>
      <c r="EY13" s="277"/>
      <c r="EZ13" s="277"/>
      <c r="FA13" s="277"/>
      <c r="FB13" s="277"/>
      <c r="FC13" s="277"/>
      <c r="FD13" s="277"/>
      <c r="FE13" s="277"/>
      <c r="FF13" s="277"/>
      <c r="FG13" s="277"/>
      <c r="FH13" s="277"/>
      <c r="FI13" s="277"/>
      <c r="FJ13" s="277"/>
      <c r="FK13" s="277"/>
      <c r="FL13" s="277"/>
      <c r="FM13" s="277"/>
      <c r="FN13" s="277"/>
      <c r="FO13" s="277"/>
      <c r="FP13" s="277"/>
      <c r="FQ13" s="277"/>
      <c r="FR13" s="277"/>
      <c r="FS13" s="277"/>
      <c r="FT13" s="277"/>
      <c r="FU13" s="277"/>
      <c r="FV13" s="277"/>
      <c r="FW13" s="277"/>
      <c r="FX13" s="277"/>
      <c r="FY13" s="277"/>
      <c r="FZ13" s="277"/>
      <c r="GA13" s="277"/>
      <c r="GB13" s="277"/>
      <c r="GC13" s="277"/>
      <c r="GD13" s="277"/>
      <c r="GE13" s="277"/>
      <c r="GF13" s="277"/>
      <c r="GG13" s="277"/>
      <c r="GH13" s="277"/>
      <c r="GI13" s="277"/>
      <c r="GJ13" s="277"/>
      <c r="GK13" s="277"/>
      <c r="GL13" s="277"/>
      <c r="GM13" s="277"/>
      <c r="GN13" s="277"/>
      <c r="GO13" s="277"/>
      <c r="GP13" s="277"/>
      <c r="GQ13" s="277"/>
      <c r="GR13" s="277"/>
      <c r="GS13" s="277"/>
      <c r="GT13" s="277"/>
      <c r="GU13" s="277"/>
      <c r="GV13" s="277"/>
      <c r="GW13" s="277"/>
      <c r="GX13" s="277"/>
      <c r="GY13" s="277"/>
      <c r="GZ13" s="277"/>
      <c r="HA13" s="277"/>
      <c r="HB13" s="277"/>
      <c r="HC13" s="277"/>
      <c r="HD13" s="277"/>
      <c r="HE13" s="277"/>
      <c r="HF13" s="277"/>
      <c r="HG13" s="277"/>
      <c r="HH13" s="277"/>
      <c r="HI13" s="277"/>
      <c r="HJ13" s="277"/>
      <c r="HK13" s="277"/>
      <c r="HL13" s="277"/>
      <c r="HM13" s="277"/>
      <c r="HN13" s="277"/>
      <c r="HO13" s="277"/>
      <c r="HP13" s="277"/>
      <c r="HQ13" s="277"/>
      <c r="HR13" s="277"/>
      <c r="HS13" s="277"/>
      <c r="HT13" s="277"/>
      <c r="HU13" s="277"/>
      <c r="HV13" s="277"/>
      <c r="HW13" s="277"/>
      <c r="HX13" s="277"/>
      <c r="HY13" s="277"/>
      <c r="HZ13" s="277"/>
      <c r="IA13" s="277"/>
      <c r="IB13" s="277"/>
      <c r="IC13" s="277"/>
      <c r="ID13" s="277"/>
      <c r="IE13" s="277"/>
      <c r="IF13" s="277"/>
      <c r="IG13" s="277"/>
      <c r="IH13" s="277"/>
      <c r="II13" s="277"/>
      <c r="IJ13" s="277"/>
      <c r="IK13" s="277"/>
      <c r="IL13" s="277"/>
      <c r="IM13" s="277"/>
      <c r="IN13" s="277"/>
      <c r="IO13" s="277"/>
      <c r="IP13" s="277"/>
      <c r="IQ13" s="277"/>
      <c r="IR13" s="277"/>
      <c r="IS13" s="277"/>
      <c r="IT13" s="277"/>
    </row>
    <row r="14" spans="1:254" ht="15" customHeight="1">
      <c r="A14" s="410">
        <v>100</v>
      </c>
      <c r="B14" s="263" t="s">
        <v>871</v>
      </c>
      <c r="C14" s="269"/>
      <c r="D14" s="269"/>
      <c r="E14" s="269"/>
      <c r="F14" s="314">
        <f t="shared" si="0"/>
        <v>0</v>
      </c>
      <c r="G14" s="269"/>
      <c r="H14" s="269"/>
      <c r="I14" s="269"/>
      <c r="J14" s="314">
        <f>+H14-I14</f>
        <v>0</v>
      </c>
      <c r="K14" s="269"/>
      <c r="L14" s="269"/>
      <c r="M14" s="269"/>
      <c r="N14" s="314">
        <f>+L14-M14</f>
        <v>0</v>
      </c>
      <c r="O14" s="269"/>
      <c r="P14" s="269"/>
      <c r="Q14" s="269"/>
      <c r="R14" s="314">
        <f>+P14-Q14</f>
        <v>0</v>
      </c>
      <c r="S14" s="269"/>
      <c r="T14" s="269"/>
      <c r="U14" s="269"/>
      <c r="V14" s="314">
        <f>+T14-U14</f>
        <v>0</v>
      </c>
      <c r="W14" s="269"/>
      <c r="X14" s="269"/>
      <c r="Y14" s="269"/>
      <c r="Z14" s="314">
        <f>+X14-Y14</f>
        <v>0</v>
      </c>
      <c r="AA14" s="269"/>
      <c r="AB14" s="269"/>
      <c r="AC14" s="269"/>
      <c r="AD14" s="314">
        <f>+AB14-AC14</f>
        <v>0</v>
      </c>
      <c r="AE14" s="269"/>
      <c r="AF14" s="269"/>
      <c r="AG14" s="269"/>
      <c r="AH14" s="314">
        <f>+AF14-AG14</f>
        <v>0</v>
      </c>
      <c r="AI14" s="269"/>
      <c r="AJ14" s="269"/>
      <c r="AK14" s="269"/>
      <c r="AL14" s="314">
        <f>+AJ14-AK14</f>
        <v>0</v>
      </c>
      <c r="AM14" s="269"/>
      <c r="AN14" s="269"/>
      <c r="AO14" s="269"/>
      <c r="AP14" s="314">
        <f>+AN14-AO14</f>
        <v>0</v>
      </c>
      <c r="AQ14" s="269"/>
      <c r="AR14" s="269"/>
      <c r="AS14" s="269"/>
      <c r="AT14" s="314">
        <f>+AR14-AS14</f>
        <v>0</v>
      </c>
      <c r="AU14" s="269"/>
      <c r="AV14" s="269"/>
      <c r="AW14" s="269"/>
      <c r="AX14" s="314">
        <f>+AV14-AW14</f>
        <v>0</v>
      </c>
      <c r="AY14" s="269"/>
      <c r="AZ14" s="269"/>
      <c r="BA14" s="269"/>
      <c r="BB14" s="314">
        <f>+AZ14-BA14</f>
        <v>0</v>
      </c>
      <c r="BC14" s="269"/>
      <c r="BD14" s="269"/>
      <c r="BE14" s="269"/>
      <c r="BF14" s="314">
        <f>+BD14-BE14</f>
        <v>0</v>
      </c>
      <c r="BG14" s="269"/>
      <c r="BH14" s="269"/>
      <c r="BI14" s="269"/>
      <c r="BJ14" s="314">
        <f>+BH14-BI14</f>
        <v>0</v>
      </c>
      <c r="BK14" s="269"/>
      <c r="BL14" s="269"/>
      <c r="BM14" s="269"/>
      <c r="BN14" s="314">
        <f>+BL14-BM14</f>
        <v>0</v>
      </c>
      <c r="BO14" s="269"/>
      <c r="BP14" s="269"/>
      <c r="BQ14" s="269"/>
      <c r="BR14" s="314">
        <f>+BP14-BQ14</f>
        <v>0</v>
      </c>
      <c r="BS14" s="269"/>
      <c r="BT14" s="269"/>
      <c r="BU14" s="269"/>
      <c r="BV14" s="314">
        <f>+BT14-BU14</f>
        <v>0</v>
      </c>
      <c r="BW14" s="269"/>
      <c r="BX14" s="269"/>
      <c r="BY14" s="269"/>
      <c r="BZ14" s="314">
        <f>+BX14-BY14</f>
        <v>0</v>
      </c>
      <c r="CA14" s="269"/>
      <c r="CB14" s="269"/>
      <c r="CC14" s="269"/>
      <c r="CD14" s="314">
        <f>+CB14-CC14</f>
        <v>0</v>
      </c>
      <c r="CE14" s="269"/>
      <c r="CF14" s="269"/>
      <c r="CG14" s="269"/>
      <c r="CH14" s="314">
        <f>+CF14-CG14</f>
        <v>0</v>
      </c>
      <c r="CI14" s="269"/>
      <c r="CJ14" s="269"/>
      <c r="CK14" s="269"/>
      <c r="CL14" s="314">
        <f>+CJ14-CK14</f>
        <v>0</v>
      </c>
      <c r="CM14" s="269"/>
      <c r="CN14" s="269"/>
      <c r="CO14" s="269"/>
      <c r="CP14" s="314">
        <f>+CN14-CO14</f>
        <v>0</v>
      </c>
      <c r="CQ14" s="269"/>
      <c r="CR14" s="269"/>
      <c r="CS14" s="269"/>
      <c r="CT14" s="314">
        <f>+CR14-CS14</f>
        <v>0</v>
      </c>
      <c r="CU14" s="269"/>
      <c r="CV14" s="269"/>
      <c r="CW14" s="269"/>
      <c r="CX14" s="314">
        <f>+CV14-CW14</f>
        <v>0</v>
      </c>
      <c r="CY14" s="269"/>
      <c r="CZ14" s="269"/>
      <c r="DA14" s="269"/>
      <c r="DB14" s="314">
        <f>+CZ14-DA14</f>
        <v>0</v>
      </c>
      <c r="DC14" s="269"/>
      <c r="DD14" s="269"/>
      <c r="DE14" s="269"/>
      <c r="DF14" s="314">
        <f>+DD14-DE14</f>
        <v>0</v>
      </c>
      <c r="DG14" s="269"/>
      <c r="DH14" s="269"/>
      <c r="DI14" s="269"/>
      <c r="DJ14" s="314">
        <f>+DH14-DI14</f>
        <v>0</v>
      </c>
      <c r="DK14" s="269"/>
      <c r="DL14" s="269"/>
      <c r="DM14" s="269"/>
      <c r="DN14" s="314">
        <f>+DL14-DM14</f>
        <v>0</v>
      </c>
      <c r="DO14" s="269"/>
      <c r="DP14" s="269"/>
      <c r="DQ14" s="269"/>
      <c r="DR14" s="314">
        <f>+DP14-DQ14</f>
        <v>0</v>
      </c>
      <c r="DS14" s="269"/>
      <c r="DT14" s="269"/>
      <c r="DU14" s="269"/>
      <c r="DV14" s="314">
        <f>+DT14-DU14</f>
        <v>0</v>
      </c>
      <c r="DW14" s="269"/>
      <c r="DX14" s="269"/>
      <c r="DY14" s="269"/>
      <c r="DZ14" s="314">
        <f>+DX14-DY14</f>
        <v>0</v>
      </c>
      <c r="EA14" s="269"/>
      <c r="EB14" s="269"/>
      <c r="EC14" s="269"/>
      <c r="ED14" s="314">
        <f>+EB14-EC14</f>
        <v>0</v>
      </c>
      <c r="EE14" s="269"/>
      <c r="EF14" s="269"/>
      <c r="EG14" s="269"/>
      <c r="EH14" s="314">
        <f>+EF14-EG14</f>
        <v>0</v>
      </c>
      <c r="EI14" s="269"/>
      <c r="EJ14" s="269"/>
      <c r="EK14" s="269"/>
      <c r="EL14" s="314">
        <f>+EJ14-EK14</f>
        <v>0</v>
      </c>
      <c r="EM14" s="269"/>
      <c r="EN14" s="269"/>
      <c r="EO14" s="269"/>
      <c r="EP14" s="314">
        <f>+EN14-EO14</f>
        <v>0</v>
      </c>
      <c r="EQ14" s="269"/>
      <c r="ER14" s="269"/>
      <c r="ES14" s="269"/>
      <c r="ET14" s="314">
        <f>+ER14-ES14</f>
        <v>0</v>
      </c>
      <c r="EU14" s="269"/>
      <c r="EV14" s="269"/>
      <c r="EW14" s="269"/>
      <c r="EX14" s="314">
        <f>+EV14-EW14</f>
        <v>0</v>
      </c>
      <c r="EY14" s="269"/>
      <c r="EZ14" s="269"/>
      <c r="FA14" s="269"/>
      <c r="FB14" s="314">
        <f>+EZ14-FA14</f>
        <v>0</v>
      </c>
      <c r="FC14" s="269"/>
      <c r="FD14" s="269"/>
      <c r="FE14" s="269"/>
      <c r="FF14" s="314">
        <f>+FD14-FE14</f>
        <v>0</v>
      </c>
      <c r="FG14" s="269"/>
      <c r="FH14" s="269"/>
      <c r="FI14" s="269"/>
      <c r="FJ14" s="314">
        <f>+FH14-FI14</f>
        <v>0</v>
      </c>
      <c r="FK14" s="269"/>
      <c r="FL14" s="269"/>
      <c r="FM14" s="269"/>
      <c r="FN14" s="314">
        <f>+FL14-FM14</f>
        <v>0</v>
      </c>
      <c r="FO14" s="269"/>
      <c r="FP14" s="269"/>
      <c r="FQ14" s="269"/>
      <c r="FR14" s="314">
        <f>+FP14-FQ14</f>
        <v>0</v>
      </c>
      <c r="FS14" s="269"/>
      <c r="FT14" s="269"/>
      <c r="FU14" s="269"/>
      <c r="FV14" s="314">
        <f>+FT14-FU14</f>
        <v>0</v>
      </c>
      <c r="FW14" s="269"/>
      <c r="FX14" s="269"/>
      <c r="FY14" s="269"/>
      <c r="FZ14" s="314">
        <f>+FX14-FY14</f>
        <v>0</v>
      </c>
      <c r="GA14" s="269"/>
      <c r="GB14" s="269"/>
      <c r="GC14" s="269"/>
      <c r="GD14" s="314">
        <f>+GB14-GC14</f>
        <v>0</v>
      </c>
      <c r="GE14" s="269"/>
      <c r="GF14" s="269"/>
      <c r="GG14" s="269"/>
      <c r="GH14" s="314">
        <f>+GF14-GG14</f>
        <v>0</v>
      </c>
      <c r="GI14" s="269"/>
      <c r="GJ14" s="269"/>
      <c r="GK14" s="269"/>
      <c r="GL14" s="314">
        <f>+GJ14-GK14</f>
        <v>0</v>
      </c>
      <c r="GM14" s="269"/>
      <c r="GN14" s="269"/>
      <c r="GO14" s="269"/>
      <c r="GP14" s="314">
        <f>+GN14-GO14</f>
        <v>0</v>
      </c>
      <c r="GQ14" s="269"/>
      <c r="GR14" s="269"/>
      <c r="GS14" s="269"/>
      <c r="GT14" s="314">
        <f>+GR14-GS14</f>
        <v>0</v>
      </c>
      <c r="GU14" s="269"/>
      <c r="GV14" s="269"/>
      <c r="GW14" s="269"/>
      <c r="GX14" s="314">
        <f>+GV14-GW14</f>
        <v>0</v>
      </c>
      <c r="GY14" s="269"/>
      <c r="GZ14" s="269"/>
      <c r="HA14" s="269"/>
      <c r="HB14" s="314">
        <f>+GZ14-HA14</f>
        <v>0</v>
      </c>
      <c r="HC14" s="269"/>
      <c r="HD14" s="269"/>
      <c r="HE14" s="269"/>
      <c r="HF14" s="314">
        <f>+HD14-HE14</f>
        <v>0</v>
      </c>
      <c r="HG14" s="269"/>
      <c r="HH14" s="269"/>
      <c r="HI14" s="269"/>
      <c r="HJ14" s="314">
        <f>+HH14-HI14</f>
        <v>0</v>
      </c>
      <c r="HK14" s="269"/>
      <c r="HL14" s="269"/>
      <c r="HM14" s="269"/>
      <c r="HN14" s="314">
        <f>+HL14-HM14</f>
        <v>0</v>
      </c>
      <c r="HO14" s="269"/>
      <c r="HP14" s="269"/>
      <c r="HQ14" s="269"/>
      <c r="HR14" s="314">
        <f>+HP14-HQ14</f>
        <v>0</v>
      </c>
      <c r="HS14" s="269"/>
      <c r="HT14" s="269"/>
      <c r="HU14" s="269"/>
      <c r="HV14" s="314">
        <f>+HT14-HU14</f>
        <v>0</v>
      </c>
      <c r="HW14" s="269"/>
      <c r="HX14" s="269"/>
      <c r="HY14" s="269"/>
      <c r="HZ14" s="314">
        <f>+HX14-HY14</f>
        <v>0</v>
      </c>
      <c r="IA14" s="269"/>
      <c r="IB14" s="269"/>
      <c r="IC14" s="269"/>
      <c r="ID14" s="314">
        <f>+IB14-IC14</f>
        <v>0</v>
      </c>
      <c r="IE14" s="269"/>
      <c r="IF14" s="269"/>
      <c r="IG14" s="269"/>
      <c r="IH14" s="314">
        <f>+IF14-IG14</f>
        <v>0</v>
      </c>
      <c r="II14" s="269"/>
      <c r="IJ14" s="269"/>
      <c r="IK14" s="269"/>
      <c r="IL14" s="314">
        <f>+IJ14-IK14</f>
        <v>0</v>
      </c>
      <c r="IM14" s="269"/>
      <c r="IN14" s="269"/>
      <c r="IO14" s="269"/>
      <c r="IP14" s="314">
        <f>+IN14-IO14</f>
        <v>0</v>
      </c>
      <c r="IQ14" s="277">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77">
        <f t="shared" si="2"/>
        <v>0</v>
      </c>
      <c r="IS14" s="277">
        <f t="shared" si="2"/>
        <v>0</v>
      </c>
      <c r="IT14" s="277">
        <f t="shared" si="2"/>
        <v>0</v>
      </c>
    </row>
    <row r="15" spans="1:254" ht="15" customHeight="1">
      <c r="A15" s="410" t="s">
        <v>191</v>
      </c>
      <c r="B15" s="263" t="s">
        <v>872</v>
      </c>
      <c r="C15" s="269"/>
      <c r="D15" s="269"/>
      <c r="E15" s="269"/>
      <c r="F15" s="314">
        <f t="shared" si="0"/>
        <v>0</v>
      </c>
      <c r="G15" s="269"/>
      <c r="H15" s="269"/>
      <c r="I15" s="269"/>
      <c r="J15" s="314">
        <f>+H15-I15</f>
        <v>0</v>
      </c>
      <c r="K15" s="269"/>
      <c r="L15" s="269"/>
      <c r="M15" s="269"/>
      <c r="N15" s="314">
        <f>+L15-M15</f>
        <v>0</v>
      </c>
      <c r="O15" s="269"/>
      <c r="P15" s="269"/>
      <c r="Q15" s="269"/>
      <c r="R15" s="314">
        <f>+P15-Q15</f>
        <v>0</v>
      </c>
      <c r="S15" s="269"/>
      <c r="T15" s="269"/>
      <c r="U15" s="269"/>
      <c r="V15" s="314">
        <f>+T15-U15</f>
        <v>0</v>
      </c>
      <c r="W15" s="269"/>
      <c r="X15" s="269"/>
      <c r="Y15" s="269"/>
      <c r="Z15" s="314">
        <f>+X15-Y15</f>
        <v>0</v>
      </c>
      <c r="AA15" s="269"/>
      <c r="AB15" s="269"/>
      <c r="AC15" s="269"/>
      <c r="AD15" s="314">
        <f>+AB15-AC15</f>
        <v>0</v>
      </c>
      <c r="AE15" s="269"/>
      <c r="AF15" s="269"/>
      <c r="AG15" s="269"/>
      <c r="AH15" s="314">
        <f>+AF15-AG15</f>
        <v>0</v>
      </c>
      <c r="AI15" s="269"/>
      <c r="AJ15" s="269"/>
      <c r="AK15" s="269"/>
      <c r="AL15" s="314">
        <f>+AJ15-AK15</f>
        <v>0</v>
      </c>
      <c r="AM15" s="269"/>
      <c r="AN15" s="269"/>
      <c r="AO15" s="269"/>
      <c r="AP15" s="314">
        <f>+AN15-AO15</f>
        <v>0</v>
      </c>
      <c r="AQ15" s="269"/>
      <c r="AR15" s="269"/>
      <c r="AS15" s="269"/>
      <c r="AT15" s="314">
        <f>+AR15-AS15</f>
        <v>0</v>
      </c>
      <c r="AU15" s="269"/>
      <c r="AV15" s="269"/>
      <c r="AW15" s="269"/>
      <c r="AX15" s="314">
        <f>+AV15-AW15</f>
        <v>0</v>
      </c>
      <c r="AY15" s="269"/>
      <c r="AZ15" s="269"/>
      <c r="BA15" s="269"/>
      <c r="BB15" s="314">
        <f>+AZ15-BA15</f>
        <v>0</v>
      </c>
      <c r="BC15" s="269"/>
      <c r="BD15" s="269"/>
      <c r="BE15" s="269"/>
      <c r="BF15" s="314">
        <f>+BD15-BE15</f>
        <v>0</v>
      </c>
      <c r="BG15" s="269"/>
      <c r="BH15" s="269"/>
      <c r="BI15" s="269"/>
      <c r="BJ15" s="314">
        <f>+BH15-BI15</f>
        <v>0</v>
      </c>
      <c r="BK15" s="269"/>
      <c r="BL15" s="269"/>
      <c r="BM15" s="269"/>
      <c r="BN15" s="314">
        <f>+BL15-BM15</f>
        <v>0</v>
      </c>
      <c r="BO15" s="269"/>
      <c r="BP15" s="269"/>
      <c r="BQ15" s="269"/>
      <c r="BR15" s="314">
        <f>+BP15-BQ15</f>
        <v>0</v>
      </c>
      <c r="BS15" s="269"/>
      <c r="BT15" s="269"/>
      <c r="BU15" s="269"/>
      <c r="BV15" s="314">
        <f>+BT15-BU15</f>
        <v>0</v>
      </c>
      <c r="BW15" s="269"/>
      <c r="BX15" s="269"/>
      <c r="BY15" s="269"/>
      <c r="BZ15" s="314">
        <f>+BX15-BY15</f>
        <v>0</v>
      </c>
      <c r="CA15" s="269"/>
      <c r="CB15" s="269"/>
      <c r="CC15" s="269"/>
      <c r="CD15" s="314">
        <f>+CB15-CC15</f>
        <v>0</v>
      </c>
      <c r="CE15" s="269"/>
      <c r="CF15" s="269"/>
      <c r="CG15" s="269"/>
      <c r="CH15" s="314">
        <f>+CF15-CG15</f>
        <v>0</v>
      </c>
      <c r="CI15" s="269"/>
      <c r="CJ15" s="269"/>
      <c r="CK15" s="269"/>
      <c r="CL15" s="314">
        <f>+CJ15-CK15</f>
        <v>0</v>
      </c>
      <c r="CM15" s="269"/>
      <c r="CN15" s="269"/>
      <c r="CO15" s="269"/>
      <c r="CP15" s="314">
        <f>+CN15-CO15</f>
        <v>0</v>
      </c>
      <c r="CQ15" s="269"/>
      <c r="CR15" s="269"/>
      <c r="CS15" s="269"/>
      <c r="CT15" s="314">
        <f>+CR15-CS15</f>
        <v>0</v>
      </c>
      <c r="CU15" s="269"/>
      <c r="CV15" s="269"/>
      <c r="CW15" s="269"/>
      <c r="CX15" s="314">
        <f>+CV15-CW15</f>
        <v>0</v>
      </c>
      <c r="CY15" s="269"/>
      <c r="CZ15" s="269"/>
      <c r="DA15" s="269"/>
      <c r="DB15" s="314">
        <f>+CZ15-DA15</f>
        <v>0</v>
      </c>
      <c r="DC15" s="269"/>
      <c r="DD15" s="269"/>
      <c r="DE15" s="269"/>
      <c r="DF15" s="314">
        <f>+DD15-DE15</f>
        <v>0</v>
      </c>
      <c r="DG15" s="269"/>
      <c r="DH15" s="269"/>
      <c r="DI15" s="269"/>
      <c r="DJ15" s="314">
        <f>+DH15-DI15</f>
        <v>0</v>
      </c>
      <c r="DK15" s="269"/>
      <c r="DL15" s="269"/>
      <c r="DM15" s="269"/>
      <c r="DN15" s="314">
        <f>+DL15-DM15</f>
        <v>0</v>
      </c>
      <c r="DO15" s="269"/>
      <c r="DP15" s="269"/>
      <c r="DQ15" s="269"/>
      <c r="DR15" s="314">
        <f>+DP15-DQ15</f>
        <v>0</v>
      </c>
      <c r="DS15" s="269"/>
      <c r="DT15" s="269"/>
      <c r="DU15" s="269"/>
      <c r="DV15" s="314">
        <f>+DT15-DU15</f>
        <v>0</v>
      </c>
      <c r="DW15" s="269"/>
      <c r="DX15" s="269"/>
      <c r="DY15" s="269"/>
      <c r="DZ15" s="314">
        <f>+DX15-DY15</f>
        <v>0</v>
      </c>
      <c r="EA15" s="269"/>
      <c r="EB15" s="269"/>
      <c r="EC15" s="269"/>
      <c r="ED15" s="314">
        <f>+EB15-EC15</f>
        <v>0</v>
      </c>
      <c r="EE15" s="269"/>
      <c r="EF15" s="269"/>
      <c r="EG15" s="269"/>
      <c r="EH15" s="314">
        <f>+EF15-EG15</f>
        <v>0</v>
      </c>
      <c r="EI15" s="269"/>
      <c r="EJ15" s="269"/>
      <c r="EK15" s="269"/>
      <c r="EL15" s="314">
        <f>+EJ15-EK15</f>
        <v>0</v>
      </c>
      <c r="EM15" s="269"/>
      <c r="EN15" s="269"/>
      <c r="EO15" s="269"/>
      <c r="EP15" s="314">
        <f>+EN15-EO15</f>
        <v>0</v>
      </c>
      <c r="EQ15" s="269"/>
      <c r="ER15" s="269"/>
      <c r="ES15" s="269"/>
      <c r="ET15" s="314">
        <f>+ER15-ES15</f>
        <v>0</v>
      </c>
      <c r="EU15" s="269"/>
      <c r="EV15" s="269"/>
      <c r="EW15" s="269"/>
      <c r="EX15" s="314">
        <f>+EV15-EW15</f>
        <v>0</v>
      </c>
      <c r="EY15" s="269"/>
      <c r="EZ15" s="269"/>
      <c r="FA15" s="269"/>
      <c r="FB15" s="314">
        <f>+EZ15-FA15</f>
        <v>0</v>
      </c>
      <c r="FC15" s="269"/>
      <c r="FD15" s="269"/>
      <c r="FE15" s="269"/>
      <c r="FF15" s="314">
        <f>+FD15-FE15</f>
        <v>0</v>
      </c>
      <c r="FG15" s="269"/>
      <c r="FH15" s="269"/>
      <c r="FI15" s="269"/>
      <c r="FJ15" s="314">
        <f>+FH15-FI15</f>
        <v>0</v>
      </c>
      <c r="FK15" s="269"/>
      <c r="FL15" s="269"/>
      <c r="FM15" s="269"/>
      <c r="FN15" s="314">
        <f>+FL15-FM15</f>
        <v>0</v>
      </c>
      <c r="FO15" s="269"/>
      <c r="FP15" s="269"/>
      <c r="FQ15" s="269"/>
      <c r="FR15" s="314">
        <f>+FP15-FQ15</f>
        <v>0</v>
      </c>
      <c r="FS15" s="269"/>
      <c r="FT15" s="269"/>
      <c r="FU15" s="269"/>
      <c r="FV15" s="314">
        <f>+FT15-FU15</f>
        <v>0</v>
      </c>
      <c r="FW15" s="269"/>
      <c r="FX15" s="269"/>
      <c r="FY15" s="269"/>
      <c r="FZ15" s="314">
        <f>+FX15-FY15</f>
        <v>0</v>
      </c>
      <c r="GA15" s="269"/>
      <c r="GB15" s="269"/>
      <c r="GC15" s="269"/>
      <c r="GD15" s="314">
        <f>+GB15-GC15</f>
        <v>0</v>
      </c>
      <c r="GE15" s="269"/>
      <c r="GF15" s="269"/>
      <c r="GG15" s="269"/>
      <c r="GH15" s="314">
        <f>+GF15-GG15</f>
        <v>0</v>
      </c>
      <c r="GI15" s="269"/>
      <c r="GJ15" s="269"/>
      <c r="GK15" s="269"/>
      <c r="GL15" s="314">
        <f>+GJ15-GK15</f>
        <v>0</v>
      </c>
      <c r="GM15" s="269"/>
      <c r="GN15" s="269"/>
      <c r="GO15" s="269"/>
      <c r="GP15" s="314">
        <f>+GN15-GO15</f>
        <v>0</v>
      </c>
      <c r="GQ15" s="269"/>
      <c r="GR15" s="269"/>
      <c r="GS15" s="269"/>
      <c r="GT15" s="314">
        <f>+GR15-GS15</f>
        <v>0</v>
      </c>
      <c r="GU15" s="269"/>
      <c r="GV15" s="269"/>
      <c r="GW15" s="269"/>
      <c r="GX15" s="314">
        <f>+GV15-GW15</f>
        <v>0</v>
      </c>
      <c r="GY15" s="269"/>
      <c r="GZ15" s="269"/>
      <c r="HA15" s="269"/>
      <c r="HB15" s="314">
        <f>+GZ15-HA15</f>
        <v>0</v>
      </c>
      <c r="HC15" s="269"/>
      <c r="HD15" s="269"/>
      <c r="HE15" s="269"/>
      <c r="HF15" s="314">
        <f>+HD15-HE15</f>
        <v>0</v>
      </c>
      <c r="HG15" s="269"/>
      <c r="HH15" s="269"/>
      <c r="HI15" s="269"/>
      <c r="HJ15" s="314">
        <f>+HH15-HI15</f>
        <v>0</v>
      </c>
      <c r="HK15" s="269"/>
      <c r="HL15" s="269"/>
      <c r="HM15" s="269"/>
      <c r="HN15" s="314">
        <f>+HL15-HM15</f>
        <v>0</v>
      </c>
      <c r="HO15" s="269"/>
      <c r="HP15" s="269"/>
      <c r="HQ15" s="269"/>
      <c r="HR15" s="314">
        <f>+HP15-HQ15</f>
        <v>0</v>
      </c>
      <c r="HS15" s="269"/>
      <c r="HT15" s="269"/>
      <c r="HU15" s="269"/>
      <c r="HV15" s="314">
        <f>+HT15-HU15</f>
        <v>0</v>
      </c>
      <c r="HW15" s="269"/>
      <c r="HX15" s="269"/>
      <c r="HY15" s="269"/>
      <c r="HZ15" s="314">
        <f>+HX15-HY15</f>
        <v>0</v>
      </c>
      <c r="IA15" s="269"/>
      <c r="IB15" s="269"/>
      <c r="IC15" s="269"/>
      <c r="ID15" s="314">
        <f>+IB15-IC15</f>
        <v>0</v>
      </c>
      <c r="IE15" s="269"/>
      <c r="IF15" s="269"/>
      <c r="IG15" s="269"/>
      <c r="IH15" s="314">
        <f>+IF15-IG15</f>
        <v>0</v>
      </c>
      <c r="II15" s="269"/>
      <c r="IJ15" s="269"/>
      <c r="IK15" s="269"/>
      <c r="IL15" s="314">
        <f>+IJ15-IK15</f>
        <v>0</v>
      </c>
      <c r="IM15" s="269"/>
      <c r="IN15" s="269"/>
      <c r="IO15" s="269"/>
      <c r="IP15" s="314">
        <f>+IN15-IO15</f>
        <v>0</v>
      </c>
      <c r="IQ15" s="277">
        <f t="shared" si="2"/>
        <v>0</v>
      </c>
      <c r="IR15" s="277">
        <f t="shared" si="2"/>
        <v>0</v>
      </c>
      <c r="IS15" s="277">
        <f t="shared" si="2"/>
        <v>0</v>
      </c>
      <c r="IT15" s="277">
        <f t="shared" si="2"/>
        <v>0</v>
      </c>
    </row>
    <row r="16" spans="1:254" s="308" customFormat="1" ht="15" customHeight="1">
      <c r="A16" s="429">
        <v>430000</v>
      </c>
      <c r="B16" s="431" t="s">
        <v>1040</v>
      </c>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7"/>
      <c r="EC16" s="277"/>
      <c r="ED16" s="277"/>
      <c r="EE16" s="277"/>
      <c r="EF16" s="277"/>
      <c r="EG16" s="277"/>
      <c r="EH16" s="277"/>
      <c r="EI16" s="277"/>
      <c r="EJ16" s="277"/>
      <c r="EK16" s="277"/>
      <c r="EL16" s="277"/>
      <c r="EM16" s="277"/>
      <c r="EN16" s="277"/>
      <c r="EO16" s="277"/>
      <c r="EP16" s="277"/>
      <c r="EQ16" s="277"/>
      <c r="ER16" s="277"/>
      <c r="ES16" s="277"/>
      <c r="ET16" s="277"/>
      <c r="EU16" s="277"/>
      <c r="EV16" s="277"/>
      <c r="EW16" s="277"/>
      <c r="EX16" s="277"/>
      <c r="EY16" s="277"/>
      <c r="EZ16" s="277"/>
      <c r="FA16" s="277"/>
      <c r="FB16" s="277"/>
      <c r="FC16" s="277"/>
      <c r="FD16" s="277"/>
      <c r="FE16" s="277"/>
      <c r="FF16" s="277"/>
      <c r="FG16" s="277"/>
      <c r="FH16" s="277"/>
      <c r="FI16" s="277"/>
      <c r="FJ16" s="277"/>
      <c r="FK16" s="277"/>
      <c r="FL16" s="277"/>
      <c r="FM16" s="277"/>
      <c r="FN16" s="277"/>
      <c r="FO16" s="277"/>
      <c r="FP16" s="277"/>
      <c r="FQ16" s="277"/>
      <c r="FR16" s="277"/>
      <c r="FS16" s="277"/>
      <c r="FT16" s="277"/>
      <c r="FU16" s="277"/>
      <c r="FV16" s="277"/>
      <c r="FW16" s="277"/>
      <c r="FX16" s="277"/>
      <c r="FY16" s="277"/>
      <c r="FZ16" s="277"/>
      <c r="GA16" s="277"/>
      <c r="GB16" s="277"/>
      <c r="GC16" s="277"/>
      <c r="GD16" s="277"/>
      <c r="GE16" s="277"/>
      <c r="GF16" s="277"/>
      <c r="GG16" s="277"/>
      <c r="GH16" s="277"/>
      <c r="GI16" s="277"/>
      <c r="GJ16" s="277"/>
      <c r="GK16" s="277"/>
      <c r="GL16" s="277"/>
      <c r="GM16" s="277"/>
      <c r="GN16" s="277"/>
      <c r="GO16" s="277"/>
      <c r="GP16" s="277"/>
      <c r="GQ16" s="277"/>
      <c r="GR16" s="277"/>
      <c r="GS16" s="277"/>
      <c r="GT16" s="277"/>
      <c r="GU16" s="277"/>
      <c r="GV16" s="277"/>
      <c r="GW16" s="277"/>
      <c r="GX16" s="277"/>
      <c r="GY16" s="277"/>
      <c r="GZ16" s="277"/>
      <c r="HA16" s="277"/>
      <c r="HB16" s="277"/>
      <c r="HC16" s="277"/>
      <c r="HD16" s="277"/>
      <c r="HE16" s="277"/>
      <c r="HF16" s="277"/>
      <c r="HG16" s="277"/>
      <c r="HH16" s="277"/>
      <c r="HI16" s="277"/>
      <c r="HJ16" s="277"/>
      <c r="HK16" s="277"/>
      <c r="HL16" s="277"/>
      <c r="HM16" s="277"/>
      <c r="HN16" s="277"/>
      <c r="HO16" s="277"/>
      <c r="HP16" s="277"/>
      <c r="HQ16" s="277"/>
      <c r="HR16" s="277"/>
      <c r="HS16" s="277"/>
      <c r="HT16" s="277"/>
      <c r="HU16" s="277"/>
      <c r="HV16" s="277"/>
      <c r="HW16" s="277"/>
      <c r="HX16" s="277"/>
      <c r="HY16" s="277"/>
      <c r="HZ16" s="277"/>
      <c r="IA16" s="277"/>
      <c r="IB16" s="277"/>
      <c r="IC16" s="277"/>
      <c r="ID16" s="277"/>
      <c r="IE16" s="277"/>
      <c r="IF16" s="277"/>
      <c r="IG16" s="277"/>
      <c r="IH16" s="277"/>
      <c r="II16" s="277"/>
      <c r="IJ16" s="277"/>
      <c r="IK16" s="277"/>
      <c r="IL16" s="277"/>
      <c r="IM16" s="277"/>
      <c r="IN16" s="277"/>
      <c r="IO16" s="277"/>
      <c r="IP16" s="277"/>
      <c r="IQ16" s="277"/>
      <c r="IR16" s="277"/>
      <c r="IS16" s="277"/>
      <c r="IT16" s="277"/>
    </row>
    <row r="17" spans="1:254" ht="15" customHeight="1">
      <c r="A17" s="410">
        <v>100</v>
      </c>
      <c r="B17" s="263" t="s">
        <v>871</v>
      </c>
      <c r="C17" s="269">
        <v>5000</v>
      </c>
      <c r="D17" s="269">
        <v>5000</v>
      </c>
      <c r="E17" s="269">
        <v>5079.09</v>
      </c>
      <c r="F17" s="314">
        <f t="shared" si="0"/>
        <v>-79.090000000000146</v>
      </c>
      <c r="G17" s="269"/>
      <c r="H17" s="269"/>
      <c r="I17" s="269"/>
      <c r="J17" s="314">
        <f>+H17-I17</f>
        <v>0</v>
      </c>
      <c r="K17" s="269"/>
      <c r="L17" s="269"/>
      <c r="M17" s="269"/>
      <c r="N17" s="314">
        <f>+L17-M17</f>
        <v>0</v>
      </c>
      <c r="O17" s="269"/>
      <c r="P17" s="269"/>
      <c r="Q17" s="269"/>
      <c r="R17" s="314">
        <f>+P17-Q17</f>
        <v>0</v>
      </c>
      <c r="S17" s="269"/>
      <c r="T17" s="269"/>
      <c r="U17" s="269"/>
      <c r="V17" s="314">
        <f>+T17-U17</f>
        <v>0</v>
      </c>
      <c r="W17" s="269"/>
      <c r="X17" s="269"/>
      <c r="Y17" s="269"/>
      <c r="Z17" s="314">
        <f>+X17-Y17</f>
        <v>0</v>
      </c>
      <c r="AA17" s="269"/>
      <c r="AB17" s="269"/>
      <c r="AC17" s="269"/>
      <c r="AD17" s="314">
        <f>+AB17-AC17</f>
        <v>0</v>
      </c>
      <c r="AE17" s="269"/>
      <c r="AF17" s="269"/>
      <c r="AG17" s="269"/>
      <c r="AH17" s="314">
        <f>+AF17-AG17</f>
        <v>0</v>
      </c>
      <c r="AI17" s="269"/>
      <c r="AJ17" s="269"/>
      <c r="AK17" s="269"/>
      <c r="AL17" s="314">
        <f>+AJ17-AK17</f>
        <v>0</v>
      </c>
      <c r="AM17" s="269"/>
      <c r="AN17" s="269"/>
      <c r="AO17" s="269"/>
      <c r="AP17" s="314">
        <f>+AN17-AO17</f>
        <v>0</v>
      </c>
      <c r="AQ17" s="269"/>
      <c r="AR17" s="269"/>
      <c r="AS17" s="269"/>
      <c r="AT17" s="314">
        <f>+AR17-AS17</f>
        <v>0</v>
      </c>
      <c r="AU17" s="269"/>
      <c r="AV17" s="269"/>
      <c r="AW17" s="269"/>
      <c r="AX17" s="314">
        <f>+AV17-AW17</f>
        <v>0</v>
      </c>
      <c r="AY17" s="269"/>
      <c r="AZ17" s="269"/>
      <c r="BA17" s="269"/>
      <c r="BB17" s="314">
        <f>+AZ17-BA17</f>
        <v>0</v>
      </c>
      <c r="BC17" s="269"/>
      <c r="BD17" s="269"/>
      <c r="BE17" s="269"/>
      <c r="BF17" s="314">
        <f>+BD17-BE17</f>
        <v>0</v>
      </c>
      <c r="BG17" s="269"/>
      <c r="BH17" s="269"/>
      <c r="BI17" s="269"/>
      <c r="BJ17" s="314">
        <f>+BH17-BI17</f>
        <v>0</v>
      </c>
      <c r="BK17" s="269"/>
      <c r="BL17" s="269"/>
      <c r="BM17" s="269"/>
      <c r="BN17" s="314">
        <f>+BL17-BM17</f>
        <v>0</v>
      </c>
      <c r="BO17" s="269"/>
      <c r="BP17" s="269"/>
      <c r="BQ17" s="269"/>
      <c r="BR17" s="314">
        <f>+BP17-BQ17</f>
        <v>0</v>
      </c>
      <c r="BS17" s="269"/>
      <c r="BT17" s="269"/>
      <c r="BU17" s="269"/>
      <c r="BV17" s="314">
        <f>+BT17-BU17</f>
        <v>0</v>
      </c>
      <c r="BW17" s="269"/>
      <c r="BX17" s="269"/>
      <c r="BY17" s="269"/>
      <c r="BZ17" s="314">
        <f>+BX17-BY17</f>
        <v>0</v>
      </c>
      <c r="CA17" s="269"/>
      <c r="CB17" s="269"/>
      <c r="CC17" s="269"/>
      <c r="CD17" s="314">
        <f>+CB17-CC17</f>
        <v>0</v>
      </c>
      <c r="CE17" s="269"/>
      <c r="CF17" s="269"/>
      <c r="CG17" s="269"/>
      <c r="CH17" s="314">
        <f>+CF17-CG17</f>
        <v>0</v>
      </c>
      <c r="CI17" s="269"/>
      <c r="CJ17" s="269"/>
      <c r="CK17" s="269"/>
      <c r="CL17" s="314">
        <f>+CJ17-CK17</f>
        <v>0</v>
      </c>
      <c r="CM17" s="269"/>
      <c r="CN17" s="269"/>
      <c r="CO17" s="269"/>
      <c r="CP17" s="314">
        <f>+CN17-CO17</f>
        <v>0</v>
      </c>
      <c r="CQ17" s="269"/>
      <c r="CR17" s="269"/>
      <c r="CS17" s="269"/>
      <c r="CT17" s="314">
        <f>+CR17-CS17</f>
        <v>0</v>
      </c>
      <c r="CU17" s="269"/>
      <c r="CV17" s="269"/>
      <c r="CW17" s="269"/>
      <c r="CX17" s="314">
        <f>+CV17-CW17</f>
        <v>0</v>
      </c>
      <c r="CY17" s="269"/>
      <c r="CZ17" s="269"/>
      <c r="DA17" s="269"/>
      <c r="DB17" s="314">
        <f>+CZ17-DA17</f>
        <v>0</v>
      </c>
      <c r="DC17" s="269"/>
      <c r="DD17" s="269"/>
      <c r="DE17" s="269"/>
      <c r="DF17" s="314">
        <f>+DD17-DE17</f>
        <v>0</v>
      </c>
      <c r="DG17" s="269"/>
      <c r="DH17" s="269"/>
      <c r="DI17" s="269"/>
      <c r="DJ17" s="314">
        <f>+DH17-DI17</f>
        <v>0</v>
      </c>
      <c r="DK17" s="269"/>
      <c r="DL17" s="269"/>
      <c r="DM17" s="269"/>
      <c r="DN17" s="314">
        <f>+DL17-DM17</f>
        <v>0</v>
      </c>
      <c r="DO17" s="269"/>
      <c r="DP17" s="269"/>
      <c r="DQ17" s="269"/>
      <c r="DR17" s="314">
        <f>+DP17-DQ17</f>
        <v>0</v>
      </c>
      <c r="DS17" s="269"/>
      <c r="DT17" s="269"/>
      <c r="DU17" s="269"/>
      <c r="DV17" s="314">
        <f>+DT17-DU17</f>
        <v>0</v>
      </c>
      <c r="DW17" s="269"/>
      <c r="DX17" s="269"/>
      <c r="DY17" s="269"/>
      <c r="DZ17" s="314">
        <f>+DX17-DY17</f>
        <v>0</v>
      </c>
      <c r="EA17" s="269"/>
      <c r="EB17" s="269"/>
      <c r="EC17" s="269"/>
      <c r="ED17" s="314">
        <f>+EB17-EC17</f>
        <v>0</v>
      </c>
      <c r="EE17" s="269"/>
      <c r="EF17" s="269"/>
      <c r="EG17" s="269"/>
      <c r="EH17" s="314">
        <f>+EF17-EG17</f>
        <v>0</v>
      </c>
      <c r="EI17" s="269"/>
      <c r="EJ17" s="269"/>
      <c r="EK17" s="269"/>
      <c r="EL17" s="314">
        <f>+EJ17-EK17</f>
        <v>0</v>
      </c>
      <c r="EM17" s="269"/>
      <c r="EN17" s="269"/>
      <c r="EO17" s="269"/>
      <c r="EP17" s="314">
        <f>+EN17-EO17</f>
        <v>0</v>
      </c>
      <c r="EQ17" s="269"/>
      <c r="ER17" s="269"/>
      <c r="ES17" s="269"/>
      <c r="ET17" s="314">
        <f>+ER17-ES17</f>
        <v>0</v>
      </c>
      <c r="EU17" s="269"/>
      <c r="EV17" s="269"/>
      <c r="EW17" s="269"/>
      <c r="EX17" s="314">
        <f>+EV17-EW17</f>
        <v>0</v>
      </c>
      <c r="EY17" s="269"/>
      <c r="EZ17" s="269"/>
      <c r="FA17" s="269"/>
      <c r="FB17" s="314">
        <f>+EZ17-FA17</f>
        <v>0</v>
      </c>
      <c r="FC17" s="269"/>
      <c r="FD17" s="269"/>
      <c r="FE17" s="269"/>
      <c r="FF17" s="314">
        <f>+FD17-FE17</f>
        <v>0</v>
      </c>
      <c r="FG17" s="269"/>
      <c r="FH17" s="269"/>
      <c r="FI17" s="269"/>
      <c r="FJ17" s="314">
        <f>+FH17-FI17</f>
        <v>0</v>
      </c>
      <c r="FK17" s="269"/>
      <c r="FL17" s="269"/>
      <c r="FM17" s="269"/>
      <c r="FN17" s="314">
        <f>+FL17-FM17</f>
        <v>0</v>
      </c>
      <c r="FO17" s="269"/>
      <c r="FP17" s="269"/>
      <c r="FQ17" s="269"/>
      <c r="FR17" s="314">
        <f>+FP17-FQ17</f>
        <v>0</v>
      </c>
      <c r="FS17" s="269"/>
      <c r="FT17" s="269"/>
      <c r="FU17" s="269"/>
      <c r="FV17" s="314">
        <f>+FT17-FU17</f>
        <v>0</v>
      </c>
      <c r="FW17" s="269"/>
      <c r="FX17" s="269"/>
      <c r="FY17" s="269"/>
      <c r="FZ17" s="314">
        <f>+FX17-FY17</f>
        <v>0</v>
      </c>
      <c r="GA17" s="269"/>
      <c r="GB17" s="269"/>
      <c r="GC17" s="269"/>
      <c r="GD17" s="314">
        <f>+GB17-GC17</f>
        <v>0</v>
      </c>
      <c r="GE17" s="269"/>
      <c r="GF17" s="269"/>
      <c r="GG17" s="269"/>
      <c r="GH17" s="314">
        <f>+GF17-GG17</f>
        <v>0</v>
      </c>
      <c r="GI17" s="269"/>
      <c r="GJ17" s="269"/>
      <c r="GK17" s="269"/>
      <c r="GL17" s="314">
        <f>+GJ17-GK17</f>
        <v>0</v>
      </c>
      <c r="GM17" s="269"/>
      <c r="GN17" s="269"/>
      <c r="GO17" s="269"/>
      <c r="GP17" s="314">
        <f>+GN17-GO17</f>
        <v>0</v>
      </c>
      <c r="GQ17" s="269"/>
      <c r="GR17" s="269"/>
      <c r="GS17" s="269"/>
      <c r="GT17" s="314">
        <f>+GR17-GS17</f>
        <v>0</v>
      </c>
      <c r="GU17" s="269"/>
      <c r="GV17" s="269"/>
      <c r="GW17" s="269"/>
      <c r="GX17" s="314">
        <f>+GV17-GW17</f>
        <v>0</v>
      </c>
      <c r="GY17" s="269"/>
      <c r="GZ17" s="269"/>
      <c r="HA17" s="269"/>
      <c r="HB17" s="314">
        <f>+GZ17-HA17</f>
        <v>0</v>
      </c>
      <c r="HC17" s="269"/>
      <c r="HD17" s="269"/>
      <c r="HE17" s="269"/>
      <c r="HF17" s="314">
        <f>+HD17-HE17</f>
        <v>0</v>
      </c>
      <c r="HG17" s="269"/>
      <c r="HH17" s="269"/>
      <c r="HI17" s="269"/>
      <c r="HJ17" s="314">
        <f>+HH17-HI17</f>
        <v>0</v>
      </c>
      <c r="HK17" s="269"/>
      <c r="HL17" s="269"/>
      <c r="HM17" s="269"/>
      <c r="HN17" s="314">
        <f>+HL17-HM17</f>
        <v>0</v>
      </c>
      <c r="HO17" s="269"/>
      <c r="HP17" s="269"/>
      <c r="HQ17" s="269"/>
      <c r="HR17" s="314">
        <f>+HP17-HQ17</f>
        <v>0</v>
      </c>
      <c r="HS17" s="269"/>
      <c r="HT17" s="269"/>
      <c r="HU17" s="269"/>
      <c r="HV17" s="314">
        <f>+HT17-HU17</f>
        <v>0</v>
      </c>
      <c r="HW17" s="269"/>
      <c r="HX17" s="269"/>
      <c r="HY17" s="269"/>
      <c r="HZ17" s="314">
        <f>+HX17-HY17</f>
        <v>0</v>
      </c>
      <c r="IA17" s="269"/>
      <c r="IB17" s="269"/>
      <c r="IC17" s="269"/>
      <c r="ID17" s="314">
        <f>+IB17-IC17</f>
        <v>0</v>
      </c>
      <c r="IE17" s="269"/>
      <c r="IF17" s="269"/>
      <c r="IG17" s="269"/>
      <c r="IH17" s="314">
        <f>+IF17-IG17</f>
        <v>0</v>
      </c>
      <c r="II17" s="269"/>
      <c r="IJ17" s="269"/>
      <c r="IK17" s="269"/>
      <c r="IL17" s="314">
        <f>+IJ17-IK17</f>
        <v>0</v>
      </c>
      <c r="IM17" s="269"/>
      <c r="IN17" s="269"/>
      <c r="IO17" s="269"/>
      <c r="IP17" s="314">
        <f>+IN17-IO17</f>
        <v>0</v>
      </c>
      <c r="IQ17" s="277">
        <f t="shared" ref="IQ17:IT18" si="3">+C17+G17+K17+O17+S17+W17+AA17+AE17+AI17+AM17+AQ17+AU17+AY17+BC17+BG17+BK17+BO17+BS17+BW17+CA17+CE17+CI17+CM17+CQ17+CU17+CY17+DC17+DG17+DK17+DO17+DS17+DW17+EA17+EE17+EI17+EM17+EQ17+EU17+EY17+FC17+FG17+FK17+FO17+FS17+FW17+GA17+GE17+GI17+GM17+GQ17+GU17+GY17+HC17+HG17+HK17+HO17+HS17+HW17+IA17+IE17+II17+IM17</f>
        <v>5000</v>
      </c>
      <c r="IR17" s="277">
        <f t="shared" si="3"/>
        <v>5000</v>
      </c>
      <c r="IS17" s="277">
        <f t="shared" si="3"/>
        <v>5079.09</v>
      </c>
      <c r="IT17" s="277">
        <f t="shared" si="3"/>
        <v>-79.090000000000146</v>
      </c>
    </row>
    <row r="18" spans="1:254" ht="15" customHeight="1">
      <c r="A18" s="410" t="s">
        <v>191</v>
      </c>
      <c r="B18" s="263" t="s">
        <v>872</v>
      </c>
      <c r="C18" s="269"/>
      <c r="D18" s="269"/>
      <c r="E18" s="269"/>
      <c r="F18" s="314">
        <f t="shared" si="0"/>
        <v>0</v>
      </c>
      <c r="G18" s="269">
        <v>22000</v>
      </c>
      <c r="H18" s="269">
        <v>22000</v>
      </c>
      <c r="I18" s="269">
        <v>13658.52</v>
      </c>
      <c r="J18" s="314">
        <f>+H18-I18</f>
        <v>8341.48</v>
      </c>
      <c r="K18" s="269"/>
      <c r="L18" s="269"/>
      <c r="M18" s="269"/>
      <c r="N18" s="314">
        <f>+L18-M18</f>
        <v>0</v>
      </c>
      <c r="O18" s="269"/>
      <c r="P18" s="269"/>
      <c r="Q18" s="269"/>
      <c r="R18" s="314">
        <f>+P18-Q18</f>
        <v>0</v>
      </c>
      <c r="S18" s="269"/>
      <c r="T18" s="269"/>
      <c r="U18" s="269"/>
      <c r="V18" s="314">
        <f>+T18-U18</f>
        <v>0</v>
      </c>
      <c r="W18" s="269"/>
      <c r="X18" s="269"/>
      <c r="Y18" s="269"/>
      <c r="Z18" s="314">
        <f>+X18-Y18</f>
        <v>0</v>
      </c>
      <c r="AA18" s="269"/>
      <c r="AB18" s="269"/>
      <c r="AC18" s="269"/>
      <c r="AD18" s="314">
        <f>+AB18-AC18</f>
        <v>0</v>
      </c>
      <c r="AE18" s="269"/>
      <c r="AF18" s="269"/>
      <c r="AG18" s="269"/>
      <c r="AH18" s="314">
        <f>+AF18-AG18</f>
        <v>0</v>
      </c>
      <c r="AI18" s="269"/>
      <c r="AJ18" s="269"/>
      <c r="AK18" s="269"/>
      <c r="AL18" s="314">
        <f>+AJ18-AK18</f>
        <v>0</v>
      </c>
      <c r="AM18" s="269"/>
      <c r="AN18" s="269"/>
      <c r="AO18" s="269"/>
      <c r="AP18" s="314">
        <f>+AN18-AO18</f>
        <v>0</v>
      </c>
      <c r="AQ18" s="269"/>
      <c r="AR18" s="269"/>
      <c r="AS18" s="269"/>
      <c r="AT18" s="314">
        <f>+AR18-AS18</f>
        <v>0</v>
      </c>
      <c r="AU18" s="269"/>
      <c r="AV18" s="269"/>
      <c r="AW18" s="269"/>
      <c r="AX18" s="314">
        <f>+AV18-AW18</f>
        <v>0</v>
      </c>
      <c r="AY18" s="269"/>
      <c r="AZ18" s="269"/>
      <c r="BA18" s="269"/>
      <c r="BB18" s="314">
        <f>+AZ18-BA18</f>
        <v>0</v>
      </c>
      <c r="BC18" s="269"/>
      <c r="BD18" s="269"/>
      <c r="BE18" s="269"/>
      <c r="BF18" s="314">
        <f>+BD18-BE18</f>
        <v>0</v>
      </c>
      <c r="BG18" s="269"/>
      <c r="BH18" s="269"/>
      <c r="BI18" s="269"/>
      <c r="BJ18" s="314">
        <f>+BH18-BI18</f>
        <v>0</v>
      </c>
      <c r="BK18" s="269"/>
      <c r="BL18" s="269"/>
      <c r="BM18" s="269"/>
      <c r="BN18" s="314">
        <f>+BL18-BM18</f>
        <v>0</v>
      </c>
      <c r="BO18" s="269"/>
      <c r="BP18" s="269"/>
      <c r="BQ18" s="269"/>
      <c r="BR18" s="314">
        <f>+BP18-BQ18</f>
        <v>0</v>
      </c>
      <c r="BS18" s="269"/>
      <c r="BT18" s="269"/>
      <c r="BU18" s="269"/>
      <c r="BV18" s="314">
        <f>+BT18-BU18</f>
        <v>0</v>
      </c>
      <c r="BW18" s="269"/>
      <c r="BX18" s="269"/>
      <c r="BY18" s="269"/>
      <c r="BZ18" s="314">
        <f>+BX18-BY18</f>
        <v>0</v>
      </c>
      <c r="CA18" s="269"/>
      <c r="CB18" s="269"/>
      <c r="CC18" s="269"/>
      <c r="CD18" s="314">
        <f>+CB18-CC18</f>
        <v>0</v>
      </c>
      <c r="CE18" s="269"/>
      <c r="CF18" s="269"/>
      <c r="CG18" s="269"/>
      <c r="CH18" s="314">
        <f>+CF18-CG18</f>
        <v>0</v>
      </c>
      <c r="CI18" s="269"/>
      <c r="CJ18" s="269"/>
      <c r="CK18" s="269"/>
      <c r="CL18" s="314">
        <f>+CJ18-CK18</f>
        <v>0</v>
      </c>
      <c r="CM18" s="269"/>
      <c r="CN18" s="269"/>
      <c r="CO18" s="269"/>
      <c r="CP18" s="314">
        <f>+CN18-CO18</f>
        <v>0</v>
      </c>
      <c r="CQ18" s="269"/>
      <c r="CR18" s="269"/>
      <c r="CS18" s="269"/>
      <c r="CT18" s="314">
        <f>+CR18-CS18</f>
        <v>0</v>
      </c>
      <c r="CU18" s="269"/>
      <c r="CV18" s="269"/>
      <c r="CW18" s="269"/>
      <c r="CX18" s="314">
        <f>+CV18-CW18</f>
        <v>0</v>
      </c>
      <c r="CY18" s="269"/>
      <c r="CZ18" s="269"/>
      <c r="DA18" s="269"/>
      <c r="DB18" s="314">
        <f>+CZ18-DA18</f>
        <v>0</v>
      </c>
      <c r="DC18" s="269"/>
      <c r="DD18" s="269"/>
      <c r="DE18" s="269"/>
      <c r="DF18" s="314">
        <f>+DD18-DE18</f>
        <v>0</v>
      </c>
      <c r="DG18" s="269"/>
      <c r="DH18" s="269"/>
      <c r="DI18" s="269"/>
      <c r="DJ18" s="314">
        <f>+DH18-DI18</f>
        <v>0</v>
      </c>
      <c r="DK18" s="269"/>
      <c r="DL18" s="269"/>
      <c r="DM18" s="269"/>
      <c r="DN18" s="314">
        <f>+DL18-DM18</f>
        <v>0</v>
      </c>
      <c r="DO18" s="269"/>
      <c r="DP18" s="269"/>
      <c r="DQ18" s="269"/>
      <c r="DR18" s="314">
        <f>+DP18-DQ18</f>
        <v>0</v>
      </c>
      <c r="DS18" s="269"/>
      <c r="DT18" s="269"/>
      <c r="DU18" s="269"/>
      <c r="DV18" s="314">
        <f>+DT18-DU18</f>
        <v>0</v>
      </c>
      <c r="DW18" s="269"/>
      <c r="DX18" s="269"/>
      <c r="DY18" s="269"/>
      <c r="DZ18" s="314">
        <f>+DX18-DY18</f>
        <v>0</v>
      </c>
      <c r="EA18" s="269"/>
      <c r="EB18" s="269"/>
      <c r="EC18" s="269"/>
      <c r="ED18" s="314">
        <f>+EB18-EC18</f>
        <v>0</v>
      </c>
      <c r="EE18" s="269"/>
      <c r="EF18" s="269"/>
      <c r="EG18" s="269"/>
      <c r="EH18" s="314">
        <f>+EF18-EG18</f>
        <v>0</v>
      </c>
      <c r="EI18" s="269"/>
      <c r="EJ18" s="269"/>
      <c r="EK18" s="269"/>
      <c r="EL18" s="314">
        <f>+EJ18-EK18</f>
        <v>0</v>
      </c>
      <c r="EM18" s="269"/>
      <c r="EN18" s="269"/>
      <c r="EO18" s="269"/>
      <c r="EP18" s="314">
        <f>+EN18-EO18</f>
        <v>0</v>
      </c>
      <c r="EQ18" s="269"/>
      <c r="ER18" s="269"/>
      <c r="ES18" s="269"/>
      <c r="ET18" s="314">
        <f>+ER18-ES18</f>
        <v>0</v>
      </c>
      <c r="EU18" s="269"/>
      <c r="EV18" s="269"/>
      <c r="EW18" s="269"/>
      <c r="EX18" s="314">
        <f>+EV18-EW18</f>
        <v>0</v>
      </c>
      <c r="EY18" s="269"/>
      <c r="EZ18" s="269"/>
      <c r="FA18" s="269"/>
      <c r="FB18" s="314">
        <f>+EZ18-FA18</f>
        <v>0</v>
      </c>
      <c r="FC18" s="269"/>
      <c r="FD18" s="269"/>
      <c r="FE18" s="269"/>
      <c r="FF18" s="314">
        <f>+FD18-FE18</f>
        <v>0</v>
      </c>
      <c r="FG18" s="269"/>
      <c r="FH18" s="269"/>
      <c r="FI18" s="269"/>
      <c r="FJ18" s="314">
        <f>+FH18-FI18</f>
        <v>0</v>
      </c>
      <c r="FK18" s="269"/>
      <c r="FL18" s="269"/>
      <c r="FM18" s="269"/>
      <c r="FN18" s="314">
        <f>+FL18-FM18</f>
        <v>0</v>
      </c>
      <c r="FO18" s="269"/>
      <c r="FP18" s="269"/>
      <c r="FQ18" s="269"/>
      <c r="FR18" s="314">
        <f>+FP18-FQ18</f>
        <v>0</v>
      </c>
      <c r="FS18" s="269"/>
      <c r="FT18" s="269"/>
      <c r="FU18" s="269"/>
      <c r="FV18" s="314">
        <f>+FT18-FU18</f>
        <v>0</v>
      </c>
      <c r="FW18" s="269"/>
      <c r="FX18" s="269"/>
      <c r="FY18" s="269"/>
      <c r="FZ18" s="314">
        <f>+FX18-FY18</f>
        <v>0</v>
      </c>
      <c r="GA18" s="269"/>
      <c r="GB18" s="269"/>
      <c r="GC18" s="269"/>
      <c r="GD18" s="314">
        <f>+GB18-GC18</f>
        <v>0</v>
      </c>
      <c r="GE18" s="269"/>
      <c r="GF18" s="269"/>
      <c r="GG18" s="269"/>
      <c r="GH18" s="314">
        <f>+GF18-GG18</f>
        <v>0</v>
      </c>
      <c r="GI18" s="269"/>
      <c r="GJ18" s="269"/>
      <c r="GK18" s="269"/>
      <c r="GL18" s="314">
        <f>+GJ18-GK18</f>
        <v>0</v>
      </c>
      <c r="GM18" s="269"/>
      <c r="GN18" s="269"/>
      <c r="GO18" s="269"/>
      <c r="GP18" s="314">
        <f>+GN18-GO18</f>
        <v>0</v>
      </c>
      <c r="GQ18" s="269"/>
      <c r="GR18" s="269"/>
      <c r="GS18" s="269"/>
      <c r="GT18" s="314">
        <f>+GR18-GS18</f>
        <v>0</v>
      </c>
      <c r="GU18" s="269"/>
      <c r="GV18" s="269"/>
      <c r="GW18" s="269"/>
      <c r="GX18" s="314">
        <f>+GV18-GW18</f>
        <v>0</v>
      </c>
      <c r="GY18" s="269"/>
      <c r="GZ18" s="269"/>
      <c r="HA18" s="269"/>
      <c r="HB18" s="314">
        <f>+GZ18-HA18</f>
        <v>0</v>
      </c>
      <c r="HC18" s="269"/>
      <c r="HD18" s="269"/>
      <c r="HE18" s="269"/>
      <c r="HF18" s="314">
        <f>+HD18-HE18</f>
        <v>0</v>
      </c>
      <c r="HG18" s="269"/>
      <c r="HH18" s="269"/>
      <c r="HI18" s="269"/>
      <c r="HJ18" s="314">
        <f>+HH18-HI18</f>
        <v>0</v>
      </c>
      <c r="HK18" s="269"/>
      <c r="HL18" s="269"/>
      <c r="HM18" s="269"/>
      <c r="HN18" s="314">
        <f>+HL18-HM18</f>
        <v>0</v>
      </c>
      <c r="HO18" s="269"/>
      <c r="HP18" s="269"/>
      <c r="HQ18" s="269"/>
      <c r="HR18" s="314">
        <f>+HP18-HQ18</f>
        <v>0</v>
      </c>
      <c r="HS18" s="269"/>
      <c r="HT18" s="269"/>
      <c r="HU18" s="269"/>
      <c r="HV18" s="314">
        <f>+HT18-HU18</f>
        <v>0</v>
      </c>
      <c r="HW18" s="269"/>
      <c r="HX18" s="269"/>
      <c r="HY18" s="269"/>
      <c r="HZ18" s="314">
        <f>+HX18-HY18</f>
        <v>0</v>
      </c>
      <c r="IA18" s="269"/>
      <c r="IB18" s="269"/>
      <c r="IC18" s="269"/>
      <c r="ID18" s="314">
        <f>+IB18-IC18</f>
        <v>0</v>
      </c>
      <c r="IE18" s="269"/>
      <c r="IF18" s="269"/>
      <c r="IG18" s="269"/>
      <c r="IH18" s="314">
        <f>+IF18-IG18</f>
        <v>0</v>
      </c>
      <c r="II18" s="269"/>
      <c r="IJ18" s="269"/>
      <c r="IK18" s="269"/>
      <c r="IL18" s="314">
        <f>+IJ18-IK18</f>
        <v>0</v>
      </c>
      <c r="IM18" s="269"/>
      <c r="IN18" s="269"/>
      <c r="IO18" s="269"/>
      <c r="IP18" s="314">
        <f>+IN18-IO18</f>
        <v>0</v>
      </c>
      <c r="IQ18" s="277">
        <f t="shared" si="3"/>
        <v>22000</v>
      </c>
      <c r="IR18" s="277">
        <f t="shared" si="3"/>
        <v>22000</v>
      </c>
      <c r="IS18" s="277">
        <f t="shared" si="3"/>
        <v>13658.52</v>
      </c>
      <c r="IT18" s="277">
        <f t="shared" si="3"/>
        <v>8341.48</v>
      </c>
    </row>
    <row r="19" spans="1:254" s="308" customFormat="1" ht="15" customHeight="1">
      <c r="A19" s="429">
        <v>440000</v>
      </c>
      <c r="B19" s="431" t="s">
        <v>1041</v>
      </c>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7"/>
      <c r="CO19" s="277"/>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c r="DS19" s="277"/>
      <c r="DT19" s="277"/>
      <c r="DU19" s="277"/>
      <c r="DV19" s="277"/>
      <c r="DW19" s="277"/>
      <c r="DX19" s="277"/>
      <c r="DY19" s="277"/>
      <c r="DZ19" s="277"/>
      <c r="EA19" s="277"/>
      <c r="EB19" s="277"/>
      <c r="EC19" s="277"/>
      <c r="ED19" s="277"/>
      <c r="EE19" s="277"/>
      <c r="EF19" s="277"/>
      <c r="EG19" s="277"/>
      <c r="EH19" s="277"/>
      <c r="EI19" s="277"/>
      <c r="EJ19" s="277"/>
      <c r="EK19" s="277"/>
      <c r="EL19" s="277"/>
      <c r="EM19" s="277"/>
      <c r="EN19" s="277"/>
      <c r="EO19" s="277"/>
      <c r="EP19" s="277"/>
      <c r="EQ19" s="277"/>
      <c r="ER19" s="277"/>
      <c r="ES19" s="277"/>
      <c r="ET19" s="277"/>
      <c r="EU19" s="277"/>
      <c r="EV19" s="277"/>
      <c r="EW19" s="277"/>
      <c r="EX19" s="277"/>
      <c r="EY19" s="277"/>
      <c r="EZ19" s="277"/>
      <c r="FA19" s="277"/>
      <c r="FB19" s="277"/>
      <c r="FC19" s="277"/>
      <c r="FD19" s="277"/>
      <c r="FE19" s="277"/>
      <c r="FF19" s="277"/>
      <c r="FG19" s="277"/>
      <c r="FH19" s="277"/>
      <c r="FI19" s="277"/>
      <c r="FJ19" s="277"/>
      <c r="FK19" s="277"/>
      <c r="FL19" s="277"/>
      <c r="FM19" s="277"/>
      <c r="FN19" s="277"/>
      <c r="FO19" s="277"/>
      <c r="FP19" s="277"/>
      <c r="FQ19" s="277"/>
      <c r="FR19" s="277"/>
      <c r="FS19" s="277"/>
      <c r="FT19" s="277"/>
      <c r="FU19" s="277"/>
      <c r="FV19" s="277"/>
      <c r="FW19" s="277"/>
      <c r="FX19" s="277"/>
      <c r="FY19" s="277"/>
      <c r="FZ19" s="277"/>
      <c r="GA19" s="277"/>
      <c r="GB19" s="277"/>
      <c r="GC19" s="277"/>
      <c r="GD19" s="277"/>
      <c r="GE19" s="277"/>
      <c r="GF19" s="277"/>
      <c r="GG19" s="277"/>
      <c r="GH19" s="277"/>
      <c r="GI19" s="277"/>
      <c r="GJ19" s="277"/>
      <c r="GK19" s="277"/>
      <c r="GL19" s="277"/>
      <c r="GM19" s="277"/>
      <c r="GN19" s="277"/>
      <c r="GO19" s="277"/>
      <c r="GP19" s="277"/>
      <c r="GQ19" s="277"/>
      <c r="GR19" s="277"/>
      <c r="GS19" s="277"/>
      <c r="GT19" s="277"/>
      <c r="GU19" s="277"/>
      <c r="GV19" s="277"/>
      <c r="GW19" s="277"/>
      <c r="GX19" s="277"/>
      <c r="GY19" s="277"/>
      <c r="GZ19" s="277"/>
      <c r="HA19" s="277"/>
      <c r="HB19" s="277"/>
      <c r="HC19" s="277"/>
      <c r="HD19" s="277"/>
      <c r="HE19" s="277"/>
      <c r="HF19" s="277"/>
      <c r="HG19" s="277"/>
      <c r="HH19" s="277"/>
      <c r="HI19" s="277"/>
      <c r="HJ19" s="277"/>
      <c r="HK19" s="277"/>
      <c r="HL19" s="277"/>
      <c r="HM19" s="277"/>
      <c r="HN19" s="277"/>
      <c r="HO19" s="277"/>
      <c r="HP19" s="277"/>
      <c r="HQ19" s="277"/>
      <c r="HR19" s="277"/>
      <c r="HS19" s="277"/>
      <c r="HT19" s="277"/>
      <c r="HU19" s="277"/>
      <c r="HV19" s="277"/>
      <c r="HW19" s="277"/>
      <c r="HX19" s="277"/>
      <c r="HY19" s="277"/>
      <c r="HZ19" s="277"/>
      <c r="IA19" s="277"/>
      <c r="IB19" s="277"/>
      <c r="IC19" s="277"/>
      <c r="ID19" s="277"/>
      <c r="IE19" s="277"/>
      <c r="IF19" s="277"/>
      <c r="IG19" s="277"/>
      <c r="IH19" s="277"/>
      <c r="II19" s="277"/>
      <c r="IJ19" s="277"/>
      <c r="IK19" s="277"/>
      <c r="IL19" s="277"/>
      <c r="IM19" s="277"/>
      <c r="IN19" s="277"/>
      <c r="IO19" s="277"/>
      <c r="IP19" s="277"/>
      <c r="IQ19" s="277"/>
      <c r="IR19" s="277"/>
      <c r="IS19" s="277"/>
      <c r="IT19" s="277"/>
    </row>
    <row r="20" spans="1:254" ht="15" customHeight="1">
      <c r="A20" s="410">
        <v>100</v>
      </c>
      <c r="B20" s="263" t="s">
        <v>871</v>
      </c>
      <c r="C20" s="269"/>
      <c r="D20" s="269"/>
      <c r="E20" s="269"/>
      <c r="F20" s="314">
        <f t="shared" si="0"/>
        <v>0</v>
      </c>
      <c r="G20" s="269"/>
      <c r="H20" s="269"/>
      <c r="I20" s="269"/>
      <c r="J20" s="314">
        <f>+H20-I20</f>
        <v>0</v>
      </c>
      <c r="K20" s="269"/>
      <c r="L20" s="269"/>
      <c r="M20" s="269"/>
      <c r="N20" s="314">
        <f>+L20-M20</f>
        <v>0</v>
      </c>
      <c r="O20" s="269"/>
      <c r="P20" s="269"/>
      <c r="Q20" s="269"/>
      <c r="R20" s="314">
        <f>+P20-Q20</f>
        <v>0</v>
      </c>
      <c r="S20" s="269"/>
      <c r="T20" s="269"/>
      <c r="U20" s="269"/>
      <c r="V20" s="314">
        <f>+T20-U20</f>
        <v>0</v>
      </c>
      <c r="W20" s="269"/>
      <c r="X20" s="269"/>
      <c r="Y20" s="269"/>
      <c r="Z20" s="314">
        <f>+X20-Y20</f>
        <v>0</v>
      </c>
      <c r="AA20" s="269"/>
      <c r="AB20" s="269"/>
      <c r="AC20" s="269"/>
      <c r="AD20" s="314">
        <f>+AB20-AC20</f>
        <v>0</v>
      </c>
      <c r="AE20" s="269"/>
      <c r="AF20" s="269"/>
      <c r="AG20" s="269"/>
      <c r="AH20" s="314">
        <f>+AF20-AG20</f>
        <v>0</v>
      </c>
      <c r="AI20" s="269"/>
      <c r="AJ20" s="269"/>
      <c r="AK20" s="269"/>
      <c r="AL20" s="314">
        <f>+AJ20-AK20</f>
        <v>0</v>
      </c>
      <c r="AM20" s="269"/>
      <c r="AN20" s="269"/>
      <c r="AO20" s="269"/>
      <c r="AP20" s="314">
        <f>+AN20-AO20</f>
        <v>0</v>
      </c>
      <c r="AQ20" s="269"/>
      <c r="AR20" s="269"/>
      <c r="AS20" s="269"/>
      <c r="AT20" s="314">
        <f>+AR20-AS20</f>
        <v>0</v>
      </c>
      <c r="AU20" s="269"/>
      <c r="AV20" s="269"/>
      <c r="AW20" s="269"/>
      <c r="AX20" s="314">
        <f>+AV20-AW20</f>
        <v>0</v>
      </c>
      <c r="AY20" s="269"/>
      <c r="AZ20" s="269"/>
      <c r="BA20" s="269"/>
      <c r="BB20" s="314">
        <f>+AZ20-BA20</f>
        <v>0</v>
      </c>
      <c r="BC20" s="269"/>
      <c r="BD20" s="269"/>
      <c r="BE20" s="269"/>
      <c r="BF20" s="314">
        <f>+BD20-BE20</f>
        <v>0</v>
      </c>
      <c r="BG20" s="269"/>
      <c r="BH20" s="269"/>
      <c r="BI20" s="269"/>
      <c r="BJ20" s="314">
        <f>+BH20-BI20</f>
        <v>0</v>
      </c>
      <c r="BK20" s="269"/>
      <c r="BL20" s="269"/>
      <c r="BM20" s="269"/>
      <c r="BN20" s="314">
        <f>+BL20-BM20</f>
        <v>0</v>
      </c>
      <c r="BO20" s="269"/>
      <c r="BP20" s="269"/>
      <c r="BQ20" s="269"/>
      <c r="BR20" s="314">
        <f>+BP20-BQ20</f>
        <v>0</v>
      </c>
      <c r="BS20" s="269"/>
      <c r="BT20" s="269"/>
      <c r="BU20" s="269"/>
      <c r="BV20" s="314">
        <f>+BT20-BU20</f>
        <v>0</v>
      </c>
      <c r="BW20" s="269"/>
      <c r="BX20" s="269"/>
      <c r="BY20" s="269"/>
      <c r="BZ20" s="314">
        <f>+BX20-BY20</f>
        <v>0</v>
      </c>
      <c r="CA20" s="269"/>
      <c r="CB20" s="269"/>
      <c r="CC20" s="269"/>
      <c r="CD20" s="314">
        <f>+CB20-CC20</f>
        <v>0</v>
      </c>
      <c r="CE20" s="269"/>
      <c r="CF20" s="269"/>
      <c r="CG20" s="269"/>
      <c r="CH20" s="314">
        <f>+CF20-CG20</f>
        <v>0</v>
      </c>
      <c r="CI20" s="269"/>
      <c r="CJ20" s="269"/>
      <c r="CK20" s="269"/>
      <c r="CL20" s="314">
        <f>+CJ20-CK20</f>
        <v>0</v>
      </c>
      <c r="CM20" s="269"/>
      <c r="CN20" s="269"/>
      <c r="CO20" s="269"/>
      <c r="CP20" s="314">
        <f>+CN20-CO20</f>
        <v>0</v>
      </c>
      <c r="CQ20" s="269"/>
      <c r="CR20" s="269"/>
      <c r="CS20" s="269"/>
      <c r="CT20" s="314">
        <f>+CR20-CS20</f>
        <v>0</v>
      </c>
      <c r="CU20" s="269"/>
      <c r="CV20" s="269"/>
      <c r="CW20" s="269"/>
      <c r="CX20" s="314">
        <f>+CV20-CW20</f>
        <v>0</v>
      </c>
      <c r="CY20" s="269"/>
      <c r="CZ20" s="269"/>
      <c r="DA20" s="269"/>
      <c r="DB20" s="314">
        <f>+CZ20-DA20</f>
        <v>0</v>
      </c>
      <c r="DC20" s="269"/>
      <c r="DD20" s="269"/>
      <c r="DE20" s="269"/>
      <c r="DF20" s="314">
        <f>+DD20-DE20</f>
        <v>0</v>
      </c>
      <c r="DG20" s="269"/>
      <c r="DH20" s="269"/>
      <c r="DI20" s="269"/>
      <c r="DJ20" s="314">
        <f>+DH20-DI20</f>
        <v>0</v>
      </c>
      <c r="DK20" s="269"/>
      <c r="DL20" s="269"/>
      <c r="DM20" s="269"/>
      <c r="DN20" s="314">
        <f>+DL20-DM20</f>
        <v>0</v>
      </c>
      <c r="DO20" s="269"/>
      <c r="DP20" s="269"/>
      <c r="DQ20" s="269"/>
      <c r="DR20" s="314">
        <f>+DP20-DQ20</f>
        <v>0</v>
      </c>
      <c r="DS20" s="269"/>
      <c r="DT20" s="269"/>
      <c r="DU20" s="269"/>
      <c r="DV20" s="314">
        <f>+DT20-DU20</f>
        <v>0</v>
      </c>
      <c r="DW20" s="269"/>
      <c r="DX20" s="269"/>
      <c r="DY20" s="269"/>
      <c r="DZ20" s="314">
        <f>+DX20-DY20</f>
        <v>0</v>
      </c>
      <c r="EA20" s="269"/>
      <c r="EB20" s="269"/>
      <c r="EC20" s="269"/>
      <c r="ED20" s="314">
        <f>+EB20-EC20</f>
        <v>0</v>
      </c>
      <c r="EE20" s="269"/>
      <c r="EF20" s="269"/>
      <c r="EG20" s="269"/>
      <c r="EH20" s="314">
        <f>+EF20-EG20</f>
        <v>0</v>
      </c>
      <c r="EI20" s="269"/>
      <c r="EJ20" s="269"/>
      <c r="EK20" s="269"/>
      <c r="EL20" s="314">
        <f>+EJ20-EK20</f>
        <v>0</v>
      </c>
      <c r="EM20" s="269"/>
      <c r="EN20" s="269"/>
      <c r="EO20" s="269"/>
      <c r="EP20" s="314">
        <f>+EN20-EO20</f>
        <v>0</v>
      </c>
      <c r="EQ20" s="269"/>
      <c r="ER20" s="269"/>
      <c r="ES20" s="269"/>
      <c r="ET20" s="314">
        <f>+ER20-ES20</f>
        <v>0</v>
      </c>
      <c r="EU20" s="269"/>
      <c r="EV20" s="269"/>
      <c r="EW20" s="269"/>
      <c r="EX20" s="314">
        <f>+EV20-EW20</f>
        <v>0</v>
      </c>
      <c r="EY20" s="269"/>
      <c r="EZ20" s="269"/>
      <c r="FA20" s="269"/>
      <c r="FB20" s="314">
        <f>+EZ20-FA20</f>
        <v>0</v>
      </c>
      <c r="FC20" s="269"/>
      <c r="FD20" s="269"/>
      <c r="FE20" s="269"/>
      <c r="FF20" s="314">
        <f>+FD20-FE20</f>
        <v>0</v>
      </c>
      <c r="FG20" s="269"/>
      <c r="FH20" s="269"/>
      <c r="FI20" s="269"/>
      <c r="FJ20" s="314">
        <f>+FH20-FI20</f>
        <v>0</v>
      </c>
      <c r="FK20" s="269"/>
      <c r="FL20" s="269"/>
      <c r="FM20" s="269"/>
      <c r="FN20" s="314">
        <f>+FL20-FM20</f>
        <v>0</v>
      </c>
      <c r="FO20" s="269"/>
      <c r="FP20" s="269"/>
      <c r="FQ20" s="269"/>
      <c r="FR20" s="314">
        <f>+FP20-FQ20</f>
        <v>0</v>
      </c>
      <c r="FS20" s="269"/>
      <c r="FT20" s="269"/>
      <c r="FU20" s="269"/>
      <c r="FV20" s="314">
        <f>+FT20-FU20</f>
        <v>0</v>
      </c>
      <c r="FW20" s="269"/>
      <c r="FX20" s="269"/>
      <c r="FY20" s="269"/>
      <c r="FZ20" s="314">
        <f>+FX20-FY20</f>
        <v>0</v>
      </c>
      <c r="GA20" s="269"/>
      <c r="GB20" s="269"/>
      <c r="GC20" s="269"/>
      <c r="GD20" s="314">
        <f>+GB20-GC20</f>
        <v>0</v>
      </c>
      <c r="GE20" s="269"/>
      <c r="GF20" s="269"/>
      <c r="GG20" s="269"/>
      <c r="GH20" s="314">
        <f>+GF20-GG20</f>
        <v>0</v>
      </c>
      <c r="GI20" s="269"/>
      <c r="GJ20" s="269"/>
      <c r="GK20" s="269"/>
      <c r="GL20" s="314">
        <f>+GJ20-GK20</f>
        <v>0</v>
      </c>
      <c r="GM20" s="269"/>
      <c r="GN20" s="269"/>
      <c r="GO20" s="269"/>
      <c r="GP20" s="314">
        <f>+GN20-GO20</f>
        <v>0</v>
      </c>
      <c r="GQ20" s="269"/>
      <c r="GR20" s="269"/>
      <c r="GS20" s="269"/>
      <c r="GT20" s="314">
        <f>+GR20-GS20</f>
        <v>0</v>
      </c>
      <c r="GU20" s="269"/>
      <c r="GV20" s="269"/>
      <c r="GW20" s="269"/>
      <c r="GX20" s="314">
        <f>+GV20-GW20</f>
        <v>0</v>
      </c>
      <c r="GY20" s="269"/>
      <c r="GZ20" s="269"/>
      <c r="HA20" s="269"/>
      <c r="HB20" s="314">
        <f>+GZ20-HA20</f>
        <v>0</v>
      </c>
      <c r="HC20" s="269"/>
      <c r="HD20" s="269"/>
      <c r="HE20" s="269"/>
      <c r="HF20" s="314">
        <f>+HD20-HE20</f>
        <v>0</v>
      </c>
      <c r="HG20" s="269"/>
      <c r="HH20" s="269"/>
      <c r="HI20" s="269"/>
      <c r="HJ20" s="314">
        <f>+HH20-HI20</f>
        <v>0</v>
      </c>
      <c r="HK20" s="269"/>
      <c r="HL20" s="269"/>
      <c r="HM20" s="269"/>
      <c r="HN20" s="314">
        <f>+HL20-HM20</f>
        <v>0</v>
      </c>
      <c r="HO20" s="269"/>
      <c r="HP20" s="269"/>
      <c r="HQ20" s="269"/>
      <c r="HR20" s="314">
        <f>+HP20-HQ20</f>
        <v>0</v>
      </c>
      <c r="HS20" s="269"/>
      <c r="HT20" s="269"/>
      <c r="HU20" s="269"/>
      <c r="HV20" s="314">
        <f>+HT20-HU20</f>
        <v>0</v>
      </c>
      <c r="HW20" s="269"/>
      <c r="HX20" s="269"/>
      <c r="HY20" s="269"/>
      <c r="HZ20" s="314">
        <f>+HX20-HY20</f>
        <v>0</v>
      </c>
      <c r="IA20" s="269"/>
      <c r="IB20" s="269"/>
      <c r="IC20" s="269"/>
      <c r="ID20" s="314">
        <f>+IB20-IC20</f>
        <v>0</v>
      </c>
      <c r="IE20" s="269"/>
      <c r="IF20" s="269"/>
      <c r="IG20" s="269"/>
      <c r="IH20" s="314">
        <f>+IF20-IG20</f>
        <v>0</v>
      </c>
      <c r="II20" s="269"/>
      <c r="IJ20" s="269"/>
      <c r="IK20" s="269"/>
      <c r="IL20" s="314">
        <f>+IJ20-IK20</f>
        <v>0</v>
      </c>
      <c r="IM20" s="269"/>
      <c r="IN20" s="269"/>
      <c r="IO20" s="269"/>
      <c r="IP20" s="314">
        <f>+IN20-IO20</f>
        <v>0</v>
      </c>
      <c r="IQ20" s="277">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77">
        <f t="shared" si="4"/>
        <v>0</v>
      </c>
      <c r="IS20" s="277">
        <f t="shared" si="4"/>
        <v>0</v>
      </c>
      <c r="IT20" s="277">
        <f t="shared" si="4"/>
        <v>0</v>
      </c>
    </row>
    <row r="21" spans="1:254" ht="15" customHeight="1">
      <c r="A21" s="410" t="s">
        <v>191</v>
      </c>
      <c r="B21" s="263" t="s">
        <v>872</v>
      </c>
      <c r="C21" s="269"/>
      <c r="D21" s="269"/>
      <c r="E21" s="269"/>
      <c r="F21" s="314">
        <f t="shared" si="0"/>
        <v>0</v>
      </c>
      <c r="G21" s="269"/>
      <c r="H21" s="269"/>
      <c r="I21" s="269"/>
      <c r="J21" s="314">
        <f>+H21-I21</f>
        <v>0</v>
      </c>
      <c r="K21" s="269"/>
      <c r="L21" s="269"/>
      <c r="M21" s="269"/>
      <c r="N21" s="314">
        <f>+L21-M21</f>
        <v>0</v>
      </c>
      <c r="O21" s="269"/>
      <c r="P21" s="269"/>
      <c r="Q21" s="269"/>
      <c r="R21" s="314">
        <f>+P21-Q21</f>
        <v>0</v>
      </c>
      <c r="S21" s="269"/>
      <c r="T21" s="269"/>
      <c r="U21" s="269"/>
      <c r="V21" s="314">
        <f>+T21-U21</f>
        <v>0</v>
      </c>
      <c r="W21" s="269"/>
      <c r="X21" s="269"/>
      <c r="Y21" s="269"/>
      <c r="Z21" s="314">
        <f>+X21-Y21</f>
        <v>0</v>
      </c>
      <c r="AA21" s="269"/>
      <c r="AB21" s="269"/>
      <c r="AC21" s="269"/>
      <c r="AD21" s="314">
        <f>+AB21-AC21</f>
        <v>0</v>
      </c>
      <c r="AE21" s="269"/>
      <c r="AF21" s="269"/>
      <c r="AG21" s="269"/>
      <c r="AH21" s="314">
        <f>+AF21-AG21</f>
        <v>0</v>
      </c>
      <c r="AI21" s="269"/>
      <c r="AJ21" s="269"/>
      <c r="AK21" s="269"/>
      <c r="AL21" s="314">
        <f>+AJ21-AK21</f>
        <v>0</v>
      </c>
      <c r="AM21" s="269"/>
      <c r="AN21" s="269"/>
      <c r="AO21" s="269"/>
      <c r="AP21" s="314">
        <f>+AN21-AO21</f>
        <v>0</v>
      </c>
      <c r="AQ21" s="269"/>
      <c r="AR21" s="269"/>
      <c r="AS21" s="269"/>
      <c r="AT21" s="314">
        <f>+AR21-AS21</f>
        <v>0</v>
      </c>
      <c r="AU21" s="269"/>
      <c r="AV21" s="269"/>
      <c r="AW21" s="269"/>
      <c r="AX21" s="314">
        <f>+AV21-AW21</f>
        <v>0</v>
      </c>
      <c r="AY21" s="269"/>
      <c r="AZ21" s="269"/>
      <c r="BA21" s="269"/>
      <c r="BB21" s="314">
        <f>+AZ21-BA21</f>
        <v>0</v>
      </c>
      <c r="BC21" s="269"/>
      <c r="BD21" s="269"/>
      <c r="BE21" s="269"/>
      <c r="BF21" s="314">
        <f>+BD21-BE21</f>
        <v>0</v>
      </c>
      <c r="BG21" s="269"/>
      <c r="BH21" s="269"/>
      <c r="BI21" s="269"/>
      <c r="BJ21" s="314">
        <f>+BH21-BI21</f>
        <v>0</v>
      </c>
      <c r="BK21" s="269"/>
      <c r="BL21" s="269"/>
      <c r="BM21" s="269"/>
      <c r="BN21" s="314">
        <f>+BL21-BM21</f>
        <v>0</v>
      </c>
      <c r="BO21" s="269"/>
      <c r="BP21" s="269"/>
      <c r="BQ21" s="269"/>
      <c r="BR21" s="314">
        <f>+BP21-BQ21</f>
        <v>0</v>
      </c>
      <c r="BS21" s="269"/>
      <c r="BT21" s="269"/>
      <c r="BU21" s="269"/>
      <c r="BV21" s="314">
        <f>+BT21-BU21</f>
        <v>0</v>
      </c>
      <c r="BW21" s="269"/>
      <c r="BX21" s="269"/>
      <c r="BY21" s="269"/>
      <c r="BZ21" s="314">
        <f>+BX21-BY21</f>
        <v>0</v>
      </c>
      <c r="CA21" s="269"/>
      <c r="CB21" s="269"/>
      <c r="CC21" s="269"/>
      <c r="CD21" s="314">
        <f>+CB21-CC21</f>
        <v>0</v>
      </c>
      <c r="CE21" s="269"/>
      <c r="CF21" s="269"/>
      <c r="CG21" s="269"/>
      <c r="CH21" s="314">
        <f>+CF21-CG21</f>
        <v>0</v>
      </c>
      <c r="CI21" s="269"/>
      <c r="CJ21" s="269"/>
      <c r="CK21" s="269"/>
      <c r="CL21" s="314">
        <f>+CJ21-CK21</f>
        <v>0</v>
      </c>
      <c r="CM21" s="269"/>
      <c r="CN21" s="269"/>
      <c r="CO21" s="269"/>
      <c r="CP21" s="314">
        <f>+CN21-CO21</f>
        <v>0</v>
      </c>
      <c r="CQ21" s="269"/>
      <c r="CR21" s="269"/>
      <c r="CS21" s="269"/>
      <c r="CT21" s="314">
        <f>+CR21-CS21</f>
        <v>0</v>
      </c>
      <c r="CU21" s="269"/>
      <c r="CV21" s="269"/>
      <c r="CW21" s="269"/>
      <c r="CX21" s="314">
        <f>+CV21-CW21</f>
        <v>0</v>
      </c>
      <c r="CY21" s="269"/>
      <c r="CZ21" s="269"/>
      <c r="DA21" s="269"/>
      <c r="DB21" s="314">
        <f>+CZ21-DA21</f>
        <v>0</v>
      </c>
      <c r="DC21" s="269"/>
      <c r="DD21" s="269"/>
      <c r="DE21" s="269"/>
      <c r="DF21" s="314">
        <f>+DD21-DE21</f>
        <v>0</v>
      </c>
      <c r="DG21" s="269"/>
      <c r="DH21" s="269"/>
      <c r="DI21" s="269"/>
      <c r="DJ21" s="314">
        <f>+DH21-DI21</f>
        <v>0</v>
      </c>
      <c r="DK21" s="269"/>
      <c r="DL21" s="269"/>
      <c r="DM21" s="269"/>
      <c r="DN21" s="314">
        <f>+DL21-DM21</f>
        <v>0</v>
      </c>
      <c r="DO21" s="269"/>
      <c r="DP21" s="269"/>
      <c r="DQ21" s="269"/>
      <c r="DR21" s="314">
        <f>+DP21-DQ21</f>
        <v>0</v>
      </c>
      <c r="DS21" s="269"/>
      <c r="DT21" s="269"/>
      <c r="DU21" s="269"/>
      <c r="DV21" s="314">
        <f>+DT21-DU21</f>
        <v>0</v>
      </c>
      <c r="DW21" s="269"/>
      <c r="DX21" s="269"/>
      <c r="DY21" s="269"/>
      <c r="DZ21" s="314">
        <f>+DX21-DY21</f>
        <v>0</v>
      </c>
      <c r="EA21" s="269"/>
      <c r="EB21" s="269"/>
      <c r="EC21" s="269"/>
      <c r="ED21" s="314">
        <f>+EB21-EC21</f>
        <v>0</v>
      </c>
      <c r="EE21" s="269"/>
      <c r="EF21" s="269"/>
      <c r="EG21" s="269"/>
      <c r="EH21" s="314">
        <f>+EF21-EG21</f>
        <v>0</v>
      </c>
      <c r="EI21" s="269"/>
      <c r="EJ21" s="269"/>
      <c r="EK21" s="269"/>
      <c r="EL21" s="314">
        <f>+EJ21-EK21</f>
        <v>0</v>
      </c>
      <c r="EM21" s="269"/>
      <c r="EN21" s="269"/>
      <c r="EO21" s="269"/>
      <c r="EP21" s="314">
        <f>+EN21-EO21</f>
        <v>0</v>
      </c>
      <c r="EQ21" s="269"/>
      <c r="ER21" s="269"/>
      <c r="ES21" s="269"/>
      <c r="ET21" s="314">
        <f>+ER21-ES21</f>
        <v>0</v>
      </c>
      <c r="EU21" s="269"/>
      <c r="EV21" s="269"/>
      <c r="EW21" s="269"/>
      <c r="EX21" s="314">
        <f>+EV21-EW21</f>
        <v>0</v>
      </c>
      <c r="EY21" s="269"/>
      <c r="EZ21" s="269"/>
      <c r="FA21" s="269"/>
      <c r="FB21" s="314">
        <f>+EZ21-FA21</f>
        <v>0</v>
      </c>
      <c r="FC21" s="269"/>
      <c r="FD21" s="269"/>
      <c r="FE21" s="269"/>
      <c r="FF21" s="314">
        <f>+FD21-FE21</f>
        <v>0</v>
      </c>
      <c r="FG21" s="269"/>
      <c r="FH21" s="269"/>
      <c r="FI21" s="269"/>
      <c r="FJ21" s="314">
        <f>+FH21-FI21</f>
        <v>0</v>
      </c>
      <c r="FK21" s="269"/>
      <c r="FL21" s="269"/>
      <c r="FM21" s="269"/>
      <c r="FN21" s="314">
        <f>+FL21-FM21</f>
        <v>0</v>
      </c>
      <c r="FO21" s="269"/>
      <c r="FP21" s="269"/>
      <c r="FQ21" s="269"/>
      <c r="FR21" s="314">
        <f>+FP21-FQ21</f>
        <v>0</v>
      </c>
      <c r="FS21" s="269"/>
      <c r="FT21" s="269"/>
      <c r="FU21" s="269"/>
      <c r="FV21" s="314">
        <f>+FT21-FU21</f>
        <v>0</v>
      </c>
      <c r="FW21" s="269"/>
      <c r="FX21" s="269"/>
      <c r="FY21" s="269"/>
      <c r="FZ21" s="314">
        <f>+FX21-FY21</f>
        <v>0</v>
      </c>
      <c r="GA21" s="269"/>
      <c r="GB21" s="269"/>
      <c r="GC21" s="269"/>
      <c r="GD21" s="314">
        <f>+GB21-GC21</f>
        <v>0</v>
      </c>
      <c r="GE21" s="269"/>
      <c r="GF21" s="269"/>
      <c r="GG21" s="269"/>
      <c r="GH21" s="314">
        <f>+GF21-GG21</f>
        <v>0</v>
      </c>
      <c r="GI21" s="269"/>
      <c r="GJ21" s="269"/>
      <c r="GK21" s="269"/>
      <c r="GL21" s="314">
        <f>+GJ21-GK21</f>
        <v>0</v>
      </c>
      <c r="GM21" s="269"/>
      <c r="GN21" s="269"/>
      <c r="GO21" s="269"/>
      <c r="GP21" s="314">
        <f>+GN21-GO21</f>
        <v>0</v>
      </c>
      <c r="GQ21" s="269"/>
      <c r="GR21" s="269"/>
      <c r="GS21" s="269"/>
      <c r="GT21" s="314">
        <f>+GR21-GS21</f>
        <v>0</v>
      </c>
      <c r="GU21" s="269"/>
      <c r="GV21" s="269"/>
      <c r="GW21" s="269"/>
      <c r="GX21" s="314">
        <f>+GV21-GW21</f>
        <v>0</v>
      </c>
      <c r="GY21" s="269"/>
      <c r="GZ21" s="269"/>
      <c r="HA21" s="269"/>
      <c r="HB21" s="314">
        <f>+GZ21-HA21</f>
        <v>0</v>
      </c>
      <c r="HC21" s="269"/>
      <c r="HD21" s="269"/>
      <c r="HE21" s="269"/>
      <c r="HF21" s="314">
        <f>+HD21-HE21</f>
        <v>0</v>
      </c>
      <c r="HG21" s="269"/>
      <c r="HH21" s="269"/>
      <c r="HI21" s="269"/>
      <c r="HJ21" s="314">
        <f>+HH21-HI21</f>
        <v>0</v>
      </c>
      <c r="HK21" s="269"/>
      <c r="HL21" s="269"/>
      <c r="HM21" s="269"/>
      <c r="HN21" s="314">
        <f>+HL21-HM21</f>
        <v>0</v>
      </c>
      <c r="HO21" s="269"/>
      <c r="HP21" s="269"/>
      <c r="HQ21" s="269"/>
      <c r="HR21" s="314">
        <f>+HP21-HQ21</f>
        <v>0</v>
      </c>
      <c r="HS21" s="269"/>
      <c r="HT21" s="269"/>
      <c r="HU21" s="269"/>
      <c r="HV21" s="314">
        <f>+HT21-HU21</f>
        <v>0</v>
      </c>
      <c r="HW21" s="269"/>
      <c r="HX21" s="269"/>
      <c r="HY21" s="269"/>
      <c r="HZ21" s="314">
        <f>+HX21-HY21</f>
        <v>0</v>
      </c>
      <c r="IA21" s="269"/>
      <c r="IB21" s="269"/>
      <c r="IC21" s="269"/>
      <c r="ID21" s="314">
        <f>+IB21-IC21</f>
        <v>0</v>
      </c>
      <c r="IE21" s="269"/>
      <c r="IF21" s="269"/>
      <c r="IG21" s="269"/>
      <c r="IH21" s="314">
        <f>+IF21-IG21</f>
        <v>0</v>
      </c>
      <c r="II21" s="269"/>
      <c r="IJ21" s="269"/>
      <c r="IK21" s="269"/>
      <c r="IL21" s="314">
        <f>+IJ21-IK21</f>
        <v>0</v>
      </c>
      <c r="IM21" s="269"/>
      <c r="IN21" s="269"/>
      <c r="IO21" s="269"/>
      <c r="IP21" s="314">
        <f>+IN21-IO21</f>
        <v>0</v>
      </c>
      <c r="IQ21" s="277">
        <f t="shared" si="4"/>
        <v>0</v>
      </c>
      <c r="IR21" s="277">
        <f t="shared" si="4"/>
        <v>0</v>
      </c>
      <c r="IS21" s="277">
        <f t="shared" si="4"/>
        <v>0</v>
      </c>
      <c r="IT21" s="277">
        <f t="shared" si="4"/>
        <v>0</v>
      </c>
    </row>
    <row r="22" spans="1:254" s="308" customFormat="1" ht="15" customHeight="1">
      <c r="A22" s="429">
        <v>450000</v>
      </c>
      <c r="B22" s="431" t="s">
        <v>1042</v>
      </c>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77"/>
      <c r="BX22" s="277"/>
      <c r="BY22" s="277"/>
      <c r="BZ22" s="277"/>
      <c r="CA22" s="277"/>
      <c r="CB22" s="277"/>
      <c r="CC22" s="277"/>
      <c r="CD22" s="277"/>
      <c r="CE22" s="277"/>
      <c r="CF22" s="277"/>
      <c r="CG22" s="277"/>
      <c r="CH22" s="277"/>
      <c r="CI22" s="277"/>
      <c r="CJ22" s="277"/>
      <c r="CK22" s="277"/>
      <c r="CL22" s="277"/>
      <c r="CM22" s="277"/>
      <c r="CN22" s="277"/>
      <c r="CO22" s="277"/>
      <c r="CP22" s="277"/>
      <c r="CQ22" s="277"/>
      <c r="CR22" s="277"/>
      <c r="CS22" s="277"/>
      <c r="CT22" s="277"/>
      <c r="CU22" s="277"/>
      <c r="CV22" s="277"/>
      <c r="CW22" s="277"/>
      <c r="CX22" s="277"/>
      <c r="CY22" s="277"/>
      <c r="CZ22" s="277"/>
      <c r="DA22" s="277"/>
      <c r="DB22" s="277"/>
      <c r="DC22" s="277"/>
      <c r="DD22" s="277"/>
      <c r="DE22" s="277"/>
      <c r="DF22" s="277"/>
      <c r="DG22" s="277"/>
      <c r="DH22" s="277"/>
      <c r="DI22" s="277"/>
      <c r="DJ22" s="277"/>
      <c r="DK22" s="277"/>
      <c r="DL22" s="277"/>
      <c r="DM22" s="277"/>
      <c r="DN22" s="277"/>
      <c r="DO22" s="277"/>
      <c r="DP22" s="277"/>
      <c r="DQ22" s="277"/>
      <c r="DR22" s="277"/>
      <c r="DS22" s="277"/>
      <c r="DT22" s="277"/>
      <c r="DU22" s="277"/>
      <c r="DV22" s="277"/>
      <c r="DW22" s="277"/>
      <c r="DX22" s="277"/>
      <c r="DY22" s="277"/>
      <c r="DZ22" s="277"/>
      <c r="EA22" s="277"/>
      <c r="EB22" s="277"/>
      <c r="EC22" s="277"/>
      <c r="ED22" s="277"/>
      <c r="EE22" s="277"/>
      <c r="EF22" s="277"/>
      <c r="EG22" s="277"/>
      <c r="EH22" s="277"/>
      <c r="EI22" s="277"/>
      <c r="EJ22" s="277"/>
      <c r="EK22" s="277"/>
      <c r="EL22" s="277"/>
      <c r="EM22" s="277"/>
      <c r="EN22" s="277"/>
      <c r="EO22" s="277"/>
      <c r="EP22" s="277"/>
      <c r="EQ22" s="277"/>
      <c r="ER22" s="277"/>
      <c r="ES22" s="277"/>
      <c r="ET22" s="277"/>
      <c r="EU22" s="277"/>
      <c r="EV22" s="277"/>
      <c r="EW22" s="277"/>
      <c r="EX22" s="277"/>
      <c r="EY22" s="277"/>
      <c r="EZ22" s="277"/>
      <c r="FA22" s="277"/>
      <c r="FB22" s="277"/>
      <c r="FC22" s="277"/>
      <c r="FD22" s="277"/>
      <c r="FE22" s="277"/>
      <c r="FF22" s="277"/>
      <c r="FG22" s="277"/>
      <c r="FH22" s="277"/>
      <c r="FI22" s="277"/>
      <c r="FJ22" s="277"/>
      <c r="FK22" s="277"/>
      <c r="FL22" s="277"/>
      <c r="FM22" s="277"/>
      <c r="FN22" s="277"/>
      <c r="FO22" s="277"/>
      <c r="FP22" s="277"/>
      <c r="FQ22" s="277"/>
      <c r="FR22" s="277"/>
      <c r="FS22" s="277"/>
      <c r="FT22" s="277"/>
      <c r="FU22" s="277"/>
      <c r="FV22" s="277"/>
      <c r="FW22" s="277"/>
      <c r="FX22" s="277"/>
      <c r="FY22" s="277"/>
      <c r="FZ22" s="277"/>
      <c r="GA22" s="277"/>
      <c r="GB22" s="277"/>
      <c r="GC22" s="277"/>
      <c r="GD22" s="277"/>
      <c r="GE22" s="277"/>
      <c r="GF22" s="277"/>
      <c r="GG22" s="277"/>
      <c r="GH22" s="277"/>
      <c r="GI22" s="277"/>
      <c r="GJ22" s="277"/>
      <c r="GK22" s="277"/>
      <c r="GL22" s="277"/>
      <c r="GM22" s="277"/>
      <c r="GN22" s="277"/>
      <c r="GO22" s="277"/>
      <c r="GP22" s="277"/>
      <c r="GQ22" s="277"/>
      <c r="GR22" s="277"/>
      <c r="GS22" s="277"/>
      <c r="GT22" s="277"/>
      <c r="GU22" s="277"/>
      <c r="GV22" s="277"/>
      <c r="GW22" s="277"/>
      <c r="GX22" s="277"/>
      <c r="GY22" s="277"/>
      <c r="GZ22" s="277"/>
      <c r="HA22" s="277"/>
      <c r="HB22" s="277"/>
      <c r="HC22" s="277"/>
      <c r="HD22" s="277"/>
      <c r="HE22" s="277"/>
      <c r="HF22" s="277"/>
      <c r="HG22" s="277"/>
      <c r="HH22" s="277"/>
      <c r="HI22" s="277"/>
      <c r="HJ22" s="277"/>
      <c r="HK22" s="277"/>
      <c r="HL22" s="277"/>
      <c r="HM22" s="277"/>
      <c r="HN22" s="277"/>
      <c r="HO22" s="277"/>
      <c r="HP22" s="277"/>
      <c r="HQ22" s="277"/>
      <c r="HR22" s="277"/>
      <c r="HS22" s="277"/>
      <c r="HT22" s="277"/>
      <c r="HU22" s="277"/>
      <c r="HV22" s="277"/>
      <c r="HW22" s="277"/>
      <c r="HX22" s="277"/>
      <c r="HY22" s="277"/>
      <c r="HZ22" s="277"/>
      <c r="IA22" s="277"/>
      <c r="IB22" s="277"/>
      <c r="IC22" s="277"/>
      <c r="ID22" s="277"/>
      <c r="IE22" s="277"/>
      <c r="IF22" s="277"/>
      <c r="IG22" s="277"/>
      <c r="IH22" s="277"/>
      <c r="II22" s="277"/>
      <c r="IJ22" s="277"/>
      <c r="IK22" s="277"/>
      <c r="IL22" s="277"/>
      <c r="IM22" s="277"/>
      <c r="IN22" s="277"/>
      <c r="IO22" s="277"/>
      <c r="IP22" s="277"/>
      <c r="IQ22" s="277"/>
      <c r="IR22" s="277"/>
      <c r="IS22" s="277"/>
      <c r="IT22" s="277"/>
    </row>
    <row r="23" spans="1:254" ht="15" customHeight="1">
      <c r="A23" s="410">
        <v>100</v>
      </c>
      <c r="B23" s="263" t="s">
        <v>871</v>
      </c>
      <c r="C23" s="303"/>
      <c r="D23" s="303"/>
      <c r="E23" s="303"/>
      <c r="F23" s="314">
        <f t="shared" si="0"/>
        <v>0</v>
      </c>
      <c r="G23" s="303"/>
      <c r="H23" s="303"/>
      <c r="I23" s="303"/>
      <c r="J23" s="314">
        <f>+H23-I23</f>
        <v>0</v>
      </c>
      <c r="K23" s="303"/>
      <c r="L23" s="303"/>
      <c r="M23" s="303"/>
      <c r="N23" s="314">
        <f>+L23-M23</f>
        <v>0</v>
      </c>
      <c r="O23" s="303"/>
      <c r="P23" s="303"/>
      <c r="Q23" s="303"/>
      <c r="R23" s="314">
        <f>+P23-Q23</f>
        <v>0</v>
      </c>
      <c r="S23" s="303"/>
      <c r="T23" s="303"/>
      <c r="U23" s="303"/>
      <c r="V23" s="314">
        <f>+T23-U23</f>
        <v>0</v>
      </c>
      <c r="W23" s="303"/>
      <c r="X23" s="303"/>
      <c r="Y23" s="303"/>
      <c r="Z23" s="314">
        <f>+X23-Y23</f>
        <v>0</v>
      </c>
      <c r="AA23" s="303"/>
      <c r="AB23" s="303"/>
      <c r="AC23" s="303"/>
      <c r="AD23" s="314">
        <f>+AB23-AC23</f>
        <v>0</v>
      </c>
      <c r="AE23" s="303"/>
      <c r="AF23" s="303"/>
      <c r="AG23" s="303"/>
      <c r="AH23" s="314">
        <f>+AF23-AG23</f>
        <v>0</v>
      </c>
      <c r="AI23" s="303"/>
      <c r="AJ23" s="303"/>
      <c r="AK23" s="303"/>
      <c r="AL23" s="314">
        <f>+AJ23-AK23</f>
        <v>0</v>
      </c>
      <c r="AM23" s="303"/>
      <c r="AN23" s="303"/>
      <c r="AO23" s="303"/>
      <c r="AP23" s="314">
        <f>+AN23-AO23</f>
        <v>0</v>
      </c>
      <c r="AQ23" s="303"/>
      <c r="AR23" s="303"/>
      <c r="AS23" s="303"/>
      <c r="AT23" s="314">
        <f>+AR23-AS23</f>
        <v>0</v>
      </c>
      <c r="AU23" s="303"/>
      <c r="AV23" s="303"/>
      <c r="AW23" s="303"/>
      <c r="AX23" s="314">
        <f>+AV23-AW23</f>
        <v>0</v>
      </c>
      <c r="AY23" s="303"/>
      <c r="AZ23" s="303"/>
      <c r="BA23" s="303"/>
      <c r="BB23" s="314">
        <f>+AZ23-BA23</f>
        <v>0</v>
      </c>
      <c r="BC23" s="303"/>
      <c r="BD23" s="303"/>
      <c r="BE23" s="303"/>
      <c r="BF23" s="314">
        <f>+BD23-BE23</f>
        <v>0</v>
      </c>
      <c r="BG23" s="303"/>
      <c r="BH23" s="303"/>
      <c r="BI23" s="303"/>
      <c r="BJ23" s="314">
        <f>+BH23-BI23</f>
        <v>0</v>
      </c>
      <c r="BK23" s="303"/>
      <c r="BL23" s="303"/>
      <c r="BM23" s="303"/>
      <c r="BN23" s="314">
        <f>+BL23-BM23</f>
        <v>0</v>
      </c>
      <c r="BO23" s="303"/>
      <c r="BP23" s="303"/>
      <c r="BQ23" s="303"/>
      <c r="BR23" s="314">
        <f>+BP23-BQ23</f>
        <v>0</v>
      </c>
      <c r="BS23" s="303"/>
      <c r="BT23" s="303"/>
      <c r="BU23" s="303"/>
      <c r="BV23" s="314">
        <f>+BT23-BU23</f>
        <v>0</v>
      </c>
      <c r="BW23" s="303"/>
      <c r="BX23" s="303"/>
      <c r="BY23" s="303"/>
      <c r="BZ23" s="314">
        <f>+BX23-BY23</f>
        <v>0</v>
      </c>
      <c r="CA23" s="303"/>
      <c r="CB23" s="303"/>
      <c r="CC23" s="303"/>
      <c r="CD23" s="314">
        <f>+CB23-CC23</f>
        <v>0</v>
      </c>
      <c r="CE23" s="303"/>
      <c r="CF23" s="303"/>
      <c r="CG23" s="303"/>
      <c r="CH23" s="314">
        <f>+CF23-CG23</f>
        <v>0</v>
      </c>
      <c r="CI23" s="303"/>
      <c r="CJ23" s="303"/>
      <c r="CK23" s="303"/>
      <c r="CL23" s="314">
        <f>+CJ23-CK23</f>
        <v>0</v>
      </c>
      <c r="CM23" s="303"/>
      <c r="CN23" s="303"/>
      <c r="CO23" s="303"/>
      <c r="CP23" s="314">
        <f>+CN23-CO23</f>
        <v>0</v>
      </c>
      <c r="CQ23" s="303"/>
      <c r="CR23" s="303"/>
      <c r="CS23" s="303"/>
      <c r="CT23" s="314">
        <f>+CR23-CS23</f>
        <v>0</v>
      </c>
      <c r="CU23" s="303"/>
      <c r="CV23" s="303"/>
      <c r="CW23" s="303"/>
      <c r="CX23" s="314">
        <f>+CV23-CW23</f>
        <v>0</v>
      </c>
      <c r="CY23" s="303"/>
      <c r="CZ23" s="303"/>
      <c r="DA23" s="303"/>
      <c r="DB23" s="314">
        <f>+CZ23-DA23</f>
        <v>0</v>
      </c>
      <c r="DC23" s="303"/>
      <c r="DD23" s="303"/>
      <c r="DE23" s="303"/>
      <c r="DF23" s="314">
        <f>+DD23-DE23</f>
        <v>0</v>
      </c>
      <c r="DG23" s="303"/>
      <c r="DH23" s="303"/>
      <c r="DI23" s="303"/>
      <c r="DJ23" s="314">
        <f>+DH23-DI23</f>
        <v>0</v>
      </c>
      <c r="DK23" s="303"/>
      <c r="DL23" s="303"/>
      <c r="DM23" s="303"/>
      <c r="DN23" s="314">
        <f>+DL23-DM23</f>
        <v>0</v>
      </c>
      <c r="DO23" s="303"/>
      <c r="DP23" s="303"/>
      <c r="DQ23" s="303"/>
      <c r="DR23" s="314">
        <f>+DP23-DQ23</f>
        <v>0</v>
      </c>
      <c r="DS23" s="303"/>
      <c r="DT23" s="303"/>
      <c r="DU23" s="303"/>
      <c r="DV23" s="314">
        <f>+DT23-DU23</f>
        <v>0</v>
      </c>
      <c r="DW23" s="303"/>
      <c r="DX23" s="303"/>
      <c r="DY23" s="303"/>
      <c r="DZ23" s="314">
        <f>+DX23-DY23</f>
        <v>0</v>
      </c>
      <c r="EA23" s="303"/>
      <c r="EB23" s="303"/>
      <c r="EC23" s="303"/>
      <c r="ED23" s="314">
        <f>+EB23-EC23</f>
        <v>0</v>
      </c>
      <c r="EE23" s="303"/>
      <c r="EF23" s="303"/>
      <c r="EG23" s="303"/>
      <c r="EH23" s="314">
        <f>+EF23-EG23</f>
        <v>0</v>
      </c>
      <c r="EI23" s="303"/>
      <c r="EJ23" s="303"/>
      <c r="EK23" s="303"/>
      <c r="EL23" s="314">
        <f>+EJ23-EK23</f>
        <v>0</v>
      </c>
      <c r="EM23" s="303"/>
      <c r="EN23" s="303"/>
      <c r="EO23" s="303"/>
      <c r="EP23" s="314">
        <f>+EN23-EO23</f>
        <v>0</v>
      </c>
      <c r="EQ23" s="303"/>
      <c r="ER23" s="303"/>
      <c r="ES23" s="303"/>
      <c r="ET23" s="314">
        <f>+ER23-ES23</f>
        <v>0</v>
      </c>
      <c r="EU23" s="303"/>
      <c r="EV23" s="303"/>
      <c r="EW23" s="303"/>
      <c r="EX23" s="314">
        <f>+EV23-EW23</f>
        <v>0</v>
      </c>
      <c r="EY23" s="303"/>
      <c r="EZ23" s="303"/>
      <c r="FA23" s="303"/>
      <c r="FB23" s="314">
        <f>+EZ23-FA23</f>
        <v>0</v>
      </c>
      <c r="FC23" s="303"/>
      <c r="FD23" s="303"/>
      <c r="FE23" s="303"/>
      <c r="FF23" s="314">
        <f>+FD23-FE23</f>
        <v>0</v>
      </c>
      <c r="FG23" s="303"/>
      <c r="FH23" s="303"/>
      <c r="FI23" s="303"/>
      <c r="FJ23" s="314">
        <f>+FH23-FI23</f>
        <v>0</v>
      </c>
      <c r="FK23" s="303"/>
      <c r="FL23" s="303"/>
      <c r="FM23" s="303"/>
      <c r="FN23" s="314">
        <f>+FL23-FM23</f>
        <v>0</v>
      </c>
      <c r="FO23" s="303"/>
      <c r="FP23" s="303"/>
      <c r="FQ23" s="303"/>
      <c r="FR23" s="314">
        <f>+FP23-FQ23</f>
        <v>0</v>
      </c>
      <c r="FS23" s="303"/>
      <c r="FT23" s="303"/>
      <c r="FU23" s="303"/>
      <c r="FV23" s="314">
        <f>+FT23-FU23</f>
        <v>0</v>
      </c>
      <c r="FW23" s="303"/>
      <c r="FX23" s="303"/>
      <c r="FY23" s="303"/>
      <c r="FZ23" s="314">
        <f>+FX23-FY23</f>
        <v>0</v>
      </c>
      <c r="GA23" s="303"/>
      <c r="GB23" s="303"/>
      <c r="GC23" s="303"/>
      <c r="GD23" s="314">
        <f>+GB23-GC23</f>
        <v>0</v>
      </c>
      <c r="GE23" s="303"/>
      <c r="GF23" s="303"/>
      <c r="GG23" s="303"/>
      <c r="GH23" s="314">
        <f>+GF23-GG23</f>
        <v>0</v>
      </c>
      <c r="GI23" s="303"/>
      <c r="GJ23" s="303"/>
      <c r="GK23" s="303"/>
      <c r="GL23" s="314">
        <f>+GJ23-GK23</f>
        <v>0</v>
      </c>
      <c r="GM23" s="303"/>
      <c r="GN23" s="303"/>
      <c r="GO23" s="303"/>
      <c r="GP23" s="314">
        <f>+GN23-GO23</f>
        <v>0</v>
      </c>
      <c r="GQ23" s="303"/>
      <c r="GR23" s="303"/>
      <c r="GS23" s="303"/>
      <c r="GT23" s="314">
        <f>+GR23-GS23</f>
        <v>0</v>
      </c>
      <c r="GU23" s="303"/>
      <c r="GV23" s="303"/>
      <c r="GW23" s="303"/>
      <c r="GX23" s="314">
        <f>+GV23-GW23</f>
        <v>0</v>
      </c>
      <c r="GY23" s="303"/>
      <c r="GZ23" s="303"/>
      <c r="HA23" s="303"/>
      <c r="HB23" s="314">
        <f>+GZ23-HA23</f>
        <v>0</v>
      </c>
      <c r="HC23" s="303"/>
      <c r="HD23" s="303"/>
      <c r="HE23" s="303"/>
      <c r="HF23" s="314">
        <f>+HD23-HE23</f>
        <v>0</v>
      </c>
      <c r="HG23" s="303"/>
      <c r="HH23" s="303"/>
      <c r="HI23" s="303"/>
      <c r="HJ23" s="314">
        <f>+HH23-HI23</f>
        <v>0</v>
      </c>
      <c r="HK23" s="303"/>
      <c r="HL23" s="303"/>
      <c r="HM23" s="303"/>
      <c r="HN23" s="314">
        <f>+HL23-HM23</f>
        <v>0</v>
      </c>
      <c r="HO23" s="303"/>
      <c r="HP23" s="303"/>
      <c r="HQ23" s="303"/>
      <c r="HR23" s="314">
        <f>+HP23-HQ23</f>
        <v>0</v>
      </c>
      <c r="HS23" s="303"/>
      <c r="HT23" s="303"/>
      <c r="HU23" s="303"/>
      <c r="HV23" s="314">
        <f>+HT23-HU23</f>
        <v>0</v>
      </c>
      <c r="HW23" s="303"/>
      <c r="HX23" s="303"/>
      <c r="HY23" s="303"/>
      <c r="HZ23" s="314">
        <f>+HX23-HY23</f>
        <v>0</v>
      </c>
      <c r="IA23" s="303"/>
      <c r="IB23" s="303"/>
      <c r="IC23" s="303"/>
      <c r="ID23" s="314">
        <f>+IB23-IC23</f>
        <v>0</v>
      </c>
      <c r="IE23" s="303"/>
      <c r="IF23" s="303"/>
      <c r="IG23" s="303"/>
      <c r="IH23" s="314">
        <f>+IF23-IG23</f>
        <v>0</v>
      </c>
      <c r="II23" s="303"/>
      <c r="IJ23" s="303"/>
      <c r="IK23" s="303"/>
      <c r="IL23" s="314">
        <f>+IJ23-IK23</f>
        <v>0</v>
      </c>
      <c r="IM23" s="303"/>
      <c r="IN23" s="303"/>
      <c r="IO23" s="303"/>
      <c r="IP23" s="314">
        <f>+IN23-IO23</f>
        <v>0</v>
      </c>
      <c r="IQ23" s="277">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77">
        <f t="shared" si="5"/>
        <v>0</v>
      </c>
      <c r="IS23" s="277">
        <f t="shared" si="5"/>
        <v>0</v>
      </c>
      <c r="IT23" s="277">
        <f t="shared" si="5"/>
        <v>0</v>
      </c>
    </row>
    <row r="24" spans="1:254" ht="15" customHeight="1">
      <c r="A24" s="410" t="s">
        <v>191</v>
      </c>
      <c r="B24" s="263" t="s">
        <v>872</v>
      </c>
      <c r="C24" s="269"/>
      <c r="D24" s="269"/>
      <c r="E24" s="269"/>
      <c r="F24" s="314">
        <f t="shared" si="0"/>
        <v>0</v>
      </c>
      <c r="G24" s="269"/>
      <c r="H24" s="269"/>
      <c r="I24" s="269"/>
      <c r="J24" s="314">
        <f>+H24-I24</f>
        <v>0</v>
      </c>
      <c r="K24" s="269"/>
      <c r="L24" s="269"/>
      <c r="M24" s="269"/>
      <c r="N24" s="314">
        <f>+L24-M24</f>
        <v>0</v>
      </c>
      <c r="O24" s="269"/>
      <c r="P24" s="269"/>
      <c r="Q24" s="269"/>
      <c r="R24" s="314">
        <f>+P24-Q24</f>
        <v>0</v>
      </c>
      <c r="S24" s="269"/>
      <c r="T24" s="269"/>
      <c r="U24" s="269"/>
      <c r="V24" s="314">
        <f>+T24-U24</f>
        <v>0</v>
      </c>
      <c r="W24" s="269"/>
      <c r="X24" s="269"/>
      <c r="Y24" s="269"/>
      <c r="Z24" s="314">
        <f>+X24-Y24</f>
        <v>0</v>
      </c>
      <c r="AA24" s="269"/>
      <c r="AB24" s="269"/>
      <c r="AC24" s="269"/>
      <c r="AD24" s="314">
        <f>+AB24-AC24</f>
        <v>0</v>
      </c>
      <c r="AE24" s="269"/>
      <c r="AF24" s="269"/>
      <c r="AG24" s="269"/>
      <c r="AH24" s="314">
        <f>+AF24-AG24</f>
        <v>0</v>
      </c>
      <c r="AI24" s="269"/>
      <c r="AJ24" s="269"/>
      <c r="AK24" s="269"/>
      <c r="AL24" s="314">
        <f>+AJ24-AK24</f>
        <v>0</v>
      </c>
      <c r="AM24" s="269"/>
      <c r="AN24" s="269"/>
      <c r="AO24" s="269"/>
      <c r="AP24" s="314">
        <f>+AN24-AO24</f>
        <v>0</v>
      </c>
      <c r="AQ24" s="269"/>
      <c r="AR24" s="269"/>
      <c r="AS24" s="269"/>
      <c r="AT24" s="314">
        <f>+AR24-AS24</f>
        <v>0</v>
      </c>
      <c r="AU24" s="269"/>
      <c r="AV24" s="269"/>
      <c r="AW24" s="269"/>
      <c r="AX24" s="314">
        <f>+AV24-AW24</f>
        <v>0</v>
      </c>
      <c r="AY24" s="269"/>
      <c r="AZ24" s="269"/>
      <c r="BA24" s="269"/>
      <c r="BB24" s="314">
        <f>+AZ24-BA24</f>
        <v>0</v>
      </c>
      <c r="BC24" s="269"/>
      <c r="BD24" s="269"/>
      <c r="BE24" s="269"/>
      <c r="BF24" s="314">
        <f>+BD24-BE24</f>
        <v>0</v>
      </c>
      <c r="BG24" s="269"/>
      <c r="BH24" s="269"/>
      <c r="BI24" s="269"/>
      <c r="BJ24" s="314">
        <f>+BH24-BI24</f>
        <v>0</v>
      </c>
      <c r="BK24" s="269"/>
      <c r="BL24" s="269"/>
      <c r="BM24" s="269"/>
      <c r="BN24" s="314">
        <f>+BL24-BM24</f>
        <v>0</v>
      </c>
      <c r="BO24" s="269"/>
      <c r="BP24" s="269"/>
      <c r="BQ24" s="269"/>
      <c r="BR24" s="314">
        <f>+BP24-BQ24</f>
        <v>0</v>
      </c>
      <c r="BS24" s="269"/>
      <c r="BT24" s="269"/>
      <c r="BU24" s="269"/>
      <c r="BV24" s="314">
        <f>+BT24-BU24</f>
        <v>0</v>
      </c>
      <c r="BW24" s="269"/>
      <c r="BX24" s="269"/>
      <c r="BY24" s="269"/>
      <c r="BZ24" s="314">
        <f>+BX24-BY24</f>
        <v>0</v>
      </c>
      <c r="CA24" s="269"/>
      <c r="CB24" s="269"/>
      <c r="CC24" s="269"/>
      <c r="CD24" s="314">
        <f>+CB24-CC24</f>
        <v>0</v>
      </c>
      <c r="CE24" s="269"/>
      <c r="CF24" s="269"/>
      <c r="CG24" s="269"/>
      <c r="CH24" s="314">
        <f>+CF24-CG24</f>
        <v>0</v>
      </c>
      <c r="CI24" s="269"/>
      <c r="CJ24" s="269"/>
      <c r="CK24" s="269"/>
      <c r="CL24" s="314">
        <f>+CJ24-CK24</f>
        <v>0</v>
      </c>
      <c r="CM24" s="269"/>
      <c r="CN24" s="269"/>
      <c r="CO24" s="269"/>
      <c r="CP24" s="314">
        <f>+CN24-CO24</f>
        <v>0</v>
      </c>
      <c r="CQ24" s="269"/>
      <c r="CR24" s="269"/>
      <c r="CS24" s="269"/>
      <c r="CT24" s="314">
        <f>+CR24-CS24</f>
        <v>0</v>
      </c>
      <c r="CU24" s="269"/>
      <c r="CV24" s="269"/>
      <c r="CW24" s="269"/>
      <c r="CX24" s="314">
        <f>+CV24-CW24</f>
        <v>0</v>
      </c>
      <c r="CY24" s="269"/>
      <c r="CZ24" s="269"/>
      <c r="DA24" s="269"/>
      <c r="DB24" s="314">
        <f>+CZ24-DA24</f>
        <v>0</v>
      </c>
      <c r="DC24" s="269"/>
      <c r="DD24" s="269"/>
      <c r="DE24" s="269"/>
      <c r="DF24" s="314">
        <f>+DD24-DE24</f>
        <v>0</v>
      </c>
      <c r="DG24" s="269"/>
      <c r="DH24" s="269"/>
      <c r="DI24" s="269"/>
      <c r="DJ24" s="314">
        <f>+DH24-DI24</f>
        <v>0</v>
      </c>
      <c r="DK24" s="269"/>
      <c r="DL24" s="269"/>
      <c r="DM24" s="269"/>
      <c r="DN24" s="314">
        <f>+DL24-DM24</f>
        <v>0</v>
      </c>
      <c r="DO24" s="269"/>
      <c r="DP24" s="269"/>
      <c r="DQ24" s="269"/>
      <c r="DR24" s="314">
        <f>+DP24-DQ24</f>
        <v>0</v>
      </c>
      <c r="DS24" s="269"/>
      <c r="DT24" s="269"/>
      <c r="DU24" s="269"/>
      <c r="DV24" s="314">
        <f>+DT24-DU24</f>
        <v>0</v>
      </c>
      <c r="DW24" s="269"/>
      <c r="DX24" s="269"/>
      <c r="DY24" s="269"/>
      <c r="DZ24" s="314">
        <f>+DX24-DY24</f>
        <v>0</v>
      </c>
      <c r="EA24" s="269"/>
      <c r="EB24" s="269"/>
      <c r="EC24" s="269"/>
      <c r="ED24" s="314">
        <f>+EB24-EC24</f>
        <v>0</v>
      </c>
      <c r="EE24" s="269"/>
      <c r="EF24" s="269"/>
      <c r="EG24" s="269"/>
      <c r="EH24" s="314">
        <f>+EF24-EG24</f>
        <v>0</v>
      </c>
      <c r="EI24" s="269"/>
      <c r="EJ24" s="269"/>
      <c r="EK24" s="269"/>
      <c r="EL24" s="314">
        <f>+EJ24-EK24</f>
        <v>0</v>
      </c>
      <c r="EM24" s="269"/>
      <c r="EN24" s="269"/>
      <c r="EO24" s="269"/>
      <c r="EP24" s="314">
        <f>+EN24-EO24</f>
        <v>0</v>
      </c>
      <c r="EQ24" s="269"/>
      <c r="ER24" s="269"/>
      <c r="ES24" s="269"/>
      <c r="ET24" s="314">
        <f>+ER24-ES24</f>
        <v>0</v>
      </c>
      <c r="EU24" s="269"/>
      <c r="EV24" s="269"/>
      <c r="EW24" s="269"/>
      <c r="EX24" s="314">
        <f>+EV24-EW24</f>
        <v>0</v>
      </c>
      <c r="EY24" s="269"/>
      <c r="EZ24" s="269"/>
      <c r="FA24" s="269"/>
      <c r="FB24" s="314">
        <f>+EZ24-FA24</f>
        <v>0</v>
      </c>
      <c r="FC24" s="269"/>
      <c r="FD24" s="269"/>
      <c r="FE24" s="269"/>
      <c r="FF24" s="314">
        <f>+FD24-FE24</f>
        <v>0</v>
      </c>
      <c r="FG24" s="269"/>
      <c r="FH24" s="269"/>
      <c r="FI24" s="269"/>
      <c r="FJ24" s="314">
        <f>+FH24-FI24</f>
        <v>0</v>
      </c>
      <c r="FK24" s="269"/>
      <c r="FL24" s="269"/>
      <c r="FM24" s="269"/>
      <c r="FN24" s="314">
        <f>+FL24-FM24</f>
        <v>0</v>
      </c>
      <c r="FO24" s="269"/>
      <c r="FP24" s="269"/>
      <c r="FQ24" s="269"/>
      <c r="FR24" s="314">
        <f>+FP24-FQ24</f>
        <v>0</v>
      </c>
      <c r="FS24" s="269"/>
      <c r="FT24" s="269"/>
      <c r="FU24" s="269"/>
      <c r="FV24" s="314">
        <f>+FT24-FU24</f>
        <v>0</v>
      </c>
      <c r="FW24" s="269"/>
      <c r="FX24" s="269"/>
      <c r="FY24" s="269"/>
      <c r="FZ24" s="314">
        <f>+FX24-FY24</f>
        <v>0</v>
      </c>
      <c r="GA24" s="269"/>
      <c r="GB24" s="269"/>
      <c r="GC24" s="269"/>
      <c r="GD24" s="314">
        <f>+GB24-GC24</f>
        <v>0</v>
      </c>
      <c r="GE24" s="269"/>
      <c r="GF24" s="269"/>
      <c r="GG24" s="269"/>
      <c r="GH24" s="314">
        <f>+GF24-GG24</f>
        <v>0</v>
      </c>
      <c r="GI24" s="269"/>
      <c r="GJ24" s="269"/>
      <c r="GK24" s="269"/>
      <c r="GL24" s="314">
        <f>+GJ24-GK24</f>
        <v>0</v>
      </c>
      <c r="GM24" s="269"/>
      <c r="GN24" s="269"/>
      <c r="GO24" s="269"/>
      <c r="GP24" s="314">
        <f>+GN24-GO24</f>
        <v>0</v>
      </c>
      <c r="GQ24" s="269"/>
      <c r="GR24" s="269"/>
      <c r="GS24" s="269"/>
      <c r="GT24" s="314">
        <f>+GR24-GS24</f>
        <v>0</v>
      </c>
      <c r="GU24" s="269"/>
      <c r="GV24" s="269"/>
      <c r="GW24" s="269"/>
      <c r="GX24" s="314">
        <f>+GV24-GW24</f>
        <v>0</v>
      </c>
      <c r="GY24" s="269"/>
      <c r="GZ24" s="269"/>
      <c r="HA24" s="269"/>
      <c r="HB24" s="314">
        <f>+GZ24-HA24</f>
        <v>0</v>
      </c>
      <c r="HC24" s="269"/>
      <c r="HD24" s="269"/>
      <c r="HE24" s="269"/>
      <c r="HF24" s="314">
        <f>+HD24-HE24</f>
        <v>0</v>
      </c>
      <c r="HG24" s="269"/>
      <c r="HH24" s="269"/>
      <c r="HI24" s="269"/>
      <c r="HJ24" s="314">
        <f>+HH24-HI24</f>
        <v>0</v>
      </c>
      <c r="HK24" s="269"/>
      <c r="HL24" s="269"/>
      <c r="HM24" s="269"/>
      <c r="HN24" s="314">
        <f>+HL24-HM24</f>
        <v>0</v>
      </c>
      <c r="HO24" s="269"/>
      <c r="HP24" s="269"/>
      <c r="HQ24" s="269"/>
      <c r="HR24" s="314">
        <f>+HP24-HQ24</f>
        <v>0</v>
      </c>
      <c r="HS24" s="269"/>
      <c r="HT24" s="269"/>
      <c r="HU24" s="269"/>
      <c r="HV24" s="314">
        <f>+HT24-HU24</f>
        <v>0</v>
      </c>
      <c r="HW24" s="269"/>
      <c r="HX24" s="269"/>
      <c r="HY24" s="269"/>
      <c r="HZ24" s="314">
        <f>+HX24-HY24</f>
        <v>0</v>
      </c>
      <c r="IA24" s="269"/>
      <c r="IB24" s="269"/>
      <c r="IC24" s="269"/>
      <c r="ID24" s="314">
        <f>+IB24-IC24</f>
        <v>0</v>
      </c>
      <c r="IE24" s="269"/>
      <c r="IF24" s="269"/>
      <c r="IG24" s="269"/>
      <c r="IH24" s="314">
        <f>+IF24-IG24</f>
        <v>0</v>
      </c>
      <c r="II24" s="269"/>
      <c r="IJ24" s="269"/>
      <c r="IK24" s="269"/>
      <c r="IL24" s="314">
        <f>+IJ24-IK24</f>
        <v>0</v>
      </c>
      <c r="IM24" s="269"/>
      <c r="IN24" s="269"/>
      <c r="IO24" s="269"/>
      <c r="IP24" s="314">
        <f>+IN24-IO24</f>
        <v>0</v>
      </c>
      <c r="IQ24" s="277">
        <f t="shared" si="5"/>
        <v>0</v>
      </c>
      <c r="IR24" s="277">
        <f t="shared" si="5"/>
        <v>0</v>
      </c>
      <c r="IS24" s="277">
        <f t="shared" si="5"/>
        <v>0</v>
      </c>
      <c r="IT24" s="277">
        <f t="shared" si="5"/>
        <v>0</v>
      </c>
    </row>
    <row r="25" spans="1:254" s="308" customFormat="1" ht="15" customHeight="1">
      <c r="A25" s="429">
        <v>460000</v>
      </c>
      <c r="B25" s="431" t="s">
        <v>1043</v>
      </c>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277"/>
      <c r="CC25" s="277"/>
      <c r="CD25" s="277"/>
      <c r="CE25" s="277"/>
      <c r="CF25" s="277"/>
      <c r="CG25" s="277"/>
      <c r="CH25" s="277"/>
      <c r="CI25" s="277"/>
      <c r="CJ25" s="277"/>
      <c r="CK25" s="277"/>
      <c r="CL25" s="277"/>
      <c r="CM25" s="277"/>
      <c r="CN25" s="277"/>
      <c r="CO25" s="277"/>
      <c r="CP25" s="277"/>
      <c r="CQ25" s="277"/>
      <c r="CR25" s="277"/>
      <c r="CS25" s="277"/>
      <c r="CT25" s="277"/>
      <c r="CU25" s="277"/>
      <c r="CV25" s="277"/>
      <c r="CW25" s="277"/>
      <c r="CX25" s="277"/>
      <c r="CY25" s="277"/>
      <c r="CZ25" s="277"/>
      <c r="DA25" s="277"/>
      <c r="DB25" s="277"/>
      <c r="DC25" s="277"/>
      <c r="DD25" s="277"/>
      <c r="DE25" s="277"/>
      <c r="DF25" s="277"/>
      <c r="DG25" s="277"/>
      <c r="DH25" s="277"/>
      <c r="DI25" s="277"/>
      <c r="DJ25" s="277"/>
      <c r="DK25" s="277"/>
      <c r="DL25" s="277"/>
      <c r="DM25" s="277"/>
      <c r="DN25" s="277"/>
      <c r="DO25" s="277"/>
      <c r="DP25" s="277"/>
      <c r="DQ25" s="277"/>
      <c r="DR25" s="277"/>
      <c r="DS25" s="277"/>
      <c r="DT25" s="277"/>
      <c r="DU25" s="277"/>
      <c r="DV25" s="277"/>
      <c r="DW25" s="277"/>
      <c r="DX25" s="277"/>
      <c r="DY25" s="277"/>
      <c r="DZ25" s="277"/>
      <c r="EA25" s="277"/>
      <c r="EB25" s="277"/>
      <c r="EC25" s="277"/>
      <c r="ED25" s="277"/>
      <c r="EE25" s="277"/>
      <c r="EF25" s="277"/>
      <c r="EG25" s="277"/>
      <c r="EH25" s="277"/>
      <c r="EI25" s="277"/>
      <c r="EJ25" s="277"/>
      <c r="EK25" s="277"/>
      <c r="EL25" s="277"/>
      <c r="EM25" s="277"/>
      <c r="EN25" s="277"/>
      <c r="EO25" s="277"/>
      <c r="EP25" s="277"/>
      <c r="EQ25" s="277"/>
      <c r="ER25" s="277"/>
      <c r="ES25" s="277"/>
      <c r="ET25" s="277"/>
      <c r="EU25" s="277"/>
      <c r="EV25" s="277"/>
      <c r="EW25" s="277"/>
      <c r="EX25" s="277"/>
      <c r="EY25" s="277"/>
      <c r="EZ25" s="277"/>
      <c r="FA25" s="277"/>
      <c r="FB25" s="277"/>
      <c r="FC25" s="277"/>
      <c r="FD25" s="277"/>
      <c r="FE25" s="277"/>
      <c r="FF25" s="277"/>
      <c r="FG25" s="277"/>
      <c r="FH25" s="277"/>
      <c r="FI25" s="277"/>
      <c r="FJ25" s="277"/>
      <c r="FK25" s="277"/>
      <c r="FL25" s="277"/>
      <c r="FM25" s="277"/>
      <c r="FN25" s="277"/>
      <c r="FO25" s="277"/>
      <c r="FP25" s="277"/>
      <c r="FQ25" s="277"/>
      <c r="FR25" s="277"/>
      <c r="FS25" s="277"/>
      <c r="FT25" s="277"/>
      <c r="FU25" s="277"/>
      <c r="FV25" s="277"/>
      <c r="FW25" s="277"/>
      <c r="FX25" s="277"/>
      <c r="FY25" s="277"/>
      <c r="FZ25" s="277"/>
      <c r="GA25" s="277"/>
      <c r="GB25" s="277"/>
      <c r="GC25" s="277"/>
      <c r="GD25" s="277"/>
      <c r="GE25" s="277"/>
      <c r="GF25" s="277"/>
      <c r="GG25" s="277"/>
      <c r="GH25" s="277"/>
      <c r="GI25" s="277"/>
      <c r="GJ25" s="277"/>
      <c r="GK25" s="277"/>
      <c r="GL25" s="277"/>
      <c r="GM25" s="277"/>
      <c r="GN25" s="277"/>
      <c r="GO25" s="277"/>
      <c r="GP25" s="277"/>
      <c r="GQ25" s="277"/>
      <c r="GR25" s="277"/>
      <c r="GS25" s="277"/>
      <c r="GT25" s="277"/>
      <c r="GU25" s="277"/>
      <c r="GV25" s="277"/>
      <c r="GW25" s="277"/>
      <c r="GX25" s="277"/>
      <c r="GY25" s="277"/>
      <c r="GZ25" s="277"/>
      <c r="HA25" s="277"/>
      <c r="HB25" s="277"/>
      <c r="HC25" s="277"/>
      <c r="HD25" s="277"/>
      <c r="HE25" s="277"/>
      <c r="HF25" s="277"/>
      <c r="HG25" s="277"/>
      <c r="HH25" s="277"/>
      <c r="HI25" s="277"/>
      <c r="HJ25" s="277"/>
      <c r="HK25" s="277"/>
      <c r="HL25" s="277"/>
      <c r="HM25" s="277"/>
      <c r="HN25" s="277"/>
      <c r="HO25" s="277"/>
      <c r="HP25" s="277"/>
      <c r="HQ25" s="277"/>
      <c r="HR25" s="277"/>
      <c r="HS25" s="277"/>
      <c r="HT25" s="277"/>
      <c r="HU25" s="277"/>
      <c r="HV25" s="277"/>
      <c r="HW25" s="277"/>
      <c r="HX25" s="277"/>
      <c r="HY25" s="277"/>
      <c r="HZ25" s="277"/>
      <c r="IA25" s="277"/>
      <c r="IB25" s="277"/>
      <c r="IC25" s="277"/>
      <c r="ID25" s="277"/>
      <c r="IE25" s="277"/>
      <c r="IF25" s="277"/>
      <c r="IG25" s="277"/>
      <c r="IH25" s="277"/>
      <c r="II25" s="277"/>
      <c r="IJ25" s="277"/>
      <c r="IK25" s="277"/>
      <c r="IL25" s="277"/>
      <c r="IM25" s="277"/>
      <c r="IN25" s="277"/>
      <c r="IO25" s="277"/>
      <c r="IP25" s="277"/>
      <c r="IQ25" s="277"/>
      <c r="IR25" s="277"/>
      <c r="IS25" s="277"/>
      <c r="IT25" s="277"/>
    </row>
    <row r="26" spans="1:254" ht="15" customHeight="1">
      <c r="A26" s="410">
        <v>100</v>
      </c>
      <c r="B26" s="263" t="s">
        <v>871</v>
      </c>
      <c r="C26" s="269">
        <v>1000</v>
      </c>
      <c r="D26" s="269">
        <v>1000</v>
      </c>
      <c r="E26" s="269">
        <v>806.53</v>
      </c>
      <c r="F26" s="314">
        <f t="shared" si="0"/>
        <v>193.47000000000003</v>
      </c>
      <c r="G26" s="269"/>
      <c r="H26" s="269"/>
      <c r="I26" s="269"/>
      <c r="J26" s="314">
        <f>+H26-I26</f>
        <v>0</v>
      </c>
      <c r="K26" s="269"/>
      <c r="L26" s="269"/>
      <c r="M26" s="269"/>
      <c r="N26" s="314">
        <f>+L26-M26</f>
        <v>0</v>
      </c>
      <c r="O26" s="269"/>
      <c r="P26" s="269"/>
      <c r="Q26" s="269"/>
      <c r="R26" s="314">
        <f>+P26-Q26</f>
        <v>0</v>
      </c>
      <c r="S26" s="269"/>
      <c r="T26" s="269"/>
      <c r="U26" s="269"/>
      <c r="V26" s="314">
        <f>+T26-U26</f>
        <v>0</v>
      </c>
      <c r="W26" s="269"/>
      <c r="X26" s="269"/>
      <c r="Y26" s="269"/>
      <c r="Z26" s="314">
        <f>+X26-Y26</f>
        <v>0</v>
      </c>
      <c r="AA26" s="269"/>
      <c r="AB26" s="269"/>
      <c r="AC26" s="269"/>
      <c r="AD26" s="314">
        <f>+AB26-AC26</f>
        <v>0</v>
      </c>
      <c r="AE26" s="269"/>
      <c r="AF26" s="269"/>
      <c r="AG26" s="269"/>
      <c r="AH26" s="314">
        <f>+AF26-AG26</f>
        <v>0</v>
      </c>
      <c r="AI26" s="269"/>
      <c r="AJ26" s="269"/>
      <c r="AK26" s="269"/>
      <c r="AL26" s="314">
        <f>+AJ26-AK26</f>
        <v>0</v>
      </c>
      <c r="AM26" s="269"/>
      <c r="AN26" s="269"/>
      <c r="AO26" s="269"/>
      <c r="AP26" s="314">
        <f>+AN26-AO26</f>
        <v>0</v>
      </c>
      <c r="AQ26" s="269"/>
      <c r="AR26" s="269"/>
      <c r="AS26" s="269"/>
      <c r="AT26" s="314">
        <f>+AR26-AS26</f>
        <v>0</v>
      </c>
      <c r="AU26" s="269"/>
      <c r="AV26" s="269"/>
      <c r="AW26" s="269"/>
      <c r="AX26" s="314">
        <f>+AV26-AW26</f>
        <v>0</v>
      </c>
      <c r="AY26" s="269"/>
      <c r="AZ26" s="269"/>
      <c r="BA26" s="269"/>
      <c r="BB26" s="314">
        <f>+AZ26-BA26</f>
        <v>0</v>
      </c>
      <c r="BC26" s="269"/>
      <c r="BD26" s="269"/>
      <c r="BE26" s="269"/>
      <c r="BF26" s="314">
        <f>+BD26-BE26</f>
        <v>0</v>
      </c>
      <c r="BG26" s="269"/>
      <c r="BH26" s="269"/>
      <c r="BI26" s="269"/>
      <c r="BJ26" s="314">
        <f>+BH26-BI26</f>
        <v>0</v>
      </c>
      <c r="BK26" s="269"/>
      <c r="BL26" s="269"/>
      <c r="BM26" s="269"/>
      <c r="BN26" s="314">
        <f>+BL26-BM26</f>
        <v>0</v>
      </c>
      <c r="BO26" s="269"/>
      <c r="BP26" s="269"/>
      <c r="BQ26" s="269"/>
      <c r="BR26" s="314">
        <f>+BP26-BQ26</f>
        <v>0</v>
      </c>
      <c r="BS26" s="269"/>
      <c r="BT26" s="269"/>
      <c r="BU26" s="269"/>
      <c r="BV26" s="314">
        <f>+BT26-BU26</f>
        <v>0</v>
      </c>
      <c r="BW26" s="269"/>
      <c r="BX26" s="269"/>
      <c r="BY26" s="269"/>
      <c r="BZ26" s="314">
        <f>+BX26-BY26</f>
        <v>0</v>
      </c>
      <c r="CA26" s="269"/>
      <c r="CB26" s="269"/>
      <c r="CC26" s="269"/>
      <c r="CD26" s="314">
        <f>+CB26-CC26</f>
        <v>0</v>
      </c>
      <c r="CE26" s="269"/>
      <c r="CF26" s="269"/>
      <c r="CG26" s="269"/>
      <c r="CH26" s="314">
        <f>+CF26-CG26</f>
        <v>0</v>
      </c>
      <c r="CI26" s="269"/>
      <c r="CJ26" s="269"/>
      <c r="CK26" s="269"/>
      <c r="CL26" s="314">
        <f>+CJ26-CK26</f>
        <v>0</v>
      </c>
      <c r="CM26" s="269"/>
      <c r="CN26" s="269"/>
      <c r="CO26" s="269"/>
      <c r="CP26" s="314">
        <f>+CN26-CO26</f>
        <v>0</v>
      </c>
      <c r="CQ26" s="269"/>
      <c r="CR26" s="269"/>
      <c r="CS26" s="269"/>
      <c r="CT26" s="314">
        <f>+CR26-CS26</f>
        <v>0</v>
      </c>
      <c r="CU26" s="269"/>
      <c r="CV26" s="269"/>
      <c r="CW26" s="269"/>
      <c r="CX26" s="314">
        <f>+CV26-CW26</f>
        <v>0</v>
      </c>
      <c r="CY26" s="269"/>
      <c r="CZ26" s="269"/>
      <c r="DA26" s="269"/>
      <c r="DB26" s="314">
        <f>+CZ26-DA26</f>
        <v>0</v>
      </c>
      <c r="DC26" s="269"/>
      <c r="DD26" s="269"/>
      <c r="DE26" s="269"/>
      <c r="DF26" s="314">
        <f>+DD26-DE26</f>
        <v>0</v>
      </c>
      <c r="DG26" s="269"/>
      <c r="DH26" s="269"/>
      <c r="DI26" s="269"/>
      <c r="DJ26" s="314">
        <f>+DH26-DI26</f>
        <v>0</v>
      </c>
      <c r="DK26" s="269"/>
      <c r="DL26" s="269"/>
      <c r="DM26" s="269"/>
      <c r="DN26" s="314">
        <f>+DL26-DM26</f>
        <v>0</v>
      </c>
      <c r="DO26" s="269"/>
      <c r="DP26" s="269"/>
      <c r="DQ26" s="269"/>
      <c r="DR26" s="314">
        <f>+DP26-DQ26</f>
        <v>0</v>
      </c>
      <c r="DS26" s="269"/>
      <c r="DT26" s="269"/>
      <c r="DU26" s="269"/>
      <c r="DV26" s="314">
        <f>+DT26-DU26</f>
        <v>0</v>
      </c>
      <c r="DW26" s="269"/>
      <c r="DX26" s="269"/>
      <c r="DY26" s="269"/>
      <c r="DZ26" s="314">
        <f>+DX26-DY26</f>
        <v>0</v>
      </c>
      <c r="EA26" s="269"/>
      <c r="EB26" s="269"/>
      <c r="EC26" s="269"/>
      <c r="ED26" s="314">
        <f>+EB26-EC26</f>
        <v>0</v>
      </c>
      <c r="EE26" s="269"/>
      <c r="EF26" s="269"/>
      <c r="EG26" s="269"/>
      <c r="EH26" s="314">
        <f>+EF26-EG26</f>
        <v>0</v>
      </c>
      <c r="EI26" s="269"/>
      <c r="EJ26" s="269"/>
      <c r="EK26" s="269"/>
      <c r="EL26" s="314">
        <f>+EJ26-EK26</f>
        <v>0</v>
      </c>
      <c r="EM26" s="269"/>
      <c r="EN26" s="269"/>
      <c r="EO26" s="269"/>
      <c r="EP26" s="314">
        <f>+EN26-EO26</f>
        <v>0</v>
      </c>
      <c r="EQ26" s="269"/>
      <c r="ER26" s="269"/>
      <c r="ES26" s="269"/>
      <c r="ET26" s="314">
        <f>+ER26-ES26</f>
        <v>0</v>
      </c>
      <c r="EU26" s="269"/>
      <c r="EV26" s="269"/>
      <c r="EW26" s="269"/>
      <c r="EX26" s="314">
        <f>+EV26-EW26</f>
        <v>0</v>
      </c>
      <c r="EY26" s="269"/>
      <c r="EZ26" s="269"/>
      <c r="FA26" s="269"/>
      <c r="FB26" s="314">
        <f>+EZ26-FA26</f>
        <v>0</v>
      </c>
      <c r="FC26" s="269"/>
      <c r="FD26" s="269"/>
      <c r="FE26" s="269"/>
      <c r="FF26" s="314">
        <f>+FD26-FE26</f>
        <v>0</v>
      </c>
      <c r="FG26" s="269"/>
      <c r="FH26" s="269"/>
      <c r="FI26" s="269"/>
      <c r="FJ26" s="314">
        <f>+FH26-FI26</f>
        <v>0</v>
      </c>
      <c r="FK26" s="269"/>
      <c r="FL26" s="269"/>
      <c r="FM26" s="269"/>
      <c r="FN26" s="314">
        <f>+FL26-FM26</f>
        <v>0</v>
      </c>
      <c r="FO26" s="269"/>
      <c r="FP26" s="269"/>
      <c r="FQ26" s="269"/>
      <c r="FR26" s="314">
        <f>+FP26-FQ26</f>
        <v>0</v>
      </c>
      <c r="FS26" s="269"/>
      <c r="FT26" s="269"/>
      <c r="FU26" s="269"/>
      <c r="FV26" s="314">
        <f>+FT26-FU26</f>
        <v>0</v>
      </c>
      <c r="FW26" s="269"/>
      <c r="FX26" s="269"/>
      <c r="FY26" s="269"/>
      <c r="FZ26" s="314">
        <f>+FX26-FY26</f>
        <v>0</v>
      </c>
      <c r="GA26" s="269"/>
      <c r="GB26" s="269"/>
      <c r="GC26" s="269"/>
      <c r="GD26" s="314">
        <f>+GB26-GC26</f>
        <v>0</v>
      </c>
      <c r="GE26" s="269"/>
      <c r="GF26" s="269"/>
      <c r="GG26" s="269"/>
      <c r="GH26" s="314">
        <f>+GF26-GG26</f>
        <v>0</v>
      </c>
      <c r="GI26" s="269"/>
      <c r="GJ26" s="269"/>
      <c r="GK26" s="269"/>
      <c r="GL26" s="314">
        <f>+GJ26-GK26</f>
        <v>0</v>
      </c>
      <c r="GM26" s="269"/>
      <c r="GN26" s="269"/>
      <c r="GO26" s="269"/>
      <c r="GP26" s="314">
        <f>+GN26-GO26</f>
        <v>0</v>
      </c>
      <c r="GQ26" s="269"/>
      <c r="GR26" s="269"/>
      <c r="GS26" s="269"/>
      <c r="GT26" s="314">
        <f>+GR26-GS26</f>
        <v>0</v>
      </c>
      <c r="GU26" s="269"/>
      <c r="GV26" s="269"/>
      <c r="GW26" s="269"/>
      <c r="GX26" s="314">
        <f>+GV26-GW26</f>
        <v>0</v>
      </c>
      <c r="GY26" s="269"/>
      <c r="GZ26" s="269"/>
      <c r="HA26" s="269"/>
      <c r="HB26" s="314">
        <f>+GZ26-HA26</f>
        <v>0</v>
      </c>
      <c r="HC26" s="269"/>
      <c r="HD26" s="269"/>
      <c r="HE26" s="269"/>
      <c r="HF26" s="314">
        <f>+HD26-HE26</f>
        <v>0</v>
      </c>
      <c r="HG26" s="269"/>
      <c r="HH26" s="269"/>
      <c r="HI26" s="269"/>
      <c r="HJ26" s="314">
        <f>+HH26-HI26</f>
        <v>0</v>
      </c>
      <c r="HK26" s="269"/>
      <c r="HL26" s="269"/>
      <c r="HM26" s="269"/>
      <c r="HN26" s="314">
        <f>+HL26-HM26</f>
        <v>0</v>
      </c>
      <c r="HO26" s="269"/>
      <c r="HP26" s="269"/>
      <c r="HQ26" s="269"/>
      <c r="HR26" s="314">
        <f>+HP26-HQ26</f>
        <v>0</v>
      </c>
      <c r="HS26" s="269"/>
      <c r="HT26" s="269"/>
      <c r="HU26" s="269"/>
      <c r="HV26" s="314">
        <f>+HT26-HU26</f>
        <v>0</v>
      </c>
      <c r="HW26" s="269"/>
      <c r="HX26" s="269"/>
      <c r="HY26" s="269"/>
      <c r="HZ26" s="314">
        <f>+HX26-HY26</f>
        <v>0</v>
      </c>
      <c r="IA26" s="269"/>
      <c r="IB26" s="269"/>
      <c r="IC26" s="269"/>
      <c r="ID26" s="314">
        <f>+IB26-IC26</f>
        <v>0</v>
      </c>
      <c r="IE26" s="269"/>
      <c r="IF26" s="269"/>
      <c r="IG26" s="269"/>
      <c r="IH26" s="314">
        <f>+IF26-IG26</f>
        <v>0</v>
      </c>
      <c r="II26" s="269"/>
      <c r="IJ26" s="269"/>
      <c r="IK26" s="269"/>
      <c r="IL26" s="314">
        <f>+IJ26-IK26</f>
        <v>0</v>
      </c>
      <c r="IM26" s="269"/>
      <c r="IN26" s="269"/>
      <c r="IO26" s="269"/>
      <c r="IP26" s="314">
        <f>+IN26-IO26</f>
        <v>0</v>
      </c>
      <c r="IQ26" s="277">
        <f t="shared" ref="IQ26:IT27" si="6">+C26+G26+K26+O26+S26+W26+AA26+AE26+AI26+AM26+AQ26+AU26+AY26+BC26+BG26+BK26+BO26+BS26+BW26+CA26+CE26+CI26+CM26+CQ26+CU26+CY26+DC26+DG26+DK26+DO26+DS26+DW26+EA26+EE26+EI26+EM26+EQ26+EU26+EY26+FC26+FG26+FK26+FO26+FS26+FW26+GA26+GE26+GI26+GM26+GQ26+GU26+GY26+HC26+HG26+HK26+HO26+HS26+HW26+IA26+IE26+II26+IM26</f>
        <v>1000</v>
      </c>
      <c r="IR26" s="277">
        <f t="shared" si="6"/>
        <v>1000</v>
      </c>
      <c r="IS26" s="277">
        <f t="shared" si="6"/>
        <v>806.53</v>
      </c>
      <c r="IT26" s="277">
        <f t="shared" si="6"/>
        <v>193.47000000000003</v>
      </c>
    </row>
    <row r="27" spans="1:254" ht="15" customHeight="1">
      <c r="A27" s="410" t="s">
        <v>191</v>
      </c>
      <c r="B27" s="263" t="s">
        <v>872</v>
      </c>
      <c r="C27" s="269"/>
      <c r="D27" s="269"/>
      <c r="E27" s="269"/>
      <c r="F27" s="314">
        <f t="shared" si="0"/>
        <v>0</v>
      </c>
      <c r="G27" s="269"/>
      <c r="H27" s="269"/>
      <c r="I27" s="269"/>
      <c r="J27" s="314">
        <f>+H27-I27</f>
        <v>0</v>
      </c>
      <c r="K27" s="269"/>
      <c r="L27" s="269"/>
      <c r="M27" s="269"/>
      <c r="N27" s="314">
        <f>+L27-M27</f>
        <v>0</v>
      </c>
      <c r="O27" s="269"/>
      <c r="P27" s="269"/>
      <c r="Q27" s="269"/>
      <c r="R27" s="314">
        <f>+P27-Q27</f>
        <v>0</v>
      </c>
      <c r="S27" s="269"/>
      <c r="T27" s="269"/>
      <c r="U27" s="269"/>
      <c r="V27" s="314">
        <f>+T27-U27</f>
        <v>0</v>
      </c>
      <c r="W27" s="269"/>
      <c r="X27" s="269"/>
      <c r="Y27" s="269"/>
      <c r="Z27" s="314">
        <f>+X27-Y27</f>
        <v>0</v>
      </c>
      <c r="AA27" s="269"/>
      <c r="AB27" s="269"/>
      <c r="AC27" s="269"/>
      <c r="AD27" s="314">
        <f>+AB27-AC27</f>
        <v>0</v>
      </c>
      <c r="AE27" s="269"/>
      <c r="AF27" s="269"/>
      <c r="AG27" s="269"/>
      <c r="AH27" s="314">
        <f>+AF27-AG27</f>
        <v>0</v>
      </c>
      <c r="AI27" s="269"/>
      <c r="AJ27" s="269"/>
      <c r="AK27" s="269"/>
      <c r="AL27" s="314">
        <f>+AJ27-AK27</f>
        <v>0</v>
      </c>
      <c r="AM27" s="269"/>
      <c r="AN27" s="269"/>
      <c r="AO27" s="269"/>
      <c r="AP27" s="314">
        <f>+AN27-AO27</f>
        <v>0</v>
      </c>
      <c r="AQ27" s="269"/>
      <c r="AR27" s="269"/>
      <c r="AS27" s="269"/>
      <c r="AT27" s="314">
        <f>+AR27-AS27</f>
        <v>0</v>
      </c>
      <c r="AU27" s="269"/>
      <c r="AV27" s="269"/>
      <c r="AW27" s="269"/>
      <c r="AX27" s="314">
        <f>+AV27-AW27</f>
        <v>0</v>
      </c>
      <c r="AY27" s="269"/>
      <c r="AZ27" s="269"/>
      <c r="BA27" s="269"/>
      <c r="BB27" s="314">
        <f>+AZ27-BA27</f>
        <v>0</v>
      </c>
      <c r="BC27" s="269"/>
      <c r="BD27" s="269"/>
      <c r="BE27" s="269"/>
      <c r="BF27" s="314">
        <f>+BD27-BE27</f>
        <v>0</v>
      </c>
      <c r="BG27" s="269"/>
      <c r="BH27" s="269"/>
      <c r="BI27" s="269"/>
      <c r="BJ27" s="314">
        <f>+BH27-BI27</f>
        <v>0</v>
      </c>
      <c r="BK27" s="269"/>
      <c r="BL27" s="269"/>
      <c r="BM27" s="269"/>
      <c r="BN27" s="314">
        <f>+BL27-BM27</f>
        <v>0</v>
      </c>
      <c r="BO27" s="269"/>
      <c r="BP27" s="269"/>
      <c r="BQ27" s="269"/>
      <c r="BR27" s="314">
        <f>+BP27-BQ27</f>
        <v>0</v>
      </c>
      <c r="BS27" s="269"/>
      <c r="BT27" s="269"/>
      <c r="BU27" s="269"/>
      <c r="BV27" s="314">
        <f>+BT27-BU27</f>
        <v>0</v>
      </c>
      <c r="BW27" s="269"/>
      <c r="BX27" s="269"/>
      <c r="BY27" s="269"/>
      <c r="BZ27" s="314">
        <f>+BX27-BY27</f>
        <v>0</v>
      </c>
      <c r="CA27" s="269"/>
      <c r="CB27" s="269"/>
      <c r="CC27" s="269"/>
      <c r="CD27" s="314">
        <f>+CB27-CC27</f>
        <v>0</v>
      </c>
      <c r="CE27" s="269"/>
      <c r="CF27" s="269"/>
      <c r="CG27" s="269"/>
      <c r="CH27" s="314">
        <f>+CF27-CG27</f>
        <v>0</v>
      </c>
      <c r="CI27" s="269"/>
      <c r="CJ27" s="269"/>
      <c r="CK27" s="269"/>
      <c r="CL27" s="314">
        <f>+CJ27-CK27</f>
        <v>0</v>
      </c>
      <c r="CM27" s="269"/>
      <c r="CN27" s="269"/>
      <c r="CO27" s="269"/>
      <c r="CP27" s="314">
        <f>+CN27-CO27</f>
        <v>0</v>
      </c>
      <c r="CQ27" s="269"/>
      <c r="CR27" s="269"/>
      <c r="CS27" s="269"/>
      <c r="CT27" s="314">
        <f>+CR27-CS27</f>
        <v>0</v>
      </c>
      <c r="CU27" s="269"/>
      <c r="CV27" s="269"/>
      <c r="CW27" s="269"/>
      <c r="CX27" s="314">
        <f>+CV27-CW27</f>
        <v>0</v>
      </c>
      <c r="CY27" s="269"/>
      <c r="CZ27" s="269"/>
      <c r="DA27" s="269"/>
      <c r="DB27" s="314">
        <f>+CZ27-DA27</f>
        <v>0</v>
      </c>
      <c r="DC27" s="269"/>
      <c r="DD27" s="269"/>
      <c r="DE27" s="269"/>
      <c r="DF27" s="314">
        <f>+DD27-DE27</f>
        <v>0</v>
      </c>
      <c r="DG27" s="269"/>
      <c r="DH27" s="269"/>
      <c r="DI27" s="269"/>
      <c r="DJ27" s="314">
        <f>+DH27-DI27</f>
        <v>0</v>
      </c>
      <c r="DK27" s="269"/>
      <c r="DL27" s="269"/>
      <c r="DM27" s="269"/>
      <c r="DN27" s="314">
        <f>+DL27-DM27</f>
        <v>0</v>
      </c>
      <c r="DO27" s="269"/>
      <c r="DP27" s="269"/>
      <c r="DQ27" s="269"/>
      <c r="DR27" s="314">
        <f>+DP27-DQ27</f>
        <v>0</v>
      </c>
      <c r="DS27" s="269"/>
      <c r="DT27" s="269"/>
      <c r="DU27" s="269"/>
      <c r="DV27" s="314">
        <f>+DT27-DU27</f>
        <v>0</v>
      </c>
      <c r="DW27" s="269"/>
      <c r="DX27" s="269"/>
      <c r="DY27" s="269"/>
      <c r="DZ27" s="314">
        <f>+DX27-DY27</f>
        <v>0</v>
      </c>
      <c r="EA27" s="269"/>
      <c r="EB27" s="269"/>
      <c r="EC27" s="269"/>
      <c r="ED27" s="314">
        <f>+EB27-EC27</f>
        <v>0</v>
      </c>
      <c r="EE27" s="269"/>
      <c r="EF27" s="269"/>
      <c r="EG27" s="269"/>
      <c r="EH27" s="314">
        <f>+EF27-EG27</f>
        <v>0</v>
      </c>
      <c r="EI27" s="269"/>
      <c r="EJ27" s="269"/>
      <c r="EK27" s="269"/>
      <c r="EL27" s="314">
        <f>+EJ27-EK27</f>
        <v>0</v>
      </c>
      <c r="EM27" s="269"/>
      <c r="EN27" s="269"/>
      <c r="EO27" s="269"/>
      <c r="EP27" s="314">
        <f>+EN27-EO27</f>
        <v>0</v>
      </c>
      <c r="EQ27" s="269"/>
      <c r="ER27" s="269"/>
      <c r="ES27" s="269"/>
      <c r="ET27" s="314">
        <f>+ER27-ES27</f>
        <v>0</v>
      </c>
      <c r="EU27" s="269"/>
      <c r="EV27" s="269"/>
      <c r="EW27" s="269"/>
      <c r="EX27" s="314">
        <f>+EV27-EW27</f>
        <v>0</v>
      </c>
      <c r="EY27" s="269"/>
      <c r="EZ27" s="269"/>
      <c r="FA27" s="269"/>
      <c r="FB27" s="314">
        <f>+EZ27-FA27</f>
        <v>0</v>
      </c>
      <c r="FC27" s="269"/>
      <c r="FD27" s="269"/>
      <c r="FE27" s="269"/>
      <c r="FF27" s="314">
        <f>+FD27-FE27</f>
        <v>0</v>
      </c>
      <c r="FG27" s="269"/>
      <c r="FH27" s="269"/>
      <c r="FI27" s="269"/>
      <c r="FJ27" s="314">
        <f>+FH27-FI27</f>
        <v>0</v>
      </c>
      <c r="FK27" s="269"/>
      <c r="FL27" s="269"/>
      <c r="FM27" s="269"/>
      <c r="FN27" s="314">
        <f>+FL27-FM27</f>
        <v>0</v>
      </c>
      <c r="FO27" s="269"/>
      <c r="FP27" s="269"/>
      <c r="FQ27" s="269"/>
      <c r="FR27" s="314">
        <f>+FP27-FQ27</f>
        <v>0</v>
      </c>
      <c r="FS27" s="269"/>
      <c r="FT27" s="269"/>
      <c r="FU27" s="269"/>
      <c r="FV27" s="314">
        <f>+FT27-FU27</f>
        <v>0</v>
      </c>
      <c r="FW27" s="269"/>
      <c r="FX27" s="269"/>
      <c r="FY27" s="269"/>
      <c r="FZ27" s="314">
        <f>+FX27-FY27</f>
        <v>0</v>
      </c>
      <c r="GA27" s="269"/>
      <c r="GB27" s="269"/>
      <c r="GC27" s="269"/>
      <c r="GD27" s="314">
        <f>+GB27-GC27</f>
        <v>0</v>
      </c>
      <c r="GE27" s="269"/>
      <c r="GF27" s="269"/>
      <c r="GG27" s="269"/>
      <c r="GH27" s="314">
        <f>+GF27-GG27</f>
        <v>0</v>
      </c>
      <c r="GI27" s="269"/>
      <c r="GJ27" s="269"/>
      <c r="GK27" s="269"/>
      <c r="GL27" s="314">
        <f>+GJ27-GK27</f>
        <v>0</v>
      </c>
      <c r="GM27" s="269"/>
      <c r="GN27" s="269"/>
      <c r="GO27" s="269"/>
      <c r="GP27" s="314">
        <f>+GN27-GO27</f>
        <v>0</v>
      </c>
      <c r="GQ27" s="269"/>
      <c r="GR27" s="269"/>
      <c r="GS27" s="269"/>
      <c r="GT27" s="314">
        <f>+GR27-GS27</f>
        <v>0</v>
      </c>
      <c r="GU27" s="269"/>
      <c r="GV27" s="269"/>
      <c r="GW27" s="269"/>
      <c r="GX27" s="314">
        <f>+GV27-GW27</f>
        <v>0</v>
      </c>
      <c r="GY27" s="269"/>
      <c r="GZ27" s="269"/>
      <c r="HA27" s="269"/>
      <c r="HB27" s="314">
        <f>+GZ27-HA27</f>
        <v>0</v>
      </c>
      <c r="HC27" s="269"/>
      <c r="HD27" s="269"/>
      <c r="HE27" s="269"/>
      <c r="HF27" s="314">
        <f>+HD27-HE27</f>
        <v>0</v>
      </c>
      <c r="HG27" s="269"/>
      <c r="HH27" s="269"/>
      <c r="HI27" s="269"/>
      <c r="HJ27" s="314">
        <f>+HH27-HI27</f>
        <v>0</v>
      </c>
      <c r="HK27" s="269"/>
      <c r="HL27" s="269"/>
      <c r="HM27" s="269"/>
      <c r="HN27" s="314">
        <f>+HL27-HM27</f>
        <v>0</v>
      </c>
      <c r="HO27" s="269"/>
      <c r="HP27" s="269"/>
      <c r="HQ27" s="269"/>
      <c r="HR27" s="314">
        <f>+HP27-HQ27</f>
        <v>0</v>
      </c>
      <c r="HS27" s="269"/>
      <c r="HT27" s="269"/>
      <c r="HU27" s="269"/>
      <c r="HV27" s="314">
        <f>+HT27-HU27</f>
        <v>0</v>
      </c>
      <c r="HW27" s="269"/>
      <c r="HX27" s="269"/>
      <c r="HY27" s="269"/>
      <c r="HZ27" s="314">
        <f>+HX27-HY27</f>
        <v>0</v>
      </c>
      <c r="IA27" s="269"/>
      <c r="IB27" s="269"/>
      <c r="IC27" s="269"/>
      <c r="ID27" s="314">
        <f>+IB27-IC27</f>
        <v>0</v>
      </c>
      <c r="IE27" s="269"/>
      <c r="IF27" s="269"/>
      <c r="IG27" s="269"/>
      <c r="IH27" s="314">
        <f>+IF27-IG27</f>
        <v>0</v>
      </c>
      <c r="II27" s="269"/>
      <c r="IJ27" s="269"/>
      <c r="IK27" s="269"/>
      <c r="IL27" s="314">
        <f>+IJ27-IK27</f>
        <v>0</v>
      </c>
      <c r="IM27" s="269"/>
      <c r="IN27" s="269"/>
      <c r="IO27" s="269"/>
      <c r="IP27" s="314">
        <f>+IN27-IO27</f>
        <v>0</v>
      </c>
      <c r="IQ27" s="277">
        <f t="shared" si="6"/>
        <v>0</v>
      </c>
      <c r="IR27" s="277">
        <f t="shared" si="6"/>
        <v>0</v>
      </c>
      <c r="IS27" s="277">
        <f t="shared" si="6"/>
        <v>0</v>
      </c>
      <c r="IT27" s="277">
        <f t="shared" si="6"/>
        <v>0</v>
      </c>
    </row>
    <row r="28" spans="1:254" s="308" customFormat="1" ht="15" customHeight="1">
      <c r="A28" s="429">
        <v>470000</v>
      </c>
      <c r="B28" s="431" t="s">
        <v>1044</v>
      </c>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c r="BZ28" s="277"/>
      <c r="CA28" s="277"/>
      <c r="CB28" s="277"/>
      <c r="CC28" s="277"/>
      <c r="CD28" s="277"/>
      <c r="CE28" s="277"/>
      <c r="CF28" s="277"/>
      <c r="CG28" s="277"/>
      <c r="CH28" s="277"/>
      <c r="CI28" s="277"/>
      <c r="CJ28" s="277"/>
      <c r="CK28" s="277"/>
      <c r="CL28" s="277"/>
      <c r="CM28" s="277"/>
      <c r="CN28" s="277"/>
      <c r="CO28" s="277"/>
      <c r="CP28" s="277"/>
      <c r="CQ28" s="277"/>
      <c r="CR28" s="277"/>
      <c r="CS28" s="277"/>
      <c r="CT28" s="277"/>
      <c r="CU28" s="277"/>
      <c r="CV28" s="277"/>
      <c r="CW28" s="277"/>
      <c r="CX28" s="277"/>
      <c r="CY28" s="277"/>
      <c r="CZ28" s="277"/>
      <c r="DA28" s="277"/>
      <c r="DB28" s="277"/>
      <c r="DC28" s="277"/>
      <c r="DD28" s="277"/>
      <c r="DE28" s="277"/>
      <c r="DF28" s="277"/>
      <c r="DG28" s="277"/>
      <c r="DH28" s="277"/>
      <c r="DI28" s="277"/>
      <c r="DJ28" s="277"/>
      <c r="DK28" s="277"/>
      <c r="DL28" s="277"/>
      <c r="DM28" s="277"/>
      <c r="DN28" s="277"/>
      <c r="DO28" s="277"/>
      <c r="DP28" s="277"/>
      <c r="DQ28" s="277"/>
      <c r="DR28" s="277"/>
      <c r="DS28" s="277"/>
      <c r="DT28" s="277"/>
      <c r="DU28" s="277"/>
      <c r="DV28" s="277"/>
      <c r="DW28" s="277"/>
      <c r="DX28" s="277"/>
      <c r="DY28" s="277"/>
      <c r="DZ28" s="277"/>
      <c r="EA28" s="277"/>
      <c r="EB28" s="277"/>
      <c r="EC28" s="277"/>
      <c r="ED28" s="277"/>
      <c r="EE28" s="277"/>
      <c r="EF28" s="277"/>
      <c r="EG28" s="277"/>
      <c r="EH28" s="277"/>
      <c r="EI28" s="277"/>
      <c r="EJ28" s="277"/>
      <c r="EK28" s="277"/>
      <c r="EL28" s="277"/>
      <c r="EM28" s="277"/>
      <c r="EN28" s="277"/>
      <c r="EO28" s="277"/>
      <c r="EP28" s="277"/>
      <c r="EQ28" s="277"/>
      <c r="ER28" s="277"/>
      <c r="ES28" s="277"/>
      <c r="ET28" s="277"/>
      <c r="EU28" s="277"/>
      <c r="EV28" s="277"/>
      <c r="EW28" s="277"/>
      <c r="EX28" s="277"/>
      <c r="EY28" s="277"/>
      <c r="EZ28" s="277"/>
      <c r="FA28" s="277"/>
      <c r="FB28" s="277"/>
      <c r="FC28" s="277"/>
      <c r="FD28" s="277"/>
      <c r="FE28" s="277"/>
      <c r="FF28" s="277"/>
      <c r="FG28" s="277"/>
      <c r="FH28" s="277"/>
      <c r="FI28" s="277"/>
      <c r="FJ28" s="277"/>
      <c r="FK28" s="277"/>
      <c r="FL28" s="277"/>
      <c r="FM28" s="277"/>
      <c r="FN28" s="277"/>
      <c r="FO28" s="277"/>
      <c r="FP28" s="277"/>
      <c r="FQ28" s="277"/>
      <c r="FR28" s="277"/>
      <c r="FS28" s="277"/>
      <c r="FT28" s="277"/>
      <c r="FU28" s="277"/>
      <c r="FV28" s="277"/>
      <c r="FW28" s="277"/>
      <c r="FX28" s="277"/>
      <c r="FY28" s="277"/>
      <c r="FZ28" s="277"/>
      <c r="GA28" s="277"/>
      <c r="GB28" s="277"/>
      <c r="GC28" s="277"/>
      <c r="GD28" s="277"/>
      <c r="GE28" s="277"/>
      <c r="GF28" s="277"/>
      <c r="GG28" s="277"/>
      <c r="GH28" s="277"/>
      <c r="GI28" s="277"/>
      <c r="GJ28" s="277"/>
      <c r="GK28" s="277"/>
      <c r="GL28" s="277"/>
      <c r="GM28" s="277"/>
      <c r="GN28" s="277"/>
      <c r="GO28" s="277"/>
      <c r="GP28" s="277"/>
      <c r="GQ28" s="277"/>
      <c r="GR28" s="277"/>
      <c r="GS28" s="277"/>
      <c r="GT28" s="277"/>
      <c r="GU28" s="277"/>
      <c r="GV28" s="277"/>
      <c r="GW28" s="277"/>
      <c r="GX28" s="277"/>
      <c r="GY28" s="277"/>
      <c r="GZ28" s="277"/>
      <c r="HA28" s="277"/>
      <c r="HB28" s="277"/>
      <c r="HC28" s="277"/>
      <c r="HD28" s="277"/>
      <c r="HE28" s="277"/>
      <c r="HF28" s="277"/>
      <c r="HG28" s="277"/>
      <c r="HH28" s="277"/>
      <c r="HI28" s="277"/>
      <c r="HJ28" s="277"/>
      <c r="HK28" s="277"/>
      <c r="HL28" s="277"/>
      <c r="HM28" s="277"/>
      <c r="HN28" s="277"/>
      <c r="HO28" s="277"/>
      <c r="HP28" s="277"/>
      <c r="HQ28" s="277"/>
      <c r="HR28" s="277"/>
      <c r="HS28" s="277"/>
      <c r="HT28" s="277"/>
      <c r="HU28" s="277"/>
      <c r="HV28" s="277"/>
      <c r="HW28" s="277"/>
      <c r="HX28" s="277"/>
      <c r="HY28" s="277"/>
      <c r="HZ28" s="277"/>
      <c r="IA28" s="277"/>
      <c r="IB28" s="277"/>
      <c r="IC28" s="277"/>
      <c r="ID28" s="277"/>
      <c r="IE28" s="277"/>
      <c r="IF28" s="277"/>
      <c r="IG28" s="277"/>
      <c r="IH28" s="277"/>
      <c r="II28" s="277"/>
      <c r="IJ28" s="277"/>
      <c r="IK28" s="277"/>
      <c r="IL28" s="277"/>
      <c r="IM28" s="277"/>
      <c r="IN28" s="277"/>
      <c r="IO28" s="277"/>
      <c r="IP28" s="277"/>
      <c r="IQ28" s="277"/>
      <c r="IR28" s="277"/>
      <c r="IS28" s="277"/>
      <c r="IT28" s="277"/>
    </row>
    <row r="29" spans="1:254" ht="15" customHeight="1">
      <c r="A29" s="410">
        <v>100</v>
      </c>
      <c r="B29" s="263" t="s">
        <v>871</v>
      </c>
      <c r="C29" s="269"/>
      <c r="D29" s="269"/>
      <c r="E29" s="269"/>
      <c r="F29" s="314">
        <f t="shared" si="0"/>
        <v>0</v>
      </c>
      <c r="G29" s="269"/>
      <c r="H29" s="269"/>
      <c r="I29" s="269"/>
      <c r="J29" s="314">
        <f>+H29-I29</f>
        <v>0</v>
      </c>
      <c r="K29" s="269"/>
      <c r="L29" s="269"/>
      <c r="M29" s="269"/>
      <c r="N29" s="314">
        <f>+L29-M29</f>
        <v>0</v>
      </c>
      <c r="O29" s="269"/>
      <c r="P29" s="269"/>
      <c r="Q29" s="269"/>
      <c r="R29" s="314">
        <f>+P29-Q29</f>
        <v>0</v>
      </c>
      <c r="S29" s="269"/>
      <c r="T29" s="269"/>
      <c r="U29" s="269"/>
      <c r="V29" s="314">
        <f>+T29-U29</f>
        <v>0</v>
      </c>
      <c r="W29" s="269"/>
      <c r="X29" s="269"/>
      <c r="Y29" s="269"/>
      <c r="Z29" s="314">
        <f>+X29-Y29</f>
        <v>0</v>
      </c>
      <c r="AA29" s="269"/>
      <c r="AB29" s="269"/>
      <c r="AC29" s="269"/>
      <c r="AD29" s="314">
        <f>+AB29-AC29</f>
        <v>0</v>
      </c>
      <c r="AE29" s="269"/>
      <c r="AF29" s="269"/>
      <c r="AG29" s="269"/>
      <c r="AH29" s="314">
        <f>+AF29-AG29</f>
        <v>0</v>
      </c>
      <c r="AI29" s="269"/>
      <c r="AJ29" s="269"/>
      <c r="AK29" s="269"/>
      <c r="AL29" s="314">
        <f>+AJ29-AK29</f>
        <v>0</v>
      </c>
      <c r="AM29" s="269"/>
      <c r="AN29" s="269"/>
      <c r="AO29" s="269"/>
      <c r="AP29" s="314">
        <f>+AN29-AO29</f>
        <v>0</v>
      </c>
      <c r="AQ29" s="269"/>
      <c r="AR29" s="269"/>
      <c r="AS29" s="269"/>
      <c r="AT29" s="314">
        <f>+AR29-AS29</f>
        <v>0</v>
      </c>
      <c r="AU29" s="269"/>
      <c r="AV29" s="269"/>
      <c r="AW29" s="269"/>
      <c r="AX29" s="314">
        <f>+AV29-AW29</f>
        <v>0</v>
      </c>
      <c r="AY29" s="269"/>
      <c r="AZ29" s="269"/>
      <c r="BA29" s="269"/>
      <c r="BB29" s="314">
        <f>+AZ29-BA29</f>
        <v>0</v>
      </c>
      <c r="BC29" s="269"/>
      <c r="BD29" s="269"/>
      <c r="BE29" s="269"/>
      <c r="BF29" s="314">
        <f>+BD29-BE29</f>
        <v>0</v>
      </c>
      <c r="BG29" s="269"/>
      <c r="BH29" s="269"/>
      <c r="BI29" s="269"/>
      <c r="BJ29" s="314">
        <f>+BH29-BI29</f>
        <v>0</v>
      </c>
      <c r="BK29" s="269"/>
      <c r="BL29" s="269"/>
      <c r="BM29" s="269"/>
      <c r="BN29" s="314">
        <f>+BL29-BM29</f>
        <v>0</v>
      </c>
      <c r="BO29" s="269"/>
      <c r="BP29" s="269"/>
      <c r="BQ29" s="269"/>
      <c r="BR29" s="314">
        <f>+BP29-BQ29</f>
        <v>0</v>
      </c>
      <c r="BS29" s="269"/>
      <c r="BT29" s="269"/>
      <c r="BU29" s="269"/>
      <c r="BV29" s="314">
        <f>+BT29-BU29</f>
        <v>0</v>
      </c>
      <c r="BW29" s="269"/>
      <c r="BX29" s="269"/>
      <c r="BY29" s="269"/>
      <c r="BZ29" s="314">
        <f>+BX29-BY29</f>
        <v>0</v>
      </c>
      <c r="CA29" s="269"/>
      <c r="CB29" s="269"/>
      <c r="CC29" s="269"/>
      <c r="CD29" s="314">
        <f>+CB29-CC29</f>
        <v>0</v>
      </c>
      <c r="CE29" s="269"/>
      <c r="CF29" s="269"/>
      <c r="CG29" s="269"/>
      <c r="CH29" s="314">
        <f>+CF29-CG29</f>
        <v>0</v>
      </c>
      <c r="CI29" s="269"/>
      <c r="CJ29" s="269"/>
      <c r="CK29" s="269"/>
      <c r="CL29" s="314">
        <f>+CJ29-CK29</f>
        <v>0</v>
      </c>
      <c r="CM29" s="269"/>
      <c r="CN29" s="269"/>
      <c r="CO29" s="269"/>
      <c r="CP29" s="314">
        <f>+CN29-CO29</f>
        <v>0</v>
      </c>
      <c r="CQ29" s="269"/>
      <c r="CR29" s="269"/>
      <c r="CS29" s="269"/>
      <c r="CT29" s="314">
        <f>+CR29-CS29</f>
        <v>0</v>
      </c>
      <c r="CU29" s="269"/>
      <c r="CV29" s="269"/>
      <c r="CW29" s="269"/>
      <c r="CX29" s="314">
        <f>+CV29-CW29</f>
        <v>0</v>
      </c>
      <c r="CY29" s="269"/>
      <c r="CZ29" s="269"/>
      <c r="DA29" s="269"/>
      <c r="DB29" s="314">
        <f>+CZ29-DA29</f>
        <v>0</v>
      </c>
      <c r="DC29" s="269"/>
      <c r="DD29" s="269"/>
      <c r="DE29" s="269"/>
      <c r="DF29" s="314">
        <f>+DD29-DE29</f>
        <v>0</v>
      </c>
      <c r="DG29" s="269"/>
      <c r="DH29" s="269"/>
      <c r="DI29" s="269"/>
      <c r="DJ29" s="314">
        <f>+DH29-DI29</f>
        <v>0</v>
      </c>
      <c r="DK29" s="269"/>
      <c r="DL29" s="269"/>
      <c r="DM29" s="269"/>
      <c r="DN29" s="314">
        <f>+DL29-DM29</f>
        <v>0</v>
      </c>
      <c r="DO29" s="269"/>
      <c r="DP29" s="269"/>
      <c r="DQ29" s="269"/>
      <c r="DR29" s="314">
        <f>+DP29-DQ29</f>
        <v>0</v>
      </c>
      <c r="DS29" s="269"/>
      <c r="DT29" s="269"/>
      <c r="DU29" s="269"/>
      <c r="DV29" s="314">
        <f>+DT29-DU29</f>
        <v>0</v>
      </c>
      <c r="DW29" s="269"/>
      <c r="DX29" s="269"/>
      <c r="DY29" s="269"/>
      <c r="DZ29" s="314">
        <f>+DX29-DY29</f>
        <v>0</v>
      </c>
      <c r="EA29" s="269"/>
      <c r="EB29" s="269"/>
      <c r="EC29" s="269"/>
      <c r="ED29" s="314">
        <f>+EB29-EC29</f>
        <v>0</v>
      </c>
      <c r="EE29" s="269"/>
      <c r="EF29" s="269"/>
      <c r="EG29" s="269"/>
      <c r="EH29" s="314">
        <f>+EF29-EG29</f>
        <v>0</v>
      </c>
      <c r="EI29" s="269"/>
      <c r="EJ29" s="269"/>
      <c r="EK29" s="269"/>
      <c r="EL29" s="314">
        <f>+EJ29-EK29</f>
        <v>0</v>
      </c>
      <c r="EM29" s="269"/>
      <c r="EN29" s="269"/>
      <c r="EO29" s="269"/>
      <c r="EP29" s="314">
        <f>+EN29-EO29</f>
        <v>0</v>
      </c>
      <c r="EQ29" s="269"/>
      <c r="ER29" s="269"/>
      <c r="ES29" s="269"/>
      <c r="ET29" s="314">
        <f>+ER29-ES29</f>
        <v>0</v>
      </c>
      <c r="EU29" s="269"/>
      <c r="EV29" s="269"/>
      <c r="EW29" s="269"/>
      <c r="EX29" s="314">
        <f>+EV29-EW29</f>
        <v>0</v>
      </c>
      <c r="EY29" s="269"/>
      <c r="EZ29" s="269"/>
      <c r="FA29" s="269"/>
      <c r="FB29" s="314">
        <f>+EZ29-FA29</f>
        <v>0</v>
      </c>
      <c r="FC29" s="269"/>
      <c r="FD29" s="269"/>
      <c r="FE29" s="269"/>
      <c r="FF29" s="314">
        <f>+FD29-FE29</f>
        <v>0</v>
      </c>
      <c r="FG29" s="269"/>
      <c r="FH29" s="269"/>
      <c r="FI29" s="269"/>
      <c r="FJ29" s="314">
        <f>+FH29-FI29</f>
        <v>0</v>
      </c>
      <c r="FK29" s="269"/>
      <c r="FL29" s="269"/>
      <c r="FM29" s="269"/>
      <c r="FN29" s="314">
        <f>+FL29-FM29</f>
        <v>0</v>
      </c>
      <c r="FO29" s="269"/>
      <c r="FP29" s="269"/>
      <c r="FQ29" s="269"/>
      <c r="FR29" s="314">
        <f>+FP29-FQ29</f>
        <v>0</v>
      </c>
      <c r="FS29" s="269"/>
      <c r="FT29" s="269"/>
      <c r="FU29" s="269"/>
      <c r="FV29" s="314">
        <f>+FT29-FU29</f>
        <v>0</v>
      </c>
      <c r="FW29" s="269"/>
      <c r="FX29" s="269"/>
      <c r="FY29" s="269"/>
      <c r="FZ29" s="314">
        <f>+FX29-FY29</f>
        <v>0</v>
      </c>
      <c r="GA29" s="269"/>
      <c r="GB29" s="269"/>
      <c r="GC29" s="269"/>
      <c r="GD29" s="314">
        <f>+GB29-GC29</f>
        <v>0</v>
      </c>
      <c r="GE29" s="269"/>
      <c r="GF29" s="269"/>
      <c r="GG29" s="269"/>
      <c r="GH29" s="314">
        <f>+GF29-GG29</f>
        <v>0</v>
      </c>
      <c r="GI29" s="269"/>
      <c r="GJ29" s="269"/>
      <c r="GK29" s="269"/>
      <c r="GL29" s="314">
        <f>+GJ29-GK29</f>
        <v>0</v>
      </c>
      <c r="GM29" s="269"/>
      <c r="GN29" s="269"/>
      <c r="GO29" s="269"/>
      <c r="GP29" s="314">
        <f>+GN29-GO29</f>
        <v>0</v>
      </c>
      <c r="GQ29" s="269"/>
      <c r="GR29" s="269"/>
      <c r="GS29" s="269"/>
      <c r="GT29" s="314">
        <f>+GR29-GS29</f>
        <v>0</v>
      </c>
      <c r="GU29" s="269"/>
      <c r="GV29" s="269"/>
      <c r="GW29" s="269"/>
      <c r="GX29" s="314">
        <f>+GV29-GW29</f>
        <v>0</v>
      </c>
      <c r="GY29" s="269"/>
      <c r="GZ29" s="269"/>
      <c r="HA29" s="269"/>
      <c r="HB29" s="314">
        <f>+GZ29-HA29</f>
        <v>0</v>
      </c>
      <c r="HC29" s="269"/>
      <c r="HD29" s="269"/>
      <c r="HE29" s="269"/>
      <c r="HF29" s="314">
        <f>+HD29-HE29</f>
        <v>0</v>
      </c>
      <c r="HG29" s="269"/>
      <c r="HH29" s="269"/>
      <c r="HI29" s="269"/>
      <c r="HJ29" s="314">
        <f>+HH29-HI29</f>
        <v>0</v>
      </c>
      <c r="HK29" s="269"/>
      <c r="HL29" s="269"/>
      <c r="HM29" s="269"/>
      <c r="HN29" s="314">
        <f>+HL29-HM29</f>
        <v>0</v>
      </c>
      <c r="HO29" s="269"/>
      <c r="HP29" s="269"/>
      <c r="HQ29" s="269"/>
      <c r="HR29" s="314">
        <f>+HP29-HQ29</f>
        <v>0</v>
      </c>
      <c r="HS29" s="269"/>
      <c r="HT29" s="269"/>
      <c r="HU29" s="269"/>
      <c r="HV29" s="314">
        <f>+HT29-HU29</f>
        <v>0</v>
      </c>
      <c r="HW29" s="269"/>
      <c r="HX29" s="269"/>
      <c r="HY29" s="269"/>
      <c r="HZ29" s="314">
        <f>+HX29-HY29</f>
        <v>0</v>
      </c>
      <c r="IA29" s="269"/>
      <c r="IB29" s="269"/>
      <c r="IC29" s="269"/>
      <c r="ID29" s="314">
        <f>+IB29-IC29</f>
        <v>0</v>
      </c>
      <c r="IE29" s="269"/>
      <c r="IF29" s="269"/>
      <c r="IG29" s="269"/>
      <c r="IH29" s="314">
        <f>+IF29-IG29</f>
        <v>0</v>
      </c>
      <c r="II29" s="269"/>
      <c r="IJ29" s="269"/>
      <c r="IK29" s="269"/>
      <c r="IL29" s="314">
        <f>+IJ29-IK29</f>
        <v>0</v>
      </c>
      <c r="IM29" s="269"/>
      <c r="IN29" s="269"/>
      <c r="IO29" s="269"/>
      <c r="IP29" s="314">
        <f>+IN29-IO29</f>
        <v>0</v>
      </c>
      <c r="IQ29" s="277">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77">
        <f t="shared" si="7"/>
        <v>0</v>
      </c>
      <c r="IS29" s="277">
        <f t="shared" si="7"/>
        <v>0</v>
      </c>
      <c r="IT29" s="277">
        <f t="shared" si="7"/>
        <v>0</v>
      </c>
    </row>
    <row r="30" spans="1:254" ht="15" customHeight="1">
      <c r="A30" s="410" t="s">
        <v>191</v>
      </c>
      <c r="B30" s="263" t="s">
        <v>872</v>
      </c>
      <c r="C30" s="269"/>
      <c r="D30" s="269"/>
      <c r="E30" s="269"/>
      <c r="F30" s="314">
        <f t="shared" si="0"/>
        <v>0</v>
      </c>
      <c r="G30" s="269"/>
      <c r="H30" s="269"/>
      <c r="I30" s="269"/>
      <c r="J30" s="314">
        <f>+H30-I30</f>
        <v>0</v>
      </c>
      <c r="K30" s="269"/>
      <c r="L30" s="269"/>
      <c r="M30" s="269"/>
      <c r="N30" s="314">
        <f>+L30-M30</f>
        <v>0</v>
      </c>
      <c r="O30" s="269"/>
      <c r="P30" s="269"/>
      <c r="Q30" s="269"/>
      <c r="R30" s="314">
        <f>+P30-Q30</f>
        <v>0</v>
      </c>
      <c r="S30" s="269"/>
      <c r="T30" s="269"/>
      <c r="U30" s="269"/>
      <c r="V30" s="314">
        <f>+T30-U30</f>
        <v>0</v>
      </c>
      <c r="W30" s="269"/>
      <c r="X30" s="269"/>
      <c r="Y30" s="269"/>
      <c r="Z30" s="314">
        <f>+X30-Y30</f>
        <v>0</v>
      </c>
      <c r="AA30" s="269"/>
      <c r="AB30" s="269"/>
      <c r="AC30" s="269"/>
      <c r="AD30" s="314">
        <f>+AB30-AC30</f>
        <v>0</v>
      </c>
      <c r="AE30" s="269"/>
      <c r="AF30" s="269"/>
      <c r="AG30" s="269"/>
      <c r="AH30" s="314">
        <f>+AF30-AG30</f>
        <v>0</v>
      </c>
      <c r="AI30" s="269"/>
      <c r="AJ30" s="269"/>
      <c r="AK30" s="269"/>
      <c r="AL30" s="314">
        <f>+AJ30-AK30</f>
        <v>0</v>
      </c>
      <c r="AM30" s="269"/>
      <c r="AN30" s="269"/>
      <c r="AO30" s="269"/>
      <c r="AP30" s="314">
        <f>+AN30-AO30</f>
        <v>0</v>
      </c>
      <c r="AQ30" s="269"/>
      <c r="AR30" s="269"/>
      <c r="AS30" s="269"/>
      <c r="AT30" s="314">
        <f>+AR30-AS30</f>
        <v>0</v>
      </c>
      <c r="AU30" s="269"/>
      <c r="AV30" s="269"/>
      <c r="AW30" s="269"/>
      <c r="AX30" s="314">
        <f>+AV30-AW30</f>
        <v>0</v>
      </c>
      <c r="AY30" s="269"/>
      <c r="AZ30" s="269"/>
      <c r="BA30" s="269"/>
      <c r="BB30" s="314">
        <f>+AZ30-BA30</f>
        <v>0</v>
      </c>
      <c r="BC30" s="269"/>
      <c r="BD30" s="269"/>
      <c r="BE30" s="269"/>
      <c r="BF30" s="314">
        <f>+BD30-BE30</f>
        <v>0</v>
      </c>
      <c r="BG30" s="269"/>
      <c r="BH30" s="269"/>
      <c r="BI30" s="269"/>
      <c r="BJ30" s="314">
        <f>+BH30-BI30</f>
        <v>0</v>
      </c>
      <c r="BK30" s="269"/>
      <c r="BL30" s="269"/>
      <c r="BM30" s="269"/>
      <c r="BN30" s="314">
        <f>+BL30-BM30</f>
        <v>0</v>
      </c>
      <c r="BO30" s="269"/>
      <c r="BP30" s="269"/>
      <c r="BQ30" s="269"/>
      <c r="BR30" s="314">
        <f>+BP30-BQ30</f>
        <v>0</v>
      </c>
      <c r="BS30" s="269"/>
      <c r="BT30" s="269"/>
      <c r="BU30" s="269"/>
      <c r="BV30" s="314">
        <f>+BT30-BU30</f>
        <v>0</v>
      </c>
      <c r="BW30" s="269"/>
      <c r="BX30" s="269"/>
      <c r="BY30" s="269"/>
      <c r="BZ30" s="314">
        <f>+BX30-BY30</f>
        <v>0</v>
      </c>
      <c r="CA30" s="269"/>
      <c r="CB30" s="269"/>
      <c r="CC30" s="269"/>
      <c r="CD30" s="314">
        <f>+CB30-CC30</f>
        <v>0</v>
      </c>
      <c r="CE30" s="269"/>
      <c r="CF30" s="269"/>
      <c r="CG30" s="269"/>
      <c r="CH30" s="314">
        <f>+CF30-CG30</f>
        <v>0</v>
      </c>
      <c r="CI30" s="269"/>
      <c r="CJ30" s="269"/>
      <c r="CK30" s="269"/>
      <c r="CL30" s="314">
        <f>+CJ30-CK30</f>
        <v>0</v>
      </c>
      <c r="CM30" s="269"/>
      <c r="CN30" s="269"/>
      <c r="CO30" s="269"/>
      <c r="CP30" s="314">
        <f>+CN30-CO30</f>
        <v>0</v>
      </c>
      <c r="CQ30" s="269"/>
      <c r="CR30" s="269"/>
      <c r="CS30" s="269"/>
      <c r="CT30" s="314">
        <f>+CR30-CS30</f>
        <v>0</v>
      </c>
      <c r="CU30" s="269"/>
      <c r="CV30" s="269"/>
      <c r="CW30" s="269"/>
      <c r="CX30" s="314">
        <f>+CV30-CW30</f>
        <v>0</v>
      </c>
      <c r="CY30" s="269"/>
      <c r="CZ30" s="269"/>
      <c r="DA30" s="269"/>
      <c r="DB30" s="314">
        <f>+CZ30-DA30</f>
        <v>0</v>
      </c>
      <c r="DC30" s="269"/>
      <c r="DD30" s="269"/>
      <c r="DE30" s="269"/>
      <c r="DF30" s="314">
        <f>+DD30-DE30</f>
        <v>0</v>
      </c>
      <c r="DG30" s="269"/>
      <c r="DH30" s="269"/>
      <c r="DI30" s="269"/>
      <c r="DJ30" s="314">
        <f>+DH30-DI30</f>
        <v>0</v>
      </c>
      <c r="DK30" s="269"/>
      <c r="DL30" s="269"/>
      <c r="DM30" s="269"/>
      <c r="DN30" s="314">
        <f>+DL30-DM30</f>
        <v>0</v>
      </c>
      <c r="DO30" s="269"/>
      <c r="DP30" s="269"/>
      <c r="DQ30" s="269"/>
      <c r="DR30" s="314">
        <f>+DP30-DQ30</f>
        <v>0</v>
      </c>
      <c r="DS30" s="269"/>
      <c r="DT30" s="269"/>
      <c r="DU30" s="269"/>
      <c r="DV30" s="314">
        <f>+DT30-DU30</f>
        <v>0</v>
      </c>
      <c r="DW30" s="269"/>
      <c r="DX30" s="269"/>
      <c r="DY30" s="269"/>
      <c r="DZ30" s="314">
        <f>+DX30-DY30</f>
        <v>0</v>
      </c>
      <c r="EA30" s="269"/>
      <c r="EB30" s="269"/>
      <c r="EC30" s="269"/>
      <c r="ED30" s="314">
        <f>+EB30-EC30</f>
        <v>0</v>
      </c>
      <c r="EE30" s="269"/>
      <c r="EF30" s="269"/>
      <c r="EG30" s="269"/>
      <c r="EH30" s="314">
        <f>+EF30-EG30</f>
        <v>0</v>
      </c>
      <c r="EI30" s="269"/>
      <c r="EJ30" s="269"/>
      <c r="EK30" s="269"/>
      <c r="EL30" s="314">
        <f>+EJ30-EK30</f>
        <v>0</v>
      </c>
      <c r="EM30" s="269"/>
      <c r="EN30" s="269"/>
      <c r="EO30" s="269"/>
      <c r="EP30" s="314">
        <f>+EN30-EO30</f>
        <v>0</v>
      </c>
      <c r="EQ30" s="269"/>
      <c r="ER30" s="269"/>
      <c r="ES30" s="269"/>
      <c r="ET30" s="314">
        <f>+ER30-ES30</f>
        <v>0</v>
      </c>
      <c r="EU30" s="269"/>
      <c r="EV30" s="269"/>
      <c r="EW30" s="269"/>
      <c r="EX30" s="314">
        <f>+EV30-EW30</f>
        <v>0</v>
      </c>
      <c r="EY30" s="269"/>
      <c r="EZ30" s="269"/>
      <c r="FA30" s="269"/>
      <c r="FB30" s="314">
        <f>+EZ30-FA30</f>
        <v>0</v>
      </c>
      <c r="FC30" s="269"/>
      <c r="FD30" s="269"/>
      <c r="FE30" s="269"/>
      <c r="FF30" s="314">
        <f>+FD30-FE30</f>
        <v>0</v>
      </c>
      <c r="FG30" s="269"/>
      <c r="FH30" s="269"/>
      <c r="FI30" s="269"/>
      <c r="FJ30" s="314">
        <f>+FH30-FI30</f>
        <v>0</v>
      </c>
      <c r="FK30" s="269"/>
      <c r="FL30" s="269"/>
      <c r="FM30" s="269"/>
      <c r="FN30" s="314">
        <f>+FL30-FM30</f>
        <v>0</v>
      </c>
      <c r="FO30" s="269"/>
      <c r="FP30" s="269"/>
      <c r="FQ30" s="269"/>
      <c r="FR30" s="314">
        <f>+FP30-FQ30</f>
        <v>0</v>
      </c>
      <c r="FS30" s="269"/>
      <c r="FT30" s="269"/>
      <c r="FU30" s="269"/>
      <c r="FV30" s="314">
        <f>+FT30-FU30</f>
        <v>0</v>
      </c>
      <c r="FW30" s="269"/>
      <c r="FX30" s="269"/>
      <c r="FY30" s="269"/>
      <c r="FZ30" s="314">
        <f>+FX30-FY30</f>
        <v>0</v>
      </c>
      <c r="GA30" s="269"/>
      <c r="GB30" s="269"/>
      <c r="GC30" s="269"/>
      <c r="GD30" s="314">
        <f>+GB30-GC30</f>
        <v>0</v>
      </c>
      <c r="GE30" s="269"/>
      <c r="GF30" s="269"/>
      <c r="GG30" s="269"/>
      <c r="GH30" s="314">
        <f>+GF30-GG30</f>
        <v>0</v>
      </c>
      <c r="GI30" s="269"/>
      <c r="GJ30" s="269"/>
      <c r="GK30" s="269"/>
      <c r="GL30" s="314">
        <f>+GJ30-GK30</f>
        <v>0</v>
      </c>
      <c r="GM30" s="269"/>
      <c r="GN30" s="269"/>
      <c r="GO30" s="269"/>
      <c r="GP30" s="314">
        <f>+GN30-GO30</f>
        <v>0</v>
      </c>
      <c r="GQ30" s="269"/>
      <c r="GR30" s="269"/>
      <c r="GS30" s="269"/>
      <c r="GT30" s="314">
        <f>+GR30-GS30</f>
        <v>0</v>
      </c>
      <c r="GU30" s="269"/>
      <c r="GV30" s="269"/>
      <c r="GW30" s="269"/>
      <c r="GX30" s="314">
        <f>+GV30-GW30</f>
        <v>0</v>
      </c>
      <c r="GY30" s="269"/>
      <c r="GZ30" s="269"/>
      <c r="HA30" s="269"/>
      <c r="HB30" s="314">
        <f>+GZ30-HA30</f>
        <v>0</v>
      </c>
      <c r="HC30" s="269"/>
      <c r="HD30" s="269"/>
      <c r="HE30" s="269"/>
      <c r="HF30" s="314">
        <f>+HD30-HE30</f>
        <v>0</v>
      </c>
      <c r="HG30" s="269"/>
      <c r="HH30" s="269"/>
      <c r="HI30" s="269"/>
      <c r="HJ30" s="314">
        <f>+HH30-HI30</f>
        <v>0</v>
      </c>
      <c r="HK30" s="269"/>
      <c r="HL30" s="269"/>
      <c r="HM30" s="269"/>
      <c r="HN30" s="314">
        <f>+HL30-HM30</f>
        <v>0</v>
      </c>
      <c r="HO30" s="269"/>
      <c r="HP30" s="269"/>
      <c r="HQ30" s="269"/>
      <c r="HR30" s="314">
        <f>+HP30-HQ30</f>
        <v>0</v>
      </c>
      <c r="HS30" s="269"/>
      <c r="HT30" s="269"/>
      <c r="HU30" s="269"/>
      <c r="HV30" s="314">
        <f>+HT30-HU30</f>
        <v>0</v>
      </c>
      <c r="HW30" s="269"/>
      <c r="HX30" s="269"/>
      <c r="HY30" s="269"/>
      <c r="HZ30" s="314">
        <f>+HX30-HY30</f>
        <v>0</v>
      </c>
      <c r="IA30" s="269"/>
      <c r="IB30" s="269"/>
      <c r="IC30" s="269"/>
      <c r="ID30" s="314">
        <f>+IB30-IC30</f>
        <v>0</v>
      </c>
      <c r="IE30" s="269"/>
      <c r="IF30" s="269"/>
      <c r="IG30" s="269"/>
      <c r="IH30" s="314">
        <f>+IF30-IG30</f>
        <v>0</v>
      </c>
      <c r="II30" s="269"/>
      <c r="IJ30" s="269"/>
      <c r="IK30" s="269"/>
      <c r="IL30" s="314">
        <f>+IJ30-IK30</f>
        <v>0</v>
      </c>
      <c r="IM30" s="269"/>
      <c r="IN30" s="269"/>
      <c r="IO30" s="269"/>
      <c r="IP30" s="314">
        <f>+IN30-IO30</f>
        <v>0</v>
      </c>
      <c r="IQ30" s="277">
        <f t="shared" si="7"/>
        <v>0</v>
      </c>
      <c r="IR30" s="277">
        <f t="shared" si="7"/>
        <v>0</v>
      </c>
      <c r="IS30" s="277">
        <f t="shared" si="7"/>
        <v>0</v>
      </c>
      <c r="IT30" s="277">
        <f t="shared" si="7"/>
        <v>0</v>
      </c>
    </row>
    <row r="31" spans="1:254" ht="15" customHeight="1">
      <c r="A31" s="428">
        <v>480000</v>
      </c>
      <c r="B31" s="431" t="s">
        <v>1088</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7"/>
      <c r="FD31" s="277"/>
      <c r="FE31" s="277"/>
      <c r="FF31" s="277"/>
      <c r="FG31" s="277"/>
      <c r="FH31" s="277"/>
      <c r="FI31" s="277"/>
      <c r="FJ31" s="277"/>
      <c r="FK31" s="277"/>
      <c r="FL31" s="277"/>
      <c r="FM31" s="277"/>
      <c r="FN31" s="277"/>
      <c r="FO31" s="277"/>
      <c r="FP31" s="277"/>
      <c r="FQ31" s="277"/>
      <c r="FR31" s="277"/>
      <c r="FS31" s="277"/>
      <c r="FT31" s="277"/>
      <c r="FU31" s="277"/>
      <c r="FV31" s="277"/>
      <c r="FW31" s="277"/>
      <c r="FX31" s="277"/>
      <c r="FY31" s="277"/>
      <c r="FZ31" s="277"/>
      <c r="GA31" s="277"/>
      <c r="GB31" s="277"/>
      <c r="GC31" s="277"/>
      <c r="GD31" s="277"/>
      <c r="GE31" s="277"/>
      <c r="GF31" s="277"/>
      <c r="GG31" s="277"/>
      <c r="GH31" s="277"/>
      <c r="GI31" s="277"/>
      <c r="GJ31" s="277"/>
      <c r="GK31" s="277"/>
      <c r="GL31" s="277"/>
      <c r="GM31" s="277"/>
      <c r="GN31" s="277"/>
      <c r="GO31" s="277"/>
      <c r="GP31" s="277"/>
      <c r="GQ31" s="277"/>
      <c r="GR31" s="277"/>
      <c r="GS31" s="277"/>
      <c r="GT31" s="277"/>
      <c r="GU31" s="277"/>
      <c r="GV31" s="277"/>
      <c r="GW31" s="277"/>
      <c r="GX31" s="277"/>
      <c r="GY31" s="277"/>
      <c r="GZ31" s="277"/>
      <c r="HA31" s="277"/>
      <c r="HB31" s="277"/>
      <c r="HC31" s="277"/>
      <c r="HD31" s="277"/>
      <c r="HE31" s="277"/>
      <c r="HF31" s="277"/>
      <c r="HG31" s="277"/>
      <c r="HH31" s="277"/>
      <c r="HI31" s="277"/>
      <c r="HJ31" s="277"/>
      <c r="HK31" s="277"/>
      <c r="HL31" s="277"/>
      <c r="HM31" s="277"/>
      <c r="HN31" s="277"/>
      <c r="HO31" s="277"/>
      <c r="HP31" s="277"/>
      <c r="HQ31" s="277"/>
      <c r="HR31" s="277"/>
      <c r="HS31" s="277"/>
      <c r="HT31" s="277"/>
      <c r="HU31" s="277"/>
      <c r="HV31" s="277"/>
      <c r="HW31" s="277"/>
      <c r="HX31" s="277"/>
      <c r="HY31" s="277"/>
      <c r="HZ31" s="277"/>
      <c r="IA31" s="277"/>
      <c r="IB31" s="277"/>
      <c r="IC31" s="277"/>
      <c r="ID31" s="277"/>
      <c r="IE31" s="277"/>
      <c r="IF31" s="277"/>
      <c r="IG31" s="277"/>
      <c r="IH31" s="277"/>
      <c r="II31" s="277"/>
      <c r="IJ31" s="277"/>
      <c r="IK31" s="277"/>
      <c r="IL31" s="277"/>
      <c r="IM31" s="277"/>
      <c r="IN31" s="277"/>
      <c r="IO31" s="277"/>
      <c r="IP31" s="277"/>
      <c r="IQ31" s="277"/>
      <c r="IR31" s="277"/>
      <c r="IS31" s="277"/>
      <c r="IT31" s="277"/>
    </row>
    <row r="32" spans="1:254" ht="15" customHeight="1">
      <c r="A32" s="410">
        <v>100</v>
      </c>
      <c r="B32" s="263" t="s">
        <v>871</v>
      </c>
      <c r="C32" s="269"/>
      <c r="D32" s="269"/>
      <c r="E32" s="269"/>
      <c r="F32" s="314">
        <f t="shared" si="0"/>
        <v>0</v>
      </c>
      <c r="G32" s="269"/>
      <c r="H32" s="269"/>
      <c r="I32" s="269"/>
      <c r="J32" s="314">
        <f>+H32-I32</f>
        <v>0</v>
      </c>
      <c r="K32" s="269"/>
      <c r="L32" s="269"/>
      <c r="M32" s="269"/>
      <c r="N32" s="314">
        <f>+L32-M32</f>
        <v>0</v>
      </c>
      <c r="O32" s="269"/>
      <c r="P32" s="269"/>
      <c r="Q32" s="269"/>
      <c r="R32" s="314">
        <f>+P32-Q32</f>
        <v>0</v>
      </c>
      <c r="S32" s="269"/>
      <c r="T32" s="269"/>
      <c r="U32" s="269"/>
      <c r="V32" s="314">
        <f>+T32-U32</f>
        <v>0</v>
      </c>
      <c r="W32" s="269"/>
      <c r="X32" s="269"/>
      <c r="Y32" s="269"/>
      <c r="Z32" s="314">
        <f>+X32-Y32</f>
        <v>0</v>
      </c>
      <c r="AA32" s="269"/>
      <c r="AB32" s="269"/>
      <c r="AC32" s="269"/>
      <c r="AD32" s="314">
        <f>+AB32-AC32</f>
        <v>0</v>
      </c>
      <c r="AE32" s="269"/>
      <c r="AF32" s="269"/>
      <c r="AG32" s="269"/>
      <c r="AH32" s="314">
        <f>+AF32-AG32</f>
        <v>0</v>
      </c>
      <c r="AI32" s="269"/>
      <c r="AJ32" s="269"/>
      <c r="AK32" s="269"/>
      <c r="AL32" s="314">
        <f>+AJ32-AK32</f>
        <v>0</v>
      </c>
      <c r="AM32" s="269"/>
      <c r="AN32" s="269"/>
      <c r="AO32" s="269"/>
      <c r="AP32" s="314">
        <f>+AN32-AO32</f>
        <v>0</v>
      </c>
      <c r="AQ32" s="269"/>
      <c r="AR32" s="269"/>
      <c r="AS32" s="269"/>
      <c r="AT32" s="314">
        <f>+AR32-AS32</f>
        <v>0</v>
      </c>
      <c r="AU32" s="269"/>
      <c r="AV32" s="269"/>
      <c r="AW32" s="269"/>
      <c r="AX32" s="314">
        <f>+AV32-AW32</f>
        <v>0</v>
      </c>
      <c r="AY32" s="269"/>
      <c r="AZ32" s="269"/>
      <c r="BA32" s="269"/>
      <c r="BB32" s="314">
        <f>+AZ32-BA32</f>
        <v>0</v>
      </c>
      <c r="BC32" s="269"/>
      <c r="BD32" s="269"/>
      <c r="BE32" s="269"/>
      <c r="BF32" s="314">
        <f>+BD32-BE32</f>
        <v>0</v>
      </c>
      <c r="BG32" s="269"/>
      <c r="BH32" s="269"/>
      <c r="BI32" s="269"/>
      <c r="BJ32" s="314">
        <f>+BH32-BI32</f>
        <v>0</v>
      </c>
      <c r="BK32" s="269"/>
      <c r="BL32" s="269"/>
      <c r="BM32" s="269"/>
      <c r="BN32" s="314">
        <f>+BL32-BM32</f>
        <v>0</v>
      </c>
      <c r="BO32" s="269"/>
      <c r="BP32" s="269"/>
      <c r="BQ32" s="269"/>
      <c r="BR32" s="314">
        <f>+BP32-BQ32</f>
        <v>0</v>
      </c>
      <c r="BS32" s="269"/>
      <c r="BT32" s="269"/>
      <c r="BU32" s="269"/>
      <c r="BV32" s="314">
        <f>+BT32-BU32</f>
        <v>0</v>
      </c>
      <c r="BW32" s="269"/>
      <c r="BX32" s="269"/>
      <c r="BY32" s="269"/>
      <c r="BZ32" s="314">
        <f>+BX32-BY32</f>
        <v>0</v>
      </c>
      <c r="CA32" s="269"/>
      <c r="CB32" s="269"/>
      <c r="CC32" s="269"/>
      <c r="CD32" s="314">
        <f>+CB32-CC32</f>
        <v>0</v>
      </c>
      <c r="CE32" s="269"/>
      <c r="CF32" s="269"/>
      <c r="CG32" s="269"/>
      <c r="CH32" s="314">
        <f>+CF32-CG32</f>
        <v>0</v>
      </c>
      <c r="CI32" s="269"/>
      <c r="CJ32" s="269"/>
      <c r="CK32" s="269"/>
      <c r="CL32" s="314">
        <f>+CJ32-CK32</f>
        <v>0</v>
      </c>
      <c r="CM32" s="269"/>
      <c r="CN32" s="269"/>
      <c r="CO32" s="269"/>
      <c r="CP32" s="314">
        <f>+CN32-CO32</f>
        <v>0</v>
      </c>
      <c r="CQ32" s="269"/>
      <c r="CR32" s="269"/>
      <c r="CS32" s="269"/>
      <c r="CT32" s="314">
        <f>+CR32-CS32</f>
        <v>0</v>
      </c>
      <c r="CU32" s="269"/>
      <c r="CV32" s="269"/>
      <c r="CW32" s="269"/>
      <c r="CX32" s="314">
        <f>+CV32-CW32</f>
        <v>0</v>
      </c>
      <c r="CY32" s="269"/>
      <c r="CZ32" s="269"/>
      <c r="DA32" s="269"/>
      <c r="DB32" s="314">
        <f>+CZ32-DA32</f>
        <v>0</v>
      </c>
      <c r="DC32" s="269"/>
      <c r="DD32" s="269"/>
      <c r="DE32" s="269"/>
      <c r="DF32" s="314">
        <f>+DD32-DE32</f>
        <v>0</v>
      </c>
      <c r="DG32" s="269"/>
      <c r="DH32" s="269"/>
      <c r="DI32" s="269"/>
      <c r="DJ32" s="314">
        <f>+DH32-DI32</f>
        <v>0</v>
      </c>
      <c r="DK32" s="269"/>
      <c r="DL32" s="269"/>
      <c r="DM32" s="269"/>
      <c r="DN32" s="314">
        <f>+DL32-DM32</f>
        <v>0</v>
      </c>
      <c r="DO32" s="269"/>
      <c r="DP32" s="269"/>
      <c r="DQ32" s="269"/>
      <c r="DR32" s="314">
        <f>+DP32-DQ32</f>
        <v>0</v>
      </c>
      <c r="DS32" s="269"/>
      <c r="DT32" s="269"/>
      <c r="DU32" s="269"/>
      <c r="DV32" s="314">
        <f>+DT32-DU32</f>
        <v>0</v>
      </c>
      <c r="DW32" s="269"/>
      <c r="DX32" s="269"/>
      <c r="DY32" s="269"/>
      <c r="DZ32" s="314">
        <f>+DX32-DY32</f>
        <v>0</v>
      </c>
      <c r="EA32" s="269"/>
      <c r="EB32" s="269"/>
      <c r="EC32" s="269"/>
      <c r="ED32" s="314">
        <f>+EB32-EC32</f>
        <v>0</v>
      </c>
      <c r="EE32" s="269"/>
      <c r="EF32" s="269"/>
      <c r="EG32" s="269"/>
      <c r="EH32" s="314">
        <f>+EF32-EG32</f>
        <v>0</v>
      </c>
      <c r="EI32" s="269"/>
      <c r="EJ32" s="269"/>
      <c r="EK32" s="269"/>
      <c r="EL32" s="314">
        <f>+EJ32-EK32</f>
        <v>0</v>
      </c>
      <c r="EM32" s="269"/>
      <c r="EN32" s="269"/>
      <c r="EO32" s="269"/>
      <c r="EP32" s="314">
        <f>+EN32-EO32</f>
        <v>0</v>
      </c>
      <c r="EQ32" s="269"/>
      <c r="ER32" s="269"/>
      <c r="ES32" s="269"/>
      <c r="ET32" s="314">
        <f>+ER32-ES32</f>
        <v>0</v>
      </c>
      <c r="EU32" s="269"/>
      <c r="EV32" s="269"/>
      <c r="EW32" s="269"/>
      <c r="EX32" s="314">
        <f>+EV32-EW32</f>
        <v>0</v>
      </c>
      <c r="EY32" s="269"/>
      <c r="EZ32" s="269"/>
      <c r="FA32" s="269"/>
      <c r="FB32" s="314">
        <f>+EZ32-FA32</f>
        <v>0</v>
      </c>
      <c r="FC32" s="269"/>
      <c r="FD32" s="269"/>
      <c r="FE32" s="269"/>
      <c r="FF32" s="314">
        <f>+FD32-FE32</f>
        <v>0</v>
      </c>
      <c r="FG32" s="269"/>
      <c r="FH32" s="269"/>
      <c r="FI32" s="269"/>
      <c r="FJ32" s="314">
        <f>+FH32-FI32</f>
        <v>0</v>
      </c>
      <c r="FK32" s="269"/>
      <c r="FL32" s="269"/>
      <c r="FM32" s="269"/>
      <c r="FN32" s="314">
        <f>+FL32-FM32</f>
        <v>0</v>
      </c>
      <c r="FO32" s="269"/>
      <c r="FP32" s="269"/>
      <c r="FQ32" s="269"/>
      <c r="FR32" s="314">
        <f>+FP32-FQ32</f>
        <v>0</v>
      </c>
      <c r="FS32" s="269"/>
      <c r="FT32" s="269"/>
      <c r="FU32" s="269"/>
      <c r="FV32" s="314">
        <f>+FT32-FU32</f>
        <v>0</v>
      </c>
      <c r="FW32" s="269"/>
      <c r="FX32" s="269"/>
      <c r="FY32" s="269"/>
      <c r="FZ32" s="314">
        <f>+FX32-FY32</f>
        <v>0</v>
      </c>
      <c r="GA32" s="269"/>
      <c r="GB32" s="269"/>
      <c r="GC32" s="269"/>
      <c r="GD32" s="314">
        <f>+GB32-GC32</f>
        <v>0</v>
      </c>
      <c r="GE32" s="269"/>
      <c r="GF32" s="269"/>
      <c r="GG32" s="269"/>
      <c r="GH32" s="314">
        <f>+GF32-GG32</f>
        <v>0</v>
      </c>
      <c r="GI32" s="269"/>
      <c r="GJ32" s="269"/>
      <c r="GK32" s="269"/>
      <c r="GL32" s="314">
        <f>+GJ32-GK32</f>
        <v>0</v>
      </c>
      <c r="GM32" s="269"/>
      <c r="GN32" s="269"/>
      <c r="GO32" s="269"/>
      <c r="GP32" s="314">
        <f>+GN32-GO32</f>
        <v>0</v>
      </c>
      <c r="GQ32" s="269"/>
      <c r="GR32" s="269"/>
      <c r="GS32" s="269"/>
      <c r="GT32" s="314">
        <f>+GR32-GS32</f>
        <v>0</v>
      </c>
      <c r="GU32" s="269"/>
      <c r="GV32" s="269"/>
      <c r="GW32" s="269"/>
      <c r="GX32" s="314">
        <f>+GV32-GW32</f>
        <v>0</v>
      </c>
      <c r="GY32" s="269"/>
      <c r="GZ32" s="269"/>
      <c r="HA32" s="269"/>
      <c r="HB32" s="314">
        <f>+GZ32-HA32</f>
        <v>0</v>
      </c>
      <c r="HC32" s="269"/>
      <c r="HD32" s="269"/>
      <c r="HE32" s="269"/>
      <c r="HF32" s="314">
        <f>+HD32-HE32</f>
        <v>0</v>
      </c>
      <c r="HG32" s="269"/>
      <c r="HH32" s="269"/>
      <c r="HI32" s="269"/>
      <c r="HJ32" s="314">
        <f>+HH32-HI32</f>
        <v>0</v>
      </c>
      <c r="HK32" s="269"/>
      <c r="HL32" s="269"/>
      <c r="HM32" s="269"/>
      <c r="HN32" s="314">
        <f>+HL32-HM32</f>
        <v>0</v>
      </c>
      <c r="HO32" s="269"/>
      <c r="HP32" s="269"/>
      <c r="HQ32" s="269"/>
      <c r="HR32" s="314">
        <f>+HP32-HQ32</f>
        <v>0</v>
      </c>
      <c r="HS32" s="269"/>
      <c r="HT32" s="269"/>
      <c r="HU32" s="269"/>
      <c r="HV32" s="314">
        <f>+HT32-HU32</f>
        <v>0</v>
      </c>
      <c r="HW32" s="269"/>
      <c r="HX32" s="269"/>
      <c r="HY32" s="269"/>
      <c r="HZ32" s="314">
        <f>+HX32-HY32</f>
        <v>0</v>
      </c>
      <c r="IA32" s="269"/>
      <c r="IB32" s="269"/>
      <c r="IC32" s="269"/>
      <c r="ID32" s="314">
        <f>+IB32-IC32</f>
        <v>0</v>
      </c>
      <c r="IE32" s="269"/>
      <c r="IF32" s="269"/>
      <c r="IG32" s="269"/>
      <c r="IH32" s="314">
        <f>+IF32-IG32</f>
        <v>0</v>
      </c>
      <c r="II32" s="269"/>
      <c r="IJ32" s="269"/>
      <c r="IK32" s="269"/>
      <c r="IL32" s="314">
        <f>+IJ32-IK32</f>
        <v>0</v>
      </c>
      <c r="IM32" s="269"/>
      <c r="IN32" s="269"/>
      <c r="IO32" s="269"/>
      <c r="IP32" s="314">
        <f>+IN32-IO32</f>
        <v>0</v>
      </c>
      <c r="IQ32" s="277">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77">
        <f t="shared" si="8"/>
        <v>0</v>
      </c>
      <c r="IS32" s="277">
        <f t="shared" si="8"/>
        <v>0</v>
      </c>
      <c r="IT32" s="277">
        <f t="shared" si="8"/>
        <v>0</v>
      </c>
    </row>
    <row r="33" spans="1:254" ht="15" customHeight="1">
      <c r="A33" s="410" t="s">
        <v>191</v>
      </c>
      <c r="B33" s="263" t="s">
        <v>872</v>
      </c>
      <c r="C33" s="269"/>
      <c r="D33" s="269"/>
      <c r="E33" s="269"/>
      <c r="F33" s="314">
        <f t="shared" si="0"/>
        <v>0</v>
      </c>
      <c r="G33" s="269"/>
      <c r="H33" s="269"/>
      <c r="I33" s="269"/>
      <c r="J33" s="314">
        <f>+H33-I33</f>
        <v>0</v>
      </c>
      <c r="K33" s="269"/>
      <c r="L33" s="269"/>
      <c r="M33" s="269"/>
      <c r="N33" s="314">
        <f>+L33-M33</f>
        <v>0</v>
      </c>
      <c r="O33" s="269"/>
      <c r="P33" s="269"/>
      <c r="Q33" s="269"/>
      <c r="R33" s="314">
        <f>+P33-Q33</f>
        <v>0</v>
      </c>
      <c r="S33" s="269"/>
      <c r="T33" s="269"/>
      <c r="U33" s="269"/>
      <c r="V33" s="314">
        <f>+T33-U33</f>
        <v>0</v>
      </c>
      <c r="W33" s="269"/>
      <c r="X33" s="269"/>
      <c r="Y33" s="269"/>
      <c r="Z33" s="314">
        <f>+X33-Y33</f>
        <v>0</v>
      </c>
      <c r="AA33" s="269"/>
      <c r="AB33" s="269"/>
      <c r="AC33" s="269"/>
      <c r="AD33" s="314">
        <f>+AB33-AC33</f>
        <v>0</v>
      </c>
      <c r="AE33" s="269"/>
      <c r="AF33" s="269"/>
      <c r="AG33" s="269"/>
      <c r="AH33" s="314">
        <f>+AF33-AG33</f>
        <v>0</v>
      </c>
      <c r="AI33" s="269"/>
      <c r="AJ33" s="269"/>
      <c r="AK33" s="269"/>
      <c r="AL33" s="314">
        <f>+AJ33-AK33</f>
        <v>0</v>
      </c>
      <c r="AM33" s="269"/>
      <c r="AN33" s="269"/>
      <c r="AO33" s="269"/>
      <c r="AP33" s="314">
        <f>+AN33-AO33</f>
        <v>0</v>
      </c>
      <c r="AQ33" s="269"/>
      <c r="AR33" s="269"/>
      <c r="AS33" s="269"/>
      <c r="AT33" s="314">
        <f>+AR33-AS33</f>
        <v>0</v>
      </c>
      <c r="AU33" s="269"/>
      <c r="AV33" s="269"/>
      <c r="AW33" s="269"/>
      <c r="AX33" s="314">
        <f>+AV33-AW33</f>
        <v>0</v>
      </c>
      <c r="AY33" s="269"/>
      <c r="AZ33" s="269"/>
      <c r="BA33" s="269"/>
      <c r="BB33" s="314">
        <f>+AZ33-BA33</f>
        <v>0</v>
      </c>
      <c r="BC33" s="269"/>
      <c r="BD33" s="269"/>
      <c r="BE33" s="269"/>
      <c r="BF33" s="314">
        <f>+BD33-BE33</f>
        <v>0</v>
      </c>
      <c r="BG33" s="269"/>
      <c r="BH33" s="269"/>
      <c r="BI33" s="269"/>
      <c r="BJ33" s="314">
        <f>+BH33-BI33</f>
        <v>0</v>
      </c>
      <c r="BK33" s="269"/>
      <c r="BL33" s="269"/>
      <c r="BM33" s="269"/>
      <c r="BN33" s="314">
        <f>+BL33-BM33</f>
        <v>0</v>
      </c>
      <c r="BO33" s="269"/>
      <c r="BP33" s="269"/>
      <c r="BQ33" s="269"/>
      <c r="BR33" s="314">
        <f>+BP33-BQ33</f>
        <v>0</v>
      </c>
      <c r="BS33" s="269"/>
      <c r="BT33" s="269"/>
      <c r="BU33" s="269"/>
      <c r="BV33" s="314">
        <f>+BT33-BU33</f>
        <v>0</v>
      </c>
      <c r="BW33" s="269"/>
      <c r="BX33" s="269"/>
      <c r="BY33" s="269"/>
      <c r="BZ33" s="314">
        <f>+BX33-BY33</f>
        <v>0</v>
      </c>
      <c r="CA33" s="269"/>
      <c r="CB33" s="269"/>
      <c r="CC33" s="269"/>
      <c r="CD33" s="314">
        <f>+CB33-CC33</f>
        <v>0</v>
      </c>
      <c r="CE33" s="269"/>
      <c r="CF33" s="269"/>
      <c r="CG33" s="269"/>
      <c r="CH33" s="314">
        <f>+CF33-CG33</f>
        <v>0</v>
      </c>
      <c r="CI33" s="269"/>
      <c r="CJ33" s="269"/>
      <c r="CK33" s="269"/>
      <c r="CL33" s="314">
        <f>+CJ33-CK33</f>
        <v>0</v>
      </c>
      <c r="CM33" s="269"/>
      <c r="CN33" s="269"/>
      <c r="CO33" s="269"/>
      <c r="CP33" s="314">
        <f>+CN33-CO33</f>
        <v>0</v>
      </c>
      <c r="CQ33" s="269"/>
      <c r="CR33" s="269"/>
      <c r="CS33" s="269"/>
      <c r="CT33" s="314">
        <f>+CR33-CS33</f>
        <v>0</v>
      </c>
      <c r="CU33" s="269"/>
      <c r="CV33" s="269"/>
      <c r="CW33" s="269"/>
      <c r="CX33" s="314">
        <f>+CV33-CW33</f>
        <v>0</v>
      </c>
      <c r="CY33" s="269"/>
      <c r="CZ33" s="269"/>
      <c r="DA33" s="269"/>
      <c r="DB33" s="314">
        <f>+CZ33-DA33</f>
        <v>0</v>
      </c>
      <c r="DC33" s="269"/>
      <c r="DD33" s="269"/>
      <c r="DE33" s="269"/>
      <c r="DF33" s="314">
        <f>+DD33-DE33</f>
        <v>0</v>
      </c>
      <c r="DG33" s="269"/>
      <c r="DH33" s="269"/>
      <c r="DI33" s="269"/>
      <c r="DJ33" s="314">
        <f>+DH33-DI33</f>
        <v>0</v>
      </c>
      <c r="DK33" s="269"/>
      <c r="DL33" s="269"/>
      <c r="DM33" s="269"/>
      <c r="DN33" s="314">
        <f>+DL33-DM33</f>
        <v>0</v>
      </c>
      <c r="DO33" s="269"/>
      <c r="DP33" s="269"/>
      <c r="DQ33" s="269"/>
      <c r="DR33" s="314">
        <f>+DP33-DQ33</f>
        <v>0</v>
      </c>
      <c r="DS33" s="269"/>
      <c r="DT33" s="269"/>
      <c r="DU33" s="269"/>
      <c r="DV33" s="314">
        <f>+DT33-DU33</f>
        <v>0</v>
      </c>
      <c r="DW33" s="269"/>
      <c r="DX33" s="269"/>
      <c r="DY33" s="269"/>
      <c r="DZ33" s="314">
        <f>+DX33-DY33</f>
        <v>0</v>
      </c>
      <c r="EA33" s="269"/>
      <c r="EB33" s="269"/>
      <c r="EC33" s="269"/>
      <c r="ED33" s="314">
        <f>+EB33-EC33</f>
        <v>0</v>
      </c>
      <c r="EE33" s="269"/>
      <c r="EF33" s="269"/>
      <c r="EG33" s="269"/>
      <c r="EH33" s="314">
        <f>+EF33-EG33</f>
        <v>0</v>
      </c>
      <c r="EI33" s="269"/>
      <c r="EJ33" s="269"/>
      <c r="EK33" s="269"/>
      <c r="EL33" s="314">
        <f>+EJ33-EK33</f>
        <v>0</v>
      </c>
      <c r="EM33" s="269"/>
      <c r="EN33" s="269"/>
      <c r="EO33" s="269"/>
      <c r="EP33" s="314">
        <f>+EN33-EO33</f>
        <v>0</v>
      </c>
      <c r="EQ33" s="269"/>
      <c r="ER33" s="269"/>
      <c r="ES33" s="269"/>
      <c r="ET33" s="314">
        <f>+ER33-ES33</f>
        <v>0</v>
      </c>
      <c r="EU33" s="269"/>
      <c r="EV33" s="269"/>
      <c r="EW33" s="269"/>
      <c r="EX33" s="314">
        <f>+EV33-EW33</f>
        <v>0</v>
      </c>
      <c r="EY33" s="269"/>
      <c r="EZ33" s="269"/>
      <c r="FA33" s="269"/>
      <c r="FB33" s="314">
        <f>+EZ33-FA33</f>
        <v>0</v>
      </c>
      <c r="FC33" s="269"/>
      <c r="FD33" s="269"/>
      <c r="FE33" s="269"/>
      <c r="FF33" s="314">
        <f>+FD33-FE33</f>
        <v>0</v>
      </c>
      <c r="FG33" s="269"/>
      <c r="FH33" s="269"/>
      <c r="FI33" s="269"/>
      <c r="FJ33" s="314">
        <f>+FH33-FI33</f>
        <v>0</v>
      </c>
      <c r="FK33" s="269"/>
      <c r="FL33" s="269"/>
      <c r="FM33" s="269"/>
      <c r="FN33" s="314">
        <f>+FL33-FM33</f>
        <v>0</v>
      </c>
      <c r="FO33" s="269"/>
      <c r="FP33" s="269"/>
      <c r="FQ33" s="269"/>
      <c r="FR33" s="314">
        <f>+FP33-FQ33</f>
        <v>0</v>
      </c>
      <c r="FS33" s="269"/>
      <c r="FT33" s="269"/>
      <c r="FU33" s="269"/>
      <c r="FV33" s="314">
        <f>+FT33-FU33</f>
        <v>0</v>
      </c>
      <c r="FW33" s="269"/>
      <c r="FX33" s="269"/>
      <c r="FY33" s="269"/>
      <c r="FZ33" s="314">
        <f>+FX33-FY33</f>
        <v>0</v>
      </c>
      <c r="GA33" s="269"/>
      <c r="GB33" s="269"/>
      <c r="GC33" s="269"/>
      <c r="GD33" s="314">
        <f>+GB33-GC33</f>
        <v>0</v>
      </c>
      <c r="GE33" s="269"/>
      <c r="GF33" s="269"/>
      <c r="GG33" s="269"/>
      <c r="GH33" s="314">
        <f>+GF33-GG33</f>
        <v>0</v>
      </c>
      <c r="GI33" s="269"/>
      <c r="GJ33" s="269"/>
      <c r="GK33" s="269"/>
      <c r="GL33" s="314">
        <f>+GJ33-GK33</f>
        <v>0</v>
      </c>
      <c r="GM33" s="269"/>
      <c r="GN33" s="269"/>
      <c r="GO33" s="269"/>
      <c r="GP33" s="314">
        <f>+GN33-GO33</f>
        <v>0</v>
      </c>
      <c r="GQ33" s="269"/>
      <c r="GR33" s="269"/>
      <c r="GS33" s="269"/>
      <c r="GT33" s="314">
        <f>+GR33-GS33</f>
        <v>0</v>
      </c>
      <c r="GU33" s="269"/>
      <c r="GV33" s="269"/>
      <c r="GW33" s="269"/>
      <c r="GX33" s="314">
        <f>+GV33-GW33</f>
        <v>0</v>
      </c>
      <c r="GY33" s="269"/>
      <c r="GZ33" s="269"/>
      <c r="HA33" s="269"/>
      <c r="HB33" s="314">
        <f>+GZ33-HA33</f>
        <v>0</v>
      </c>
      <c r="HC33" s="269"/>
      <c r="HD33" s="269"/>
      <c r="HE33" s="269"/>
      <c r="HF33" s="314">
        <f>+HD33-HE33</f>
        <v>0</v>
      </c>
      <c r="HG33" s="269"/>
      <c r="HH33" s="269"/>
      <c r="HI33" s="269"/>
      <c r="HJ33" s="314">
        <f>+HH33-HI33</f>
        <v>0</v>
      </c>
      <c r="HK33" s="269"/>
      <c r="HL33" s="269"/>
      <c r="HM33" s="269"/>
      <c r="HN33" s="314">
        <f>+HL33-HM33</f>
        <v>0</v>
      </c>
      <c r="HO33" s="269"/>
      <c r="HP33" s="269"/>
      <c r="HQ33" s="269"/>
      <c r="HR33" s="314">
        <f>+HP33-HQ33</f>
        <v>0</v>
      </c>
      <c r="HS33" s="269"/>
      <c r="HT33" s="269"/>
      <c r="HU33" s="269"/>
      <c r="HV33" s="314">
        <f>+HT33-HU33</f>
        <v>0</v>
      </c>
      <c r="HW33" s="269"/>
      <c r="HX33" s="269"/>
      <c r="HY33" s="269"/>
      <c r="HZ33" s="314">
        <f>+HX33-HY33</f>
        <v>0</v>
      </c>
      <c r="IA33" s="269"/>
      <c r="IB33" s="269"/>
      <c r="IC33" s="269"/>
      <c r="ID33" s="314">
        <f>+IB33-IC33</f>
        <v>0</v>
      </c>
      <c r="IE33" s="269"/>
      <c r="IF33" s="269"/>
      <c r="IG33" s="269"/>
      <c r="IH33" s="314">
        <f>+IF33-IG33</f>
        <v>0</v>
      </c>
      <c r="II33" s="269"/>
      <c r="IJ33" s="269"/>
      <c r="IK33" s="269"/>
      <c r="IL33" s="314">
        <f>+IJ33-IK33</f>
        <v>0</v>
      </c>
      <c r="IM33" s="269"/>
      <c r="IN33" s="269"/>
      <c r="IO33" s="269"/>
      <c r="IP33" s="314">
        <f>+IN33-IO33</f>
        <v>0</v>
      </c>
      <c r="IQ33" s="277">
        <f t="shared" si="8"/>
        <v>0</v>
      </c>
      <c r="IR33" s="277">
        <f t="shared" si="8"/>
        <v>0</v>
      </c>
      <c r="IS33" s="277">
        <f t="shared" si="8"/>
        <v>0</v>
      </c>
      <c r="IT33" s="277">
        <f t="shared" si="8"/>
        <v>0</v>
      </c>
    </row>
    <row r="34" spans="1:254" ht="15" customHeight="1">
      <c r="A34" s="410">
        <v>900</v>
      </c>
      <c r="B34" s="268" t="s">
        <v>1090</v>
      </c>
      <c r="C34" s="269"/>
      <c r="D34" s="269"/>
      <c r="E34" s="269"/>
      <c r="F34" s="314">
        <f t="shared" si="0"/>
        <v>0</v>
      </c>
      <c r="G34" s="269"/>
      <c r="H34" s="269"/>
      <c r="I34" s="269"/>
      <c r="J34" s="314">
        <f>+H34-I34</f>
        <v>0</v>
      </c>
      <c r="K34" s="269"/>
      <c r="L34" s="269"/>
      <c r="M34" s="269"/>
      <c r="N34" s="314">
        <f>+L34-M34</f>
        <v>0</v>
      </c>
      <c r="O34" s="269"/>
      <c r="P34" s="269"/>
      <c r="Q34" s="269"/>
      <c r="R34" s="314">
        <f>+P34-Q34</f>
        <v>0</v>
      </c>
      <c r="S34" s="269"/>
      <c r="T34" s="269"/>
      <c r="U34" s="269"/>
      <c r="V34" s="314">
        <f>+T34-U34</f>
        <v>0</v>
      </c>
      <c r="W34" s="269"/>
      <c r="X34" s="269"/>
      <c r="Y34" s="269"/>
      <c r="Z34" s="314">
        <f>+X34-Y34</f>
        <v>0</v>
      </c>
      <c r="AA34" s="269"/>
      <c r="AB34" s="269"/>
      <c r="AC34" s="269"/>
      <c r="AD34" s="314">
        <f>+AB34-AC34</f>
        <v>0</v>
      </c>
      <c r="AE34" s="269"/>
      <c r="AF34" s="269"/>
      <c r="AG34" s="269"/>
      <c r="AH34" s="314">
        <f>+AF34-AG34</f>
        <v>0</v>
      </c>
      <c r="AI34" s="269"/>
      <c r="AJ34" s="269"/>
      <c r="AK34" s="269"/>
      <c r="AL34" s="314">
        <f>+AJ34-AK34</f>
        <v>0</v>
      </c>
      <c r="AM34" s="269"/>
      <c r="AN34" s="269"/>
      <c r="AO34" s="269"/>
      <c r="AP34" s="314">
        <f>+AN34-AO34</f>
        <v>0</v>
      </c>
      <c r="AQ34" s="269"/>
      <c r="AR34" s="269"/>
      <c r="AS34" s="269"/>
      <c r="AT34" s="314">
        <f>+AR34-AS34</f>
        <v>0</v>
      </c>
      <c r="AU34" s="269"/>
      <c r="AV34" s="269"/>
      <c r="AW34" s="269"/>
      <c r="AX34" s="314">
        <f>+AV34-AW34</f>
        <v>0</v>
      </c>
      <c r="AY34" s="269"/>
      <c r="AZ34" s="269"/>
      <c r="BA34" s="269"/>
      <c r="BB34" s="314">
        <f>+AZ34-BA34</f>
        <v>0</v>
      </c>
      <c r="BC34" s="269"/>
      <c r="BD34" s="269"/>
      <c r="BE34" s="269"/>
      <c r="BF34" s="314">
        <f>+BD34-BE34</f>
        <v>0</v>
      </c>
      <c r="BG34" s="269"/>
      <c r="BH34" s="269"/>
      <c r="BI34" s="269"/>
      <c r="BJ34" s="314">
        <f>+BH34-BI34</f>
        <v>0</v>
      </c>
      <c r="BK34" s="269"/>
      <c r="BL34" s="269"/>
      <c r="BM34" s="269"/>
      <c r="BN34" s="314">
        <f>+BL34-BM34</f>
        <v>0</v>
      </c>
      <c r="BO34" s="269"/>
      <c r="BP34" s="269"/>
      <c r="BQ34" s="269"/>
      <c r="BR34" s="314">
        <f>+BP34-BQ34</f>
        <v>0</v>
      </c>
      <c r="BS34" s="269"/>
      <c r="BT34" s="269"/>
      <c r="BU34" s="269"/>
      <c r="BV34" s="314">
        <f>+BT34-BU34</f>
        <v>0</v>
      </c>
      <c r="BW34" s="269"/>
      <c r="BX34" s="269"/>
      <c r="BY34" s="269"/>
      <c r="BZ34" s="314">
        <f>+BX34-BY34</f>
        <v>0</v>
      </c>
      <c r="CA34" s="269"/>
      <c r="CB34" s="269"/>
      <c r="CC34" s="269"/>
      <c r="CD34" s="314">
        <f>+CB34-CC34</f>
        <v>0</v>
      </c>
      <c r="CE34" s="269"/>
      <c r="CF34" s="269"/>
      <c r="CG34" s="269"/>
      <c r="CH34" s="314">
        <f>+CF34-CG34</f>
        <v>0</v>
      </c>
      <c r="CI34" s="269"/>
      <c r="CJ34" s="269"/>
      <c r="CK34" s="269"/>
      <c r="CL34" s="314">
        <f>+CJ34-CK34</f>
        <v>0</v>
      </c>
      <c r="CM34" s="269"/>
      <c r="CN34" s="269"/>
      <c r="CO34" s="269"/>
      <c r="CP34" s="314">
        <f>+CN34-CO34</f>
        <v>0</v>
      </c>
      <c r="CQ34" s="269"/>
      <c r="CR34" s="269"/>
      <c r="CS34" s="269"/>
      <c r="CT34" s="314">
        <f>+CR34-CS34</f>
        <v>0</v>
      </c>
      <c r="CU34" s="269"/>
      <c r="CV34" s="269"/>
      <c r="CW34" s="269"/>
      <c r="CX34" s="314">
        <f>+CV34-CW34</f>
        <v>0</v>
      </c>
      <c r="CY34" s="269"/>
      <c r="CZ34" s="269"/>
      <c r="DA34" s="269"/>
      <c r="DB34" s="314">
        <f>+CZ34-DA34</f>
        <v>0</v>
      </c>
      <c r="DC34" s="269"/>
      <c r="DD34" s="269"/>
      <c r="DE34" s="269"/>
      <c r="DF34" s="314">
        <f>+DD34-DE34</f>
        <v>0</v>
      </c>
      <c r="DG34" s="269"/>
      <c r="DH34" s="269"/>
      <c r="DI34" s="269"/>
      <c r="DJ34" s="314">
        <f>+DH34-DI34</f>
        <v>0</v>
      </c>
      <c r="DK34" s="269"/>
      <c r="DL34" s="269"/>
      <c r="DM34" s="269"/>
      <c r="DN34" s="314">
        <f>+DL34-DM34</f>
        <v>0</v>
      </c>
      <c r="DO34" s="269"/>
      <c r="DP34" s="269"/>
      <c r="DQ34" s="269"/>
      <c r="DR34" s="314">
        <f>+DP34-DQ34</f>
        <v>0</v>
      </c>
      <c r="DS34" s="269"/>
      <c r="DT34" s="269"/>
      <c r="DU34" s="269"/>
      <c r="DV34" s="314">
        <f>+DT34-DU34</f>
        <v>0</v>
      </c>
      <c r="DW34" s="269"/>
      <c r="DX34" s="269"/>
      <c r="DY34" s="269"/>
      <c r="DZ34" s="314">
        <f>+DX34-DY34</f>
        <v>0</v>
      </c>
      <c r="EA34" s="269"/>
      <c r="EB34" s="269"/>
      <c r="EC34" s="269"/>
      <c r="ED34" s="314">
        <f>+EB34-EC34</f>
        <v>0</v>
      </c>
      <c r="EE34" s="269"/>
      <c r="EF34" s="269"/>
      <c r="EG34" s="269"/>
      <c r="EH34" s="314">
        <f>+EF34-EG34</f>
        <v>0</v>
      </c>
      <c r="EI34" s="269"/>
      <c r="EJ34" s="269"/>
      <c r="EK34" s="269"/>
      <c r="EL34" s="314">
        <f>+EJ34-EK34</f>
        <v>0</v>
      </c>
      <c r="EM34" s="269"/>
      <c r="EN34" s="269"/>
      <c r="EO34" s="269"/>
      <c r="EP34" s="314">
        <f>+EN34-EO34</f>
        <v>0</v>
      </c>
      <c r="EQ34" s="269"/>
      <c r="ER34" s="269"/>
      <c r="ES34" s="269"/>
      <c r="ET34" s="314">
        <f>+ER34-ES34</f>
        <v>0</v>
      </c>
      <c r="EU34" s="269"/>
      <c r="EV34" s="269"/>
      <c r="EW34" s="269"/>
      <c r="EX34" s="314">
        <f>+EV34-EW34</f>
        <v>0</v>
      </c>
      <c r="EY34" s="269"/>
      <c r="EZ34" s="269"/>
      <c r="FA34" s="269"/>
      <c r="FB34" s="314">
        <f>+EZ34-FA34</f>
        <v>0</v>
      </c>
      <c r="FC34" s="269"/>
      <c r="FD34" s="269"/>
      <c r="FE34" s="269"/>
      <c r="FF34" s="314">
        <f>+FD34-FE34</f>
        <v>0</v>
      </c>
      <c r="FG34" s="269"/>
      <c r="FH34" s="269"/>
      <c r="FI34" s="269"/>
      <c r="FJ34" s="314">
        <f>+FH34-FI34</f>
        <v>0</v>
      </c>
      <c r="FK34" s="269"/>
      <c r="FL34" s="269"/>
      <c r="FM34" s="269"/>
      <c r="FN34" s="314">
        <f>+FL34-FM34</f>
        <v>0</v>
      </c>
      <c r="FO34" s="269"/>
      <c r="FP34" s="269"/>
      <c r="FQ34" s="269"/>
      <c r="FR34" s="314">
        <f>+FP34-FQ34</f>
        <v>0</v>
      </c>
      <c r="FS34" s="269"/>
      <c r="FT34" s="269"/>
      <c r="FU34" s="269"/>
      <c r="FV34" s="314">
        <f>+FT34-FU34</f>
        <v>0</v>
      </c>
      <c r="FW34" s="269"/>
      <c r="FX34" s="269"/>
      <c r="FY34" s="269"/>
      <c r="FZ34" s="314">
        <f>+FX34-FY34</f>
        <v>0</v>
      </c>
      <c r="GA34" s="269"/>
      <c r="GB34" s="269"/>
      <c r="GC34" s="269"/>
      <c r="GD34" s="314">
        <f>+GB34-GC34</f>
        <v>0</v>
      </c>
      <c r="GE34" s="269"/>
      <c r="GF34" s="269"/>
      <c r="GG34" s="269"/>
      <c r="GH34" s="314">
        <f>+GF34-GG34</f>
        <v>0</v>
      </c>
      <c r="GI34" s="269"/>
      <c r="GJ34" s="269"/>
      <c r="GK34" s="269"/>
      <c r="GL34" s="314">
        <f>+GJ34-GK34</f>
        <v>0</v>
      </c>
      <c r="GM34" s="269"/>
      <c r="GN34" s="269"/>
      <c r="GO34" s="269"/>
      <c r="GP34" s="314">
        <f>+GN34-GO34</f>
        <v>0</v>
      </c>
      <c r="GQ34" s="269"/>
      <c r="GR34" s="269"/>
      <c r="GS34" s="269"/>
      <c r="GT34" s="314">
        <f>+GR34-GS34</f>
        <v>0</v>
      </c>
      <c r="GU34" s="269"/>
      <c r="GV34" s="269"/>
      <c r="GW34" s="269"/>
      <c r="GX34" s="314">
        <f>+GV34-GW34</f>
        <v>0</v>
      </c>
      <c r="GY34" s="269"/>
      <c r="GZ34" s="269"/>
      <c r="HA34" s="269"/>
      <c r="HB34" s="314">
        <f>+GZ34-HA34</f>
        <v>0</v>
      </c>
      <c r="HC34" s="269"/>
      <c r="HD34" s="269"/>
      <c r="HE34" s="269"/>
      <c r="HF34" s="314">
        <f>+HD34-HE34</f>
        <v>0</v>
      </c>
      <c r="HG34" s="269"/>
      <c r="HH34" s="269"/>
      <c r="HI34" s="269"/>
      <c r="HJ34" s="314">
        <f>+HH34-HI34</f>
        <v>0</v>
      </c>
      <c r="HK34" s="269"/>
      <c r="HL34" s="269"/>
      <c r="HM34" s="269"/>
      <c r="HN34" s="314">
        <f>+HL34-HM34</f>
        <v>0</v>
      </c>
      <c r="HO34" s="269"/>
      <c r="HP34" s="269"/>
      <c r="HQ34" s="269"/>
      <c r="HR34" s="314">
        <f>+HP34-HQ34</f>
        <v>0</v>
      </c>
      <c r="HS34" s="269"/>
      <c r="HT34" s="269"/>
      <c r="HU34" s="269"/>
      <c r="HV34" s="314">
        <f>+HT34-HU34</f>
        <v>0</v>
      </c>
      <c r="HW34" s="269"/>
      <c r="HX34" s="269"/>
      <c r="HY34" s="269"/>
      <c r="HZ34" s="314">
        <f>+HX34-HY34</f>
        <v>0</v>
      </c>
      <c r="IA34" s="269"/>
      <c r="IB34" s="269"/>
      <c r="IC34" s="269"/>
      <c r="ID34" s="314">
        <f>+IB34-IC34</f>
        <v>0</v>
      </c>
      <c r="IE34" s="269"/>
      <c r="IF34" s="269"/>
      <c r="IG34" s="269"/>
      <c r="IH34" s="314">
        <f>+IF34-IG34</f>
        <v>0</v>
      </c>
      <c r="II34" s="269"/>
      <c r="IJ34" s="269"/>
      <c r="IK34" s="269"/>
      <c r="IL34" s="314">
        <f>+IJ34-IK34</f>
        <v>0</v>
      </c>
      <c r="IM34" s="269"/>
      <c r="IN34" s="269"/>
      <c r="IO34" s="269"/>
      <c r="IP34" s="314">
        <f>+IN34-IO34</f>
        <v>0</v>
      </c>
      <c r="IQ34" s="277">
        <f t="shared" si="8"/>
        <v>0</v>
      </c>
      <c r="IR34" s="277">
        <f t="shared" si="8"/>
        <v>0</v>
      </c>
      <c r="IS34" s="277">
        <f t="shared" si="8"/>
        <v>0</v>
      </c>
      <c r="IT34" s="277">
        <f t="shared" si="8"/>
        <v>0</v>
      </c>
    </row>
    <row r="35" spans="1:254" ht="15" customHeight="1">
      <c r="A35" s="428">
        <v>490000</v>
      </c>
      <c r="B35" s="431" t="s">
        <v>1089</v>
      </c>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c r="BZ35" s="277"/>
      <c r="CA35" s="277"/>
      <c r="CB35" s="277"/>
      <c r="CC35" s="277"/>
      <c r="CD35" s="277"/>
      <c r="CE35" s="277"/>
      <c r="CF35" s="277"/>
      <c r="CG35" s="277"/>
      <c r="CH35" s="277"/>
      <c r="CI35" s="277"/>
      <c r="CJ35" s="277"/>
      <c r="CK35" s="277"/>
      <c r="CL35" s="277"/>
      <c r="CM35" s="277"/>
      <c r="CN35" s="277"/>
      <c r="CO35" s="277"/>
      <c r="CP35" s="277"/>
      <c r="CQ35" s="277"/>
      <c r="CR35" s="277"/>
      <c r="CS35" s="277"/>
      <c r="CT35" s="277"/>
      <c r="CU35" s="277"/>
      <c r="CV35" s="277"/>
      <c r="CW35" s="277"/>
      <c r="CX35" s="277"/>
      <c r="CY35" s="277"/>
      <c r="CZ35" s="277"/>
      <c r="DA35" s="277"/>
      <c r="DB35" s="277"/>
      <c r="DC35" s="277"/>
      <c r="DD35" s="277"/>
      <c r="DE35" s="277"/>
      <c r="DF35" s="277"/>
      <c r="DG35" s="277"/>
      <c r="DH35" s="277"/>
      <c r="DI35" s="277"/>
      <c r="DJ35" s="277"/>
      <c r="DK35" s="277"/>
      <c r="DL35" s="277"/>
      <c r="DM35" s="277"/>
      <c r="DN35" s="277"/>
      <c r="DO35" s="277"/>
      <c r="DP35" s="277"/>
      <c r="DQ35" s="277"/>
      <c r="DR35" s="277"/>
      <c r="DS35" s="277"/>
      <c r="DT35" s="277"/>
      <c r="DU35" s="277"/>
      <c r="DV35" s="277"/>
      <c r="DW35" s="277"/>
      <c r="DX35" s="277"/>
      <c r="DY35" s="277"/>
      <c r="DZ35" s="277"/>
      <c r="EA35" s="277"/>
      <c r="EB35" s="277"/>
      <c r="EC35" s="277"/>
      <c r="ED35" s="277"/>
      <c r="EE35" s="277"/>
      <c r="EF35" s="277"/>
      <c r="EG35" s="277"/>
      <c r="EH35" s="277"/>
      <c r="EI35" s="277"/>
      <c r="EJ35" s="277"/>
      <c r="EK35" s="277"/>
      <c r="EL35" s="277"/>
      <c r="EM35" s="277"/>
      <c r="EN35" s="277"/>
      <c r="EO35" s="277"/>
      <c r="EP35" s="277"/>
      <c r="EQ35" s="277"/>
      <c r="ER35" s="277"/>
      <c r="ES35" s="277"/>
      <c r="ET35" s="277"/>
      <c r="EU35" s="277"/>
      <c r="EV35" s="277"/>
      <c r="EW35" s="277"/>
      <c r="EX35" s="277"/>
      <c r="EY35" s="277"/>
      <c r="EZ35" s="277"/>
      <c r="FA35" s="277"/>
      <c r="FB35" s="277"/>
      <c r="FC35" s="277"/>
      <c r="FD35" s="277"/>
      <c r="FE35" s="277"/>
      <c r="FF35" s="277"/>
      <c r="FG35" s="277"/>
      <c r="FH35" s="277"/>
      <c r="FI35" s="277"/>
      <c r="FJ35" s="277"/>
      <c r="FK35" s="277"/>
      <c r="FL35" s="277"/>
      <c r="FM35" s="277"/>
      <c r="FN35" s="277"/>
      <c r="FO35" s="277"/>
      <c r="FP35" s="277"/>
      <c r="FQ35" s="277"/>
      <c r="FR35" s="277"/>
      <c r="FS35" s="277"/>
      <c r="FT35" s="277"/>
      <c r="FU35" s="277"/>
      <c r="FV35" s="277"/>
      <c r="FW35" s="277"/>
      <c r="FX35" s="277"/>
      <c r="FY35" s="277"/>
      <c r="FZ35" s="277"/>
      <c r="GA35" s="277"/>
      <c r="GB35" s="277"/>
      <c r="GC35" s="277"/>
      <c r="GD35" s="277"/>
      <c r="GE35" s="277"/>
      <c r="GF35" s="277"/>
      <c r="GG35" s="277"/>
      <c r="GH35" s="277"/>
      <c r="GI35" s="277"/>
      <c r="GJ35" s="277"/>
      <c r="GK35" s="277"/>
      <c r="GL35" s="277"/>
      <c r="GM35" s="277"/>
      <c r="GN35" s="277"/>
      <c r="GO35" s="277"/>
      <c r="GP35" s="277"/>
      <c r="GQ35" s="277"/>
      <c r="GR35" s="277"/>
      <c r="GS35" s="277"/>
      <c r="GT35" s="277"/>
      <c r="GU35" s="277"/>
      <c r="GV35" s="277"/>
      <c r="GW35" s="277"/>
      <c r="GX35" s="277"/>
      <c r="GY35" s="277"/>
      <c r="GZ35" s="277"/>
      <c r="HA35" s="277"/>
      <c r="HB35" s="277"/>
      <c r="HC35" s="277"/>
      <c r="HD35" s="277"/>
      <c r="HE35" s="277"/>
      <c r="HF35" s="277"/>
      <c r="HG35" s="277"/>
      <c r="HH35" s="277"/>
      <c r="HI35" s="277"/>
      <c r="HJ35" s="277"/>
      <c r="HK35" s="277"/>
      <c r="HL35" s="277"/>
      <c r="HM35" s="277"/>
      <c r="HN35" s="277"/>
      <c r="HO35" s="277"/>
      <c r="HP35" s="277"/>
      <c r="HQ35" s="277"/>
      <c r="HR35" s="277"/>
      <c r="HS35" s="277"/>
      <c r="HT35" s="277"/>
      <c r="HU35" s="277"/>
      <c r="HV35" s="277"/>
      <c r="HW35" s="277"/>
      <c r="HX35" s="277"/>
      <c r="HY35" s="277"/>
      <c r="HZ35" s="277"/>
      <c r="IA35" s="277"/>
      <c r="IB35" s="277"/>
      <c r="IC35" s="277"/>
      <c r="ID35" s="277"/>
      <c r="IE35" s="277"/>
      <c r="IF35" s="277"/>
      <c r="IG35" s="277"/>
      <c r="IH35" s="277"/>
      <c r="II35" s="277"/>
      <c r="IJ35" s="277"/>
      <c r="IK35" s="277"/>
      <c r="IL35" s="277"/>
      <c r="IM35" s="277"/>
      <c r="IN35" s="277"/>
      <c r="IO35" s="277"/>
      <c r="IP35" s="277"/>
      <c r="IQ35" s="277"/>
      <c r="IR35" s="277"/>
      <c r="IS35" s="277"/>
      <c r="IT35" s="277"/>
    </row>
    <row r="36" spans="1:254" ht="15" customHeight="1">
      <c r="A36" s="410">
        <v>610</v>
      </c>
      <c r="B36" s="263" t="s">
        <v>227</v>
      </c>
      <c r="C36" s="269"/>
      <c r="D36" s="269"/>
      <c r="E36" s="269"/>
      <c r="F36" s="314">
        <f t="shared" si="0"/>
        <v>0</v>
      </c>
      <c r="G36" s="269"/>
      <c r="H36" s="269"/>
      <c r="I36" s="269"/>
      <c r="J36" s="314">
        <f>+H36-I36</f>
        <v>0</v>
      </c>
      <c r="K36" s="269"/>
      <c r="L36" s="269"/>
      <c r="M36" s="269"/>
      <c r="N36" s="314">
        <f>+L36-M36</f>
        <v>0</v>
      </c>
      <c r="O36" s="269"/>
      <c r="P36" s="269"/>
      <c r="Q36" s="269"/>
      <c r="R36" s="314">
        <f>+P36-Q36</f>
        <v>0</v>
      </c>
      <c r="S36" s="269"/>
      <c r="T36" s="269"/>
      <c r="U36" s="269"/>
      <c r="V36" s="314">
        <f>+T36-U36</f>
        <v>0</v>
      </c>
      <c r="W36" s="269"/>
      <c r="X36" s="269"/>
      <c r="Y36" s="269"/>
      <c r="Z36" s="314">
        <f>+X36-Y36</f>
        <v>0</v>
      </c>
      <c r="AA36" s="269"/>
      <c r="AB36" s="269"/>
      <c r="AC36" s="269"/>
      <c r="AD36" s="314">
        <f>+AB36-AC36</f>
        <v>0</v>
      </c>
      <c r="AE36" s="269"/>
      <c r="AF36" s="269"/>
      <c r="AG36" s="269"/>
      <c r="AH36" s="314">
        <f>+AF36-AG36</f>
        <v>0</v>
      </c>
      <c r="AI36" s="269"/>
      <c r="AJ36" s="269"/>
      <c r="AK36" s="269"/>
      <c r="AL36" s="314">
        <f>+AJ36-AK36</f>
        <v>0</v>
      </c>
      <c r="AM36" s="269"/>
      <c r="AN36" s="269"/>
      <c r="AO36" s="269"/>
      <c r="AP36" s="314">
        <f>+AN36-AO36</f>
        <v>0</v>
      </c>
      <c r="AQ36" s="269"/>
      <c r="AR36" s="269"/>
      <c r="AS36" s="269"/>
      <c r="AT36" s="314">
        <f>+AR36-AS36</f>
        <v>0</v>
      </c>
      <c r="AU36" s="269"/>
      <c r="AV36" s="269"/>
      <c r="AW36" s="269"/>
      <c r="AX36" s="314">
        <f>+AV36-AW36</f>
        <v>0</v>
      </c>
      <c r="AY36" s="269"/>
      <c r="AZ36" s="269"/>
      <c r="BA36" s="269"/>
      <c r="BB36" s="314">
        <f>+AZ36-BA36</f>
        <v>0</v>
      </c>
      <c r="BC36" s="269"/>
      <c r="BD36" s="269"/>
      <c r="BE36" s="269"/>
      <c r="BF36" s="314">
        <f>+BD36-BE36</f>
        <v>0</v>
      </c>
      <c r="BG36" s="269"/>
      <c r="BH36" s="269"/>
      <c r="BI36" s="269"/>
      <c r="BJ36" s="314">
        <f>+BH36-BI36</f>
        <v>0</v>
      </c>
      <c r="BK36" s="269"/>
      <c r="BL36" s="269"/>
      <c r="BM36" s="269"/>
      <c r="BN36" s="314">
        <f>+BL36-BM36</f>
        <v>0</v>
      </c>
      <c r="BO36" s="269"/>
      <c r="BP36" s="269"/>
      <c r="BQ36" s="269"/>
      <c r="BR36" s="314">
        <f>+BP36-BQ36</f>
        <v>0</v>
      </c>
      <c r="BS36" s="269"/>
      <c r="BT36" s="269"/>
      <c r="BU36" s="269"/>
      <c r="BV36" s="314">
        <f>+BT36-BU36</f>
        <v>0</v>
      </c>
      <c r="BW36" s="269"/>
      <c r="BX36" s="269"/>
      <c r="BY36" s="269"/>
      <c r="BZ36" s="314">
        <f>+BX36-BY36</f>
        <v>0</v>
      </c>
      <c r="CA36" s="269"/>
      <c r="CB36" s="269"/>
      <c r="CC36" s="269"/>
      <c r="CD36" s="314">
        <f>+CB36-CC36</f>
        <v>0</v>
      </c>
      <c r="CE36" s="269"/>
      <c r="CF36" s="269"/>
      <c r="CG36" s="269"/>
      <c r="CH36" s="314">
        <f>+CF36-CG36</f>
        <v>0</v>
      </c>
      <c r="CI36" s="269"/>
      <c r="CJ36" s="269"/>
      <c r="CK36" s="269"/>
      <c r="CL36" s="314">
        <f>+CJ36-CK36</f>
        <v>0</v>
      </c>
      <c r="CM36" s="269"/>
      <c r="CN36" s="269"/>
      <c r="CO36" s="269"/>
      <c r="CP36" s="314">
        <f>+CN36-CO36</f>
        <v>0</v>
      </c>
      <c r="CQ36" s="269"/>
      <c r="CR36" s="269"/>
      <c r="CS36" s="269"/>
      <c r="CT36" s="314">
        <f>+CR36-CS36</f>
        <v>0</v>
      </c>
      <c r="CU36" s="269"/>
      <c r="CV36" s="269"/>
      <c r="CW36" s="269"/>
      <c r="CX36" s="314">
        <f>+CV36-CW36</f>
        <v>0</v>
      </c>
      <c r="CY36" s="269"/>
      <c r="CZ36" s="269"/>
      <c r="DA36" s="269"/>
      <c r="DB36" s="314">
        <f>+CZ36-DA36</f>
        <v>0</v>
      </c>
      <c r="DC36" s="269"/>
      <c r="DD36" s="269"/>
      <c r="DE36" s="269"/>
      <c r="DF36" s="314">
        <f>+DD36-DE36</f>
        <v>0</v>
      </c>
      <c r="DG36" s="269"/>
      <c r="DH36" s="269"/>
      <c r="DI36" s="269"/>
      <c r="DJ36" s="314">
        <f>+DH36-DI36</f>
        <v>0</v>
      </c>
      <c r="DK36" s="269"/>
      <c r="DL36" s="269"/>
      <c r="DM36" s="269"/>
      <c r="DN36" s="314">
        <f>+DL36-DM36</f>
        <v>0</v>
      </c>
      <c r="DO36" s="269"/>
      <c r="DP36" s="269"/>
      <c r="DQ36" s="269"/>
      <c r="DR36" s="314">
        <f>+DP36-DQ36</f>
        <v>0</v>
      </c>
      <c r="DS36" s="269"/>
      <c r="DT36" s="269"/>
      <c r="DU36" s="269"/>
      <c r="DV36" s="314">
        <f>+DT36-DU36</f>
        <v>0</v>
      </c>
      <c r="DW36" s="269"/>
      <c r="DX36" s="269"/>
      <c r="DY36" s="269"/>
      <c r="DZ36" s="314">
        <f>+DX36-DY36</f>
        <v>0</v>
      </c>
      <c r="EA36" s="269"/>
      <c r="EB36" s="269"/>
      <c r="EC36" s="269"/>
      <c r="ED36" s="314">
        <f>+EB36-EC36</f>
        <v>0</v>
      </c>
      <c r="EE36" s="269"/>
      <c r="EF36" s="269"/>
      <c r="EG36" s="269"/>
      <c r="EH36" s="314">
        <f>+EF36-EG36</f>
        <v>0</v>
      </c>
      <c r="EI36" s="269"/>
      <c r="EJ36" s="269"/>
      <c r="EK36" s="269"/>
      <c r="EL36" s="314">
        <f>+EJ36-EK36</f>
        <v>0</v>
      </c>
      <c r="EM36" s="269"/>
      <c r="EN36" s="269"/>
      <c r="EO36" s="269"/>
      <c r="EP36" s="314">
        <f>+EN36-EO36</f>
        <v>0</v>
      </c>
      <c r="EQ36" s="269"/>
      <c r="ER36" s="269"/>
      <c r="ES36" s="269"/>
      <c r="ET36" s="314">
        <f>+ER36-ES36</f>
        <v>0</v>
      </c>
      <c r="EU36" s="269"/>
      <c r="EV36" s="269"/>
      <c r="EW36" s="269"/>
      <c r="EX36" s="314">
        <f>+EV36-EW36</f>
        <v>0</v>
      </c>
      <c r="EY36" s="269"/>
      <c r="EZ36" s="269"/>
      <c r="FA36" s="269"/>
      <c r="FB36" s="314">
        <f>+EZ36-FA36</f>
        <v>0</v>
      </c>
      <c r="FC36" s="269"/>
      <c r="FD36" s="269"/>
      <c r="FE36" s="269"/>
      <c r="FF36" s="314">
        <f>+FD36-FE36</f>
        <v>0</v>
      </c>
      <c r="FG36" s="269"/>
      <c r="FH36" s="269"/>
      <c r="FI36" s="269"/>
      <c r="FJ36" s="314">
        <f>+FH36-FI36</f>
        <v>0</v>
      </c>
      <c r="FK36" s="269"/>
      <c r="FL36" s="269"/>
      <c r="FM36" s="269"/>
      <c r="FN36" s="314">
        <f>+FL36-FM36</f>
        <v>0</v>
      </c>
      <c r="FO36" s="269"/>
      <c r="FP36" s="269"/>
      <c r="FQ36" s="269"/>
      <c r="FR36" s="314">
        <f>+FP36-FQ36</f>
        <v>0</v>
      </c>
      <c r="FS36" s="269"/>
      <c r="FT36" s="269"/>
      <c r="FU36" s="269"/>
      <c r="FV36" s="314">
        <f>+FT36-FU36</f>
        <v>0</v>
      </c>
      <c r="FW36" s="269"/>
      <c r="FX36" s="269"/>
      <c r="FY36" s="269"/>
      <c r="FZ36" s="314">
        <f>+FX36-FY36</f>
        <v>0</v>
      </c>
      <c r="GA36" s="269"/>
      <c r="GB36" s="269"/>
      <c r="GC36" s="269"/>
      <c r="GD36" s="314">
        <f>+GB36-GC36</f>
        <v>0</v>
      </c>
      <c r="GE36" s="269"/>
      <c r="GF36" s="269"/>
      <c r="GG36" s="269"/>
      <c r="GH36" s="314">
        <f>+GF36-GG36</f>
        <v>0</v>
      </c>
      <c r="GI36" s="269"/>
      <c r="GJ36" s="269"/>
      <c r="GK36" s="269"/>
      <c r="GL36" s="314">
        <f>+GJ36-GK36</f>
        <v>0</v>
      </c>
      <c r="GM36" s="269"/>
      <c r="GN36" s="269"/>
      <c r="GO36" s="269"/>
      <c r="GP36" s="314">
        <f>+GN36-GO36</f>
        <v>0</v>
      </c>
      <c r="GQ36" s="269"/>
      <c r="GR36" s="269"/>
      <c r="GS36" s="269"/>
      <c r="GT36" s="314">
        <f>+GR36-GS36</f>
        <v>0</v>
      </c>
      <c r="GU36" s="269"/>
      <c r="GV36" s="269"/>
      <c r="GW36" s="269"/>
      <c r="GX36" s="314">
        <f>+GV36-GW36</f>
        <v>0</v>
      </c>
      <c r="GY36" s="269"/>
      <c r="GZ36" s="269"/>
      <c r="HA36" s="269"/>
      <c r="HB36" s="314">
        <f>+GZ36-HA36</f>
        <v>0</v>
      </c>
      <c r="HC36" s="269"/>
      <c r="HD36" s="269"/>
      <c r="HE36" s="269"/>
      <c r="HF36" s="314">
        <f>+HD36-HE36</f>
        <v>0</v>
      </c>
      <c r="HG36" s="269"/>
      <c r="HH36" s="269"/>
      <c r="HI36" s="269"/>
      <c r="HJ36" s="314">
        <f>+HH36-HI36</f>
        <v>0</v>
      </c>
      <c r="HK36" s="269"/>
      <c r="HL36" s="269"/>
      <c r="HM36" s="269"/>
      <c r="HN36" s="314">
        <f>+HL36-HM36</f>
        <v>0</v>
      </c>
      <c r="HO36" s="269"/>
      <c r="HP36" s="269"/>
      <c r="HQ36" s="269"/>
      <c r="HR36" s="314">
        <f>+HP36-HQ36</f>
        <v>0</v>
      </c>
      <c r="HS36" s="269"/>
      <c r="HT36" s="269"/>
      <c r="HU36" s="269"/>
      <c r="HV36" s="314">
        <f>+HT36-HU36</f>
        <v>0</v>
      </c>
      <c r="HW36" s="269"/>
      <c r="HX36" s="269"/>
      <c r="HY36" s="269"/>
      <c r="HZ36" s="314">
        <f>+HX36-HY36</f>
        <v>0</v>
      </c>
      <c r="IA36" s="269"/>
      <c r="IB36" s="269"/>
      <c r="IC36" s="269"/>
      <c r="ID36" s="314">
        <f>+IB36-IC36</f>
        <v>0</v>
      </c>
      <c r="IE36" s="269"/>
      <c r="IF36" s="269"/>
      <c r="IG36" s="269"/>
      <c r="IH36" s="314">
        <f>+IF36-IG36</f>
        <v>0</v>
      </c>
      <c r="II36" s="269"/>
      <c r="IJ36" s="269"/>
      <c r="IK36" s="269"/>
      <c r="IL36" s="314">
        <f>+IJ36-IK36</f>
        <v>0</v>
      </c>
      <c r="IM36" s="269"/>
      <c r="IN36" s="269"/>
      <c r="IO36" s="269"/>
      <c r="IP36" s="314">
        <f>+IN36-IO36</f>
        <v>0</v>
      </c>
      <c r="IQ36" s="277">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77">
        <f t="shared" si="9"/>
        <v>0</v>
      </c>
      <c r="IS36" s="277">
        <f t="shared" si="9"/>
        <v>0</v>
      </c>
      <c r="IT36" s="277">
        <f t="shared" si="9"/>
        <v>0</v>
      </c>
    </row>
    <row r="37" spans="1:254" ht="15" customHeight="1">
      <c r="A37" s="410">
        <v>620</v>
      </c>
      <c r="B37" s="263" t="s">
        <v>228</v>
      </c>
      <c r="C37" s="269"/>
      <c r="D37" s="269"/>
      <c r="E37" s="269"/>
      <c r="F37" s="314">
        <f t="shared" si="0"/>
        <v>0</v>
      </c>
      <c r="G37" s="269"/>
      <c r="H37" s="269"/>
      <c r="I37" s="269"/>
      <c r="J37" s="314">
        <f>+H37-I37</f>
        <v>0</v>
      </c>
      <c r="K37" s="269"/>
      <c r="L37" s="269"/>
      <c r="M37" s="269"/>
      <c r="N37" s="314">
        <f>+L37-M37</f>
        <v>0</v>
      </c>
      <c r="O37" s="269"/>
      <c r="P37" s="269"/>
      <c r="Q37" s="269"/>
      <c r="R37" s="314">
        <f>+P37-Q37</f>
        <v>0</v>
      </c>
      <c r="S37" s="269"/>
      <c r="T37" s="269"/>
      <c r="U37" s="269"/>
      <c r="V37" s="314">
        <f>+T37-U37</f>
        <v>0</v>
      </c>
      <c r="W37" s="269"/>
      <c r="X37" s="269"/>
      <c r="Y37" s="269"/>
      <c r="Z37" s="314">
        <f>+X37-Y37</f>
        <v>0</v>
      </c>
      <c r="AA37" s="269"/>
      <c r="AB37" s="269"/>
      <c r="AC37" s="269"/>
      <c r="AD37" s="314">
        <f>+AB37-AC37</f>
        <v>0</v>
      </c>
      <c r="AE37" s="269"/>
      <c r="AF37" s="269"/>
      <c r="AG37" s="269"/>
      <c r="AH37" s="314">
        <f>+AF37-AG37</f>
        <v>0</v>
      </c>
      <c r="AI37" s="269"/>
      <c r="AJ37" s="269"/>
      <c r="AK37" s="269"/>
      <c r="AL37" s="314">
        <f>+AJ37-AK37</f>
        <v>0</v>
      </c>
      <c r="AM37" s="269"/>
      <c r="AN37" s="269"/>
      <c r="AO37" s="269"/>
      <c r="AP37" s="314">
        <f>+AN37-AO37</f>
        <v>0</v>
      </c>
      <c r="AQ37" s="269"/>
      <c r="AR37" s="269"/>
      <c r="AS37" s="269"/>
      <c r="AT37" s="314">
        <f>+AR37-AS37</f>
        <v>0</v>
      </c>
      <c r="AU37" s="269"/>
      <c r="AV37" s="269"/>
      <c r="AW37" s="269"/>
      <c r="AX37" s="314">
        <f>+AV37-AW37</f>
        <v>0</v>
      </c>
      <c r="AY37" s="269"/>
      <c r="AZ37" s="269"/>
      <c r="BA37" s="269"/>
      <c r="BB37" s="314">
        <f>+AZ37-BA37</f>
        <v>0</v>
      </c>
      <c r="BC37" s="269"/>
      <c r="BD37" s="269"/>
      <c r="BE37" s="269"/>
      <c r="BF37" s="314">
        <f>+BD37-BE37</f>
        <v>0</v>
      </c>
      <c r="BG37" s="269"/>
      <c r="BH37" s="269"/>
      <c r="BI37" s="269"/>
      <c r="BJ37" s="314">
        <f>+BH37-BI37</f>
        <v>0</v>
      </c>
      <c r="BK37" s="269"/>
      <c r="BL37" s="269"/>
      <c r="BM37" s="269"/>
      <c r="BN37" s="314">
        <f>+BL37-BM37</f>
        <v>0</v>
      </c>
      <c r="BO37" s="269"/>
      <c r="BP37" s="269"/>
      <c r="BQ37" s="269"/>
      <c r="BR37" s="314">
        <f>+BP37-BQ37</f>
        <v>0</v>
      </c>
      <c r="BS37" s="269"/>
      <c r="BT37" s="269"/>
      <c r="BU37" s="269"/>
      <c r="BV37" s="314">
        <f>+BT37-BU37</f>
        <v>0</v>
      </c>
      <c r="BW37" s="269"/>
      <c r="BX37" s="269"/>
      <c r="BY37" s="269"/>
      <c r="BZ37" s="314">
        <f>+BX37-BY37</f>
        <v>0</v>
      </c>
      <c r="CA37" s="269"/>
      <c r="CB37" s="269"/>
      <c r="CC37" s="269"/>
      <c r="CD37" s="314">
        <f>+CB37-CC37</f>
        <v>0</v>
      </c>
      <c r="CE37" s="269"/>
      <c r="CF37" s="269"/>
      <c r="CG37" s="269"/>
      <c r="CH37" s="314">
        <f>+CF37-CG37</f>
        <v>0</v>
      </c>
      <c r="CI37" s="269"/>
      <c r="CJ37" s="269"/>
      <c r="CK37" s="269"/>
      <c r="CL37" s="314">
        <f>+CJ37-CK37</f>
        <v>0</v>
      </c>
      <c r="CM37" s="269"/>
      <c r="CN37" s="269"/>
      <c r="CO37" s="269"/>
      <c r="CP37" s="314">
        <f>+CN37-CO37</f>
        <v>0</v>
      </c>
      <c r="CQ37" s="269"/>
      <c r="CR37" s="269"/>
      <c r="CS37" s="269"/>
      <c r="CT37" s="314">
        <f>+CR37-CS37</f>
        <v>0</v>
      </c>
      <c r="CU37" s="269"/>
      <c r="CV37" s="269"/>
      <c r="CW37" s="269"/>
      <c r="CX37" s="314">
        <f>+CV37-CW37</f>
        <v>0</v>
      </c>
      <c r="CY37" s="269"/>
      <c r="CZ37" s="269"/>
      <c r="DA37" s="269"/>
      <c r="DB37" s="314">
        <f>+CZ37-DA37</f>
        <v>0</v>
      </c>
      <c r="DC37" s="269"/>
      <c r="DD37" s="269"/>
      <c r="DE37" s="269"/>
      <c r="DF37" s="314">
        <f>+DD37-DE37</f>
        <v>0</v>
      </c>
      <c r="DG37" s="269"/>
      <c r="DH37" s="269"/>
      <c r="DI37" s="269"/>
      <c r="DJ37" s="314">
        <f>+DH37-DI37</f>
        <v>0</v>
      </c>
      <c r="DK37" s="269"/>
      <c r="DL37" s="269"/>
      <c r="DM37" s="269"/>
      <c r="DN37" s="314">
        <f>+DL37-DM37</f>
        <v>0</v>
      </c>
      <c r="DO37" s="269"/>
      <c r="DP37" s="269"/>
      <c r="DQ37" s="269"/>
      <c r="DR37" s="314">
        <f>+DP37-DQ37</f>
        <v>0</v>
      </c>
      <c r="DS37" s="269"/>
      <c r="DT37" s="269"/>
      <c r="DU37" s="269"/>
      <c r="DV37" s="314">
        <f>+DT37-DU37</f>
        <v>0</v>
      </c>
      <c r="DW37" s="269"/>
      <c r="DX37" s="269"/>
      <c r="DY37" s="269"/>
      <c r="DZ37" s="314">
        <f>+DX37-DY37</f>
        <v>0</v>
      </c>
      <c r="EA37" s="269"/>
      <c r="EB37" s="269"/>
      <c r="EC37" s="269"/>
      <c r="ED37" s="314">
        <f>+EB37-EC37</f>
        <v>0</v>
      </c>
      <c r="EE37" s="269"/>
      <c r="EF37" s="269"/>
      <c r="EG37" s="269"/>
      <c r="EH37" s="314">
        <f>+EF37-EG37</f>
        <v>0</v>
      </c>
      <c r="EI37" s="269"/>
      <c r="EJ37" s="269"/>
      <c r="EK37" s="269"/>
      <c r="EL37" s="314">
        <f>+EJ37-EK37</f>
        <v>0</v>
      </c>
      <c r="EM37" s="269"/>
      <c r="EN37" s="269"/>
      <c r="EO37" s="269"/>
      <c r="EP37" s="314">
        <f>+EN37-EO37</f>
        <v>0</v>
      </c>
      <c r="EQ37" s="269"/>
      <c r="ER37" s="269"/>
      <c r="ES37" s="269"/>
      <c r="ET37" s="314">
        <f>+ER37-ES37</f>
        <v>0</v>
      </c>
      <c r="EU37" s="269"/>
      <c r="EV37" s="269"/>
      <c r="EW37" s="269"/>
      <c r="EX37" s="314">
        <f>+EV37-EW37</f>
        <v>0</v>
      </c>
      <c r="EY37" s="269"/>
      <c r="EZ37" s="269"/>
      <c r="FA37" s="269"/>
      <c r="FB37" s="314">
        <f>+EZ37-FA37</f>
        <v>0</v>
      </c>
      <c r="FC37" s="269"/>
      <c r="FD37" s="269"/>
      <c r="FE37" s="269"/>
      <c r="FF37" s="314">
        <f>+FD37-FE37</f>
        <v>0</v>
      </c>
      <c r="FG37" s="269"/>
      <c r="FH37" s="269"/>
      <c r="FI37" s="269"/>
      <c r="FJ37" s="314">
        <f>+FH37-FI37</f>
        <v>0</v>
      </c>
      <c r="FK37" s="269"/>
      <c r="FL37" s="269"/>
      <c r="FM37" s="269"/>
      <c r="FN37" s="314">
        <f>+FL37-FM37</f>
        <v>0</v>
      </c>
      <c r="FO37" s="269"/>
      <c r="FP37" s="269"/>
      <c r="FQ37" s="269"/>
      <c r="FR37" s="314">
        <f>+FP37-FQ37</f>
        <v>0</v>
      </c>
      <c r="FS37" s="269"/>
      <c r="FT37" s="269"/>
      <c r="FU37" s="269"/>
      <c r="FV37" s="314">
        <f>+FT37-FU37</f>
        <v>0</v>
      </c>
      <c r="FW37" s="269"/>
      <c r="FX37" s="269"/>
      <c r="FY37" s="269"/>
      <c r="FZ37" s="314">
        <f>+FX37-FY37</f>
        <v>0</v>
      </c>
      <c r="GA37" s="269"/>
      <c r="GB37" s="269"/>
      <c r="GC37" s="269"/>
      <c r="GD37" s="314">
        <f>+GB37-GC37</f>
        <v>0</v>
      </c>
      <c r="GE37" s="269"/>
      <c r="GF37" s="269"/>
      <c r="GG37" s="269"/>
      <c r="GH37" s="314">
        <f>+GF37-GG37</f>
        <v>0</v>
      </c>
      <c r="GI37" s="269"/>
      <c r="GJ37" s="269"/>
      <c r="GK37" s="269"/>
      <c r="GL37" s="314">
        <f>+GJ37-GK37</f>
        <v>0</v>
      </c>
      <c r="GM37" s="269"/>
      <c r="GN37" s="269"/>
      <c r="GO37" s="269"/>
      <c r="GP37" s="314">
        <f>+GN37-GO37</f>
        <v>0</v>
      </c>
      <c r="GQ37" s="269"/>
      <c r="GR37" s="269"/>
      <c r="GS37" s="269"/>
      <c r="GT37" s="314">
        <f>+GR37-GS37</f>
        <v>0</v>
      </c>
      <c r="GU37" s="269"/>
      <c r="GV37" s="269"/>
      <c r="GW37" s="269"/>
      <c r="GX37" s="314">
        <f>+GV37-GW37</f>
        <v>0</v>
      </c>
      <c r="GY37" s="269"/>
      <c r="GZ37" s="269"/>
      <c r="HA37" s="269"/>
      <c r="HB37" s="314">
        <f>+GZ37-HA37</f>
        <v>0</v>
      </c>
      <c r="HC37" s="269"/>
      <c r="HD37" s="269"/>
      <c r="HE37" s="269"/>
      <c r="HF37" s="314">
        <f>+HD37-HE37</f>
        <v>0</v>
      </c>
      <c r="HG37" s="269"/>
      <c r="HH37" s="269"/>
      <c r="HI37" s="269"/>
      <c r="HJ37" s="314">
        <f>+HH37-HI37</f>
        <v>0</v>
      </c>
      <c r="HK37" s="269"/>
      <c r="HL37" s="269"/>
      <c r="HM37" s="269"/>
      <c r="HN37" s="314">
        <f>+HL37-HM37</f>
        <v>0</v>
      </c>
      <c r="HO37" s="269"/>
      <c r="HP37" s="269"/>
      <c r="HQ37" s="269"/>
      <c r="HR37" s="314">
        <f>+HP37-HQ37</f>
        <v>0</v>
      </c>
      <c r="HS37" s="269"/>
      <c r="HT37" s="269"/>
      <c r="HU37" s="269"/>
      <c r="HV37" s="314">
        <f>+HT37-HU37</f>
        <v>0</v>
      </c>
      <c r="HW37" s="269"/>
      <c r="HX37" s="269"/>
      <c r="HY37" s="269"/>
      <c r="HZ37" s="314">
        <f>+HX37-HY37</f>
        <v>0</v>
      </c>
      <c r="IA37" s="269"/>
      <c r="IB37" s="269"/>
      <c r="IC37" s="269"/>
      <c r="ID37" s="314">
        <f>+IB37-IC37</f>
        <v>0</v>
      </c>
      <c r="IE37" s="269"/>
      <c r="IF37" s="269"/>
      <c r="IG37" s="269"/>
      <c r="IH37" s="314">
        <f>+IF37-IG37</f>
        <v>0</v>
      </c>
      <c r="II37" s="269"/>
      <c r="IJ37" s="269"/>
      <c r="IK37" s="269"/>
      <c r="IL37" s="314">
        <f>+IJ37-IK37</f>
        <v>0</v>
      </c>
      <c r="IM37" s="269"/>
      <c r="IN37" s="269"/>
      <c r="IO37" s="269"/>
      <c r="IP37" s="314">
        <f>+IN37-IO37</f>
        <v>0</v>
      </c>
      <c r="IQ37" s="277">
        <f t="shared" si="9"/>
        <v>0</v>
      </c>
      <c r="IR37" s="277">
        <f t="shared" si="9"/>
        <v>0</v>
      </c>
      <c r="IS37" s="277">
        <f t="shared" si="9"/>
        <v>0</v>
      </c>
      <c r="IT37" s="277">
        <f t="shared" si="9"/>
        <v>0</v>
      </c>
    </row>
    <row r="38" spans="1:254" ht="15" customHeight="1" thickBot="1">
      <c r="A38" s="301">
        <v>510000</v>
      </c>
      <c r="B38" s="268" t="s">
        <v>214</v>
      </c>
      <c r="C38" s="271"/>
      <c r="D38" s="271"/>
      <c r="E38" s="271"/>
      <c r="F38" s="316">
        <f t="shared" si="0"/>
        <v>0</v>
      </c>
      <c r="G38" s="271"/>
      <c r="H38" s="271"/>
      <c r="I38" s="271"/>
      <c r="J38" s="316">
        <f>+H38-I38</f>
        <v>0</v>
      </c>
      <c r="K38" s="271"/>
      <c r="L38" s="271"/>
      <c r="M38" s="271"/>
      <c r="N38" s="316">
        <f>+L38-M38</f>
        <v>0</v>
      </c>
      <c r="O38" s="271"/>
      <c r="P38" s="271"/>
      <c r="Q38" s="271"/>
      <c r="R38" s="316">
        <f>+P38-Q38</f>
        <v>0</v>
      </c>
      <c r="S38" s="271"/>
      <c r="T38" s="271"/>
      <c r="U38" s="271"/>
      <c r="V38" s="316">
        <f>+T38-U38</f>
        <v>0</v>
      </c>
      <c r="W38" s="271"/>
      <c r="X38" s="271"/>
      <c r="Y38" s="271"/>
      <c r="Z38" s="316">
        <f>+X38-Y38</f>
        <v>0</v>
      </c>
      <c r="AA38" s="271"/>
      <c r="AB38" s="271"/>
      <c r="AC38" s="271"/>
      <c r="AD38" s="316">
        <f>+AB38-AC38</f>
        <v>0</v>
      </c>
      <c r="AE38" s="271"/>
      <c r="AF38" s="271"/>
      <c r="AG38" s="271"/>
      <c r="AH38" s="316">
        <f>+AF38-AG38</f>
        <v>0</v>
      </c>
      <c r="AI38" s="271"/>
      <c r="AJ38" s="271"/>
      <c r="AK38" s="271"/>
      <c r="AL38" s="316">
        <f>+AJ38-AK38</f>
        <v>0</v>
      </c>
      <c r="AM38" s="271"/>
      <c r="AN38" s="271"/>
      <c r="AO38" s="271"/>
      <c r="AP38" s="316">
        <f>+AN38-AO38</f>
        <v>0</v>
      </c>
      <c r="AQ38" s="271"/>
      <c r="AR38" s="271"/>
      <c r="AS38" s="271"/>
      <c r="AT38" s="316">
        <f>+AR38-AS38</f>
        <v>0</v>
      </c>
      <c r="AU38" s="271"/>
      <c r="AV38" s="271"/>
      <c r="AW38" s="271"/>
      <c r="AX38" s="316">
        <f>+AV38-AW38</f>
        <v>0</v>
      </c>
      <c r="AY38" s="271"/>
      <c r="AZ38" s="271"/>
      <c r="BA38" s="271"/>
      <c r="BB38" s="316">
        <f>+AZ38-BA38</f>
        <v>0</v>
      </c>
      <c r="BC38" s="271"/>
      <c r="BD38" s="271"/>
      <c r="BE38" s="271"/>
      <c r="BF38" s="316">
        <f>+BD38-BE38</f>
        <v>0</v>
      </c>
      <c r="BG38" s="271"/>
      <c r="BH38" s="271"/>
      <c r="BI38" s="271"/>
      <c r="BJ38" s="316">
        <f>+BH38-BI38</f>
        <v>0</v>
      </c>
      <c r="BK38" s="271"/>
      <c r="BL38" s="271"/>
      <c r="BM38" s="271"/>
      <c r="BN38" s="316">
        <f>+BL38-BM38</f>
        <v>0</v>
      </c>
      <c r="BO38" s="271"/>
      <c r="BP38" s="271"/>
      <c r="BQ38" s="271"/>
      <c r="BR38" s="316">
        <f>+BP38-BQ38</f>
        <v>0</v>
      </c>
      <c r="BS38" s="271"/>
      <c r="BT38" s="271"/>
      <c r="BU38" s="271"/>
      <c r="BV38" s="316">
        <f>+BT38-BU38</f>
        <v>0</v>
      </c>
      <c r="BW38" s="271"/>
      <c r="BX38" s="271"/>
      <c r="BY38" s="271"/>
      <c r="BZ38" s="316">
        <f>+BX38-BY38</f>
        <v>0</v>
      </c>
      <c r="CA38" s="271"/>
      <c r="CB38" s="271"/>
      <c r="CC38" s="271"/>
      <c r="CD38" s="316">
        <f>+CB38-CC38</f>
        <v>0</v>
      </c>
      <c r="CE38" s="271"/>
      <c r="CF38" s="271"/>
      <c r="CG38" s="271"/>
      <c r="CH38" s="316">
        <f>+CF38-CG38</f>
        <v>0</v>
      </c>
      <c r="CI38" s="271"/>
      <c r="CJ38" s="271"/>
      <c r="CK38" s="271"/>
      <c r="CL38" s="316">
        <f>+CJ38-CK38</f>
        <v>0</v>
      </c>
      <c r="CM38" s="271"/>
      <c r="CN38" s="271"/>
      <c r="CO38" s="271"/>
      <c r="CP38" s="316">
        <f>+CN38-CO38</f>
        <v>0</v>
      </c>
      <c r="CQ38" s="271"/>
      <c r="CR38" s="271"/>
      <c r="CS38" s="271"/>
      <c r="CT38" s="316">
        <f>+CR38-CS38</f>
        <v>0</v>
      </c>
      <c r="CU38" s="271"/>
      <c r="CV38" s="271"/>
      <c r="CW38" s="271"/>
      <c r="CX38" s="316">
        <f>+CV38-CW38</f>
        <v>0</v>
      </c>
      <c r="CY38" s="271"/>
      <c r="CZ38" s="271"/>
      <c r="DA38" s="271"/>
      <c r="DB38" s="316">
        <f>+CZ38-DA38</f>
        <v>0</v>
      </c>
      <c r="DC38" s="271"/>
      <c r="DD38" s="271"/>
      <c r="DE38" s="271"/>
      <c r="DF38" s="316">
        <f>+DD38-DE38</f>
        <v>0</v>
      </c>
      <c r="DG38" s="271"/>
      <c r="DH38" s="271"/>
      <c r="DI38" s="271"/>
      <c r="DJ38" s="316">
        <f>+DH38-DI38</f>
        <v>0</v>
      </c>
      <c r="DK38" s="271"/>
      <c r="DL38" s="271"/>
      <c r="DM38" s="271"/>
      <c r="DN38" s="316">
        <f>+DL38-DM38</f>
        <v>0</v>
      </c>
      <c r="DO38" s="271"/>
      <c r="DP38" s="271"/>
      <c r="DQ38" s="271"/>
      <c r="DR38" s="316">
        <f>+DP38-DQ38</f>
        <v>0</v>
      </c>
      <c r="DS38" s="271"/>
      <c r="DT38" s="271"/>
      <c r="DU38" s="271"/>
      <c r="DV38" s="316">
        <f>+DT38-DU38</f>
        <v>0</v>
      </c>
      <c r="DW38" s="271"/>
      <c r="DX38" s="271"/>
      <c r="DY38" s="271"/>
      <c r="DZ38" s="316">
        <f>+DX38-DY38</f>
        <v>0</v>
      </c>
      <c r="EA38" s="271"/>
      <c r="EB38" s="271"/>
      <c r="EC38" s="271"/>
      <c r="ED38" s="316">
        <f>+EB38-EC38</f>
        <v>0</v>
      </c>
      <c r="EE38" s="271"/>
      <c r="EF38" s="271"/>
      <c r="EG38" s="271"/>
      <c r="EH38" s="316">
        <f>+EF38-EG38</f>
        <v>0</v>
      </c>
      <c r="EI38" s="271"/>
      <c r="EJ38" s="271"/>
      <c r="EK38" s="271"/>
      <c r="EL38" s="316">
        <f>+EJ38-EK38</f>
        <v>0</v>
      </c>
      <c r="EM38" s="271"/>
      <c r="EN38" s="271"/>
      <c r="EO38" s="271"/>
      <c r="EP38" s="316">
        <f>+EN38-EO38</f>
        <v>0</v>
      </c>
      <c r="EQ38" s="271"/>
      <c r="ER38" s="271"/>
      <c r="ES38" s="271"/>
      <c r="ET38" s="316">
        <f>+ER38-ES38</f>
        <v>0</v>
      </c>
      <c r="EU38" s="271"/>
      <c r="EV38" s="271"/>
      <c r="EW38" s="271"/>
      <c r="EX38" s="316">
        <f>+EV38-EW38</f>
        <v>0</v>
      </c>
      <c r="EY38" s="271"/>
      <c r="EZ38" s="271"/>
      <c r="FA38" s="271"/>
      <c r="FB38" s="316">
        <f>+EZ38-FA38</f>
        <v>0</v>
      </c>
      <c r="FC38" s="271"/>
      <c r="FD38" s="271"/>
      <c r="FE38" s="271"/>
      <c r="FF38" s="316">
        <f>+FD38-FE38</f>
        <v>0</v>
      </c>
      <c r="FG38" s="271"/>
      <c r="FH38" s="271"/>
      <c r="FI38" s="271"/>
      <c r="FJ38" s="316">
        <f>+FH38-FI38</f>
        <v>0</v>
      </c>
      <c r="FK38" s="271"/>
      <c r="FL38" s="271"/>
      <c r="FM38" s="271"/>
      <c r="FN38" s="316">
        <f>+FL38-FM38</f>
        <v>0</v>
      </c>
      <c r="FO38" s="271"/>
      <c r="FP38" s="271"/>
      <c r="FQ38" s="271"/>
      <c r="FR38" s="316">
        <f>+FP38-FQ38</f>
        <v>0</v>
      </c>
      <c r="FS38" s="271"/>
      <c r="FT38" s="271"/>
      <c r="FU38" s="271"/>
      <c r="FV38" s="316">
        <f>+FT38-FU38</f>
        <v>0</v>
      </c>
      <c r="FW38" s="271"/>
      <c r="FX38" s="271"/>
      <c r="FY38" s="271"/>
      <c r="FZ38" s="316">
        <f>+FX38-FY38</f>
        <v>0</v>
      </c>
      <c r="GA38" s="271"/>
      <c r="GB38" s="271"/>
      <c r="GC38" s="271"/>
      <c r="GD38" s="316">
        <f>+GB38-GC38</f>
        <v>0</v>
      </c>
      <c r="GE38" s="271"/>
      <c r="GF38" s="271"/>
      <c r="GG38" s="271"/>
      <c r="GH38" s="316">
        <f>+GF38-GG38</f>
        <v>0</v>
      </c>
      <c r="GI38" s="271"/>
      <c r="GJ38" s="271"/>
      <c r="GK38" s="271"/>
      <c r="GL38" s="316">
        <f>+GJ38-GK38</f>
        <v>0</v>
      </c>
      <c r="GM38" s="271"/>
      <c r="GN38" s="271"/>
      <c r="GO38" s="271"/>
      <c r="GP38" s="316">
        <f>+GN38-GO38</f>
        <v>0</v>
      </c>
      <c r="GQ38" s="271"/>
      <c r="GR38" s="271"/>
      <c r="GS38" s="271"/>
      <c r="GT38" s="316">
        <f>+GR38-GS38</f>
        <v>0</v>
      </c>
      <c r="GU38" s="271"/>
      <c r="GV38" s="271"/>
      <c r="GW38" s="271"/>
      <c r="GX38" s="316">
        <f>+GV38-GW38</f>
        <v>0</v>
      </c>
      <c r="GY38" s="271"/>
      <c r="GZ38" s="271"/>
      <c r="HA38" s="271"/>
      <c r="HB38" s="316">
        <f>+GZ38-HA38</f>
        <v>0</v>
      </c>
      <c r="HC38" s="271"/>
      <c r="HD38" s="271"/>
      <c r="HE38" s="271"/>
      <c r="HF38" s="316">
        <f>+HD38-HE38</f>
        <v>0</v>
      </c>
      <c r="HG38" s="271"/>
      <c r="HH38" s="271"/>
      <c r="HI38" s="271"/>
      <c r="HJ38" s="316">
        <f>+HH38-HI38</f>
        <v>0</v>
      </c>
      <c r="HK38" s="271"/>
      <c r="HL38" s="271"/>
      <c r="HM38" s="271"/>
      <c r="HN38" s="316">
        <f>+HL38-HM38</f>
        <v>0</v>
      </c>
      <c r="HO38" s="271"/>
      <c r="HP38" s="271"/>
      <c r="HQ38" s="271"/>
      <c r="HR38" s="316">
        <f>+HP38-HQ38</f>
        <v>0</v>
      </c>
      <c r="HS38" s="271"/>
      <c r="HT38" s="271"/>
      <c r="HU38" s="271"/>
      <c r="HV38" s="316">
        <f>+HT38-HU38</f>
        <v>0</v>
      </c>
      <c r="HW38" s="271"/>
      <c r="HX38" s="271"/>
      <c r="HY38" s="271"/>
      <c r="HZ38" s="316">
        <f>+HX38-HY38</f>
        <v>0</v>
      </c>
      <c r="IA38" s="271"/>
      <c r="IB38" s="271"/>
      <c r="IC38" s="271"/>
      <c r="ID38" s="316">
        <f>+IB38-IC38</f>
        <v>0</v>
      </c>
      <c r="IE38" s="271"/>
      <c r="IF38" s="271"/>
      <c r="IG38" s="271"/>
      <c r="IH38" s="316">
        <f>+IF38-IG38</f>
        <v>0</v>
      </c>
      <c r="II38" s="271"/>
      <c r="IJ38" s="271"/>
      <c r="IK38" s="271"/>
      <c r="IL38" s="316">
        <f>+IJ38-IK38</f>
        <v>0</v>
      </c>
      <c r="IM38" s="271"/>
      <c r="IN38" s="271"/>
      <c r="IO38" s="271"/>
      <c r="IP38" s="316">
        <f>+IN38-IO38</f>
        <v>0</v>
      </c>
      <c r="IQ38" s="278">
        <f t="shared" si="9"/>
        <v>0</v>
      </c>
      <c r="IR38" s="278">
        <f t="shared" si="9"/>
        <v>0</v>
      </c>
      <c r="IS38" s="278">
        <f t="shared" si="9"/>
        <v>0</v>
      </c>
      <c r="IT38" s="278">
        <f t="shared" si="9"/>
        <v>0</v>
      </c>
    </row>
    <row r="39" spans="1:254" ht="15" customHeight="1" thickBot="1">
      <c r="A39" s="429"/>
      <c r="B39" s="430" t="s">
        <v>1156</v>
      </c>
      <c r="C39" s="278">
        <f t="shared" ref="C39:AH39" si="10">SUM(C8:C38)</f>
        <v>8250</v>
      </c>
      <c r="D39" s="278">
        <f t="shared" si="10"/>
        <v>8250</v>
      </c>
      <c r="E39" s="278">
        <f t="shared" si="10"/>
        <v>7951.1799999999994</v>
      </c>
      <c r="F39" s="278">
        <f t="shared" si="10"/>
        <v>298.81999999999994</v>
      </c>
      <c r="G39" s="278">
        <f t="shared" si="10"/>
        <v>22000</v>
      </c>
      <c r="H39" s="278">
        <f t="shared" si="10"/>
        <v>22000</v>
      </c>
      <c r="I39" s="278">
        <f t="shared" si="10"/>
        <v>13658.52</v>
      </c>
      <c r="J39" s="278">
        <f t="shared" si="10"/>
        <v>8341.48</v>
      </c>
      <c r="K39" s="278">
        <f t="shared" si="10"/>
        <v>7000</v>
      </c>
      <c r="L39" s="278">
        <f t="shared" si="10"/>
        <v>7000</v>
      </c>
      <c r="M39" s="278">
        <f t="shared" si="10"/>
        <v>2658.81</v>
      </c>
      <c r="N39" s="278">
        <f t="shared" si="10"/>
        <v>4341.1900000000005</v>
      </c>
      <c r="O39" s="278">
        <f t="shared" si="10"/>
        <v>0</v>
      </c>
      <c r="P39" s="278">
        <f t="shared" si="10"/>
        <v>0</v>
      </c>
      <c r="Q39" s="278">
        <f t="shared" si="10"/>
        <v>0</v>
      </c>
      <c r="R39" s="278">
        <f t="shared" si="10"/>
        <v>0</v>
      </c>
      <c r="S39" s="278">
        <f t="shared" si="10"/>
        <v>0</v>
      </c>
      <c r="T39" s="278">
        <f t="shared" si="10"/>
        <v>0</v>
      </c>
      <c r="U39" s="278">
        <f t="shared" si="10"/>
        <v>0</v>
      </c>
      <c r="V39" s="278">
        <f t="shared" si="10"/>
        <v>0</v>
      </c>
      <c r="W39" s="278">
        <f t="shared" si="10"/>
        <v>0</v>
      </c>
      <c r="X39" s="278">
        <f t="shared" si="10"/>
        <v>0</v>
      </c>
      <c r="Y39" s="278">
        <f t="shared" si="10"/>
        <v>0</v>
      </c>
      <c r="Z39" s="278">
        <f t="shared" si="10"/>
        <v>0</v>
      </c>
      <c r="AA39" s="278">
        <f t="shared" si="10"/>
        <v>0</v>
      </c>
      <c r="AB39" s="278">
        <f t="shared" si="10"/>
        <v>0</v>
      </c>
      <c r="AC39" s="278">
        <f t="shared" si="10"/>
        <v>0</v>
      </c>
      <c r="AD39" s="278">
        <f t="shared" si="10"/>
        <v>0</v>
      </c>
      <c r="AE39" s="278">
        <f t="shared" si="10"/>
        <v>0</v>
      </c>
      <c r="AF39" s="278">
        <f t="shared" si="10"/>
        <v>0</v>
      </c>
      <c r="AG39" s="278">
        <f t="shared" si="10"/>
        <v>0</v>
      </c>
      <c r="AH39" s="278">
        <f t="shared" si="10"/>
        <v>0</v>
      </c>
      <c r="AI39" s="278">
        <f t="shared" ref="AI39:BN39" si="11">SUM(AI8:AI38)</f>
        <v>0</v>
      </c>
      <c r="AJ39" s="278">
        <f t="shared" si="11"/>
        <v>0</v>
      </c>
      <c r="AK39" s="278">
        <f t="shared" si="11"/>
        <v>0</v>
      </c>
      <c r="AL39" s="278">
        <f t="shared" si="11"/>
        <v>0</v>
      </c>
      <c r="AM39" s="278">
        <f t="shared" si="11"/>
        <v>0</v>
      </c>
      <c r="AN39" s="278">
        <f t="shared" si="11"/>
        <v>0</v>
      </c>
      <c r="AO39" s="278">
        <f t="shared" si="11"/>
        <v>0</v>
      </c>
      <c r="AP39" s="278">
        <f t="shared" si="11"/>
        <v>0</v>
      </c>
      <c r="AQ39" s="278">
        <f t="shared" si="11"/>
        <v>0</v>
      </c>
      <c r="AR39" s="278">
        <f t="shared" si="11"/>
        <v>0</v>
      </c>
      <c r="AS39" s="278">
        <f t="shared" si="11"/>
        <v>0</v>
      </c>
      <c r="AT39" s="278">
        <f t="shared" si="11"/>
        <v>0</v>
      </c>
      <c r="AU39" s="278">
        <f t="shared" si="11"/>
        <v>0</v>
      </c>
      <c r="AV39" s="278">
        <f t="shared" si="11"/>
        <v>0</v>
      </c>
      <c r="AW39" s="278">
        <f t="shared" si="11"/>
        <v>0</v>
      </c>
      <c r="AX39" s="278">
        <f t="shared" si="11"/>
        <v>0</v>
      </c>
      <c r="AY39" s="278">
        <f t="shared" si="11"/>
        <v>0</v>
      </c>
      <c r="AZ39" s="278">
        <f t="shared" si="11"/>
        <v>0</v>
      </c>
      <c r="BA39" s="278">
        <f t="shared" si="11"/>
        <v>0</v>
      </c>
      <c r="BB39" s="278">
        <f t="shared" si="11"/>
        <v>0</v>
      </c>
      <c r="BC39" s="278">
        <f t="shared" si="11"/>
        <v>0</v>
      </c>
      <c r="BD39" s="278">
        <f t="shared" si="11"/>
        <v>0</v>
      </c>
      <c r="BE39" s="278">
        <f t="shared" si="11"/>
        <v>0</v>
      </c>
      <c r="BF39" s="278">
        <f t="shared" si="11"/>
        <v>0</v>
      </c>
      <c r="BG39" s="278">
        <f t="shared" si="11"/>
        <v>0</v>
      </c>
      <c r="BH39" s="278">
        <f t="shared" si="11"/>
        <v>0</v>
      </c>
      <c r="BI39" s="278">
        <f t="shared" si="11"/>
        <v>0</v>
      </c>
      <c r="BJ39" s="278">
        <f t="shared" si="11"/>
        <v>0</v>
      </c>
      <c r="BK39" s="278">
        <f t="shared" si="11"/>
        <v>0</v>
      </c>
      <c r="BL39" s="278">
        <f t="shared" si="11"/>
        <v>0</v>
      </c>
      <c r="BM39" s="278">
        <f t="shared" si="11"/>
        <v>0</v>
      </c>
      <c r="BN39" s="278">
        <f t="shared" si="11"/>
        <v>0</v>
      </c>
      <c r="BO39" s="278">
        <f t="shared" ref="BO39:CT39" si="12">SUM(BO8:BO38)</f>
        <v>0</v>
      </c>
      <c r="BP39" s="278">
        <f t="shared" si="12"/>
        <v>0</v>
      </c>
      <c r="BQ39" s="278">
        <f t="shared" si="12"/>
        <v>0</v>
      </c>
      <c r="BR39" s="278">
        <f t="shared" si="12"/>
        <v>0</v>
      </c>
      <c r="BS39" s="278">
        <f t="shared" si="12"/>
        <v>0</v>
      </c>
      <c r="BT39" s="278">
        <f t="shared" si="12"/>
        <v>0</v>
      </c>
      <c r="BU39" s="278">
        <f t="shared" si="12"/>
        <v>0</v>
      </c>
      <c r="BV39" s="278">
        <f t="shared" si="12"/>
        <v>0</v>
      </c>
      <c r="BW39" s="278">
        <f t="shared" si="12"/>
        <v>0</v>
      </c>
      <c r="BX39" s="278">
        <f t="shared" si="12"/>
        <v>0</v>
      </c>
      <c r="BY39" s="278">
        <f t="shared" si="12"/>
        <v>0</v>
      </c>
      <c r="BZ39" s="278">
        <f t="shared" si="12"/>
        <v>0</v>
      </c>
      <c r="CA39" s="278">
        <f t="shared" si="12"/>
        <v>0</v>
      </c>
      <c r="CB39" s="278">
        <f t="shared" si="12"/>
        <v>0</v>
      </c>
      <c r="CC39" s="278">
        <f t="shared" si="12"/>
        <v>0</v>
      </c>
      <c r="CD39" s="278">
        <f t="shared" si="12"/>
        <v>0</v>
      </c>
      <c r="CE39" s="278">
        <f t="shared" si="12"/>
        <v>0</v>
      </c>
      <c r="CF39" s="278">
        <f t="shared" si="12"/>
        <v>0</v>
      </c>
      <c r="CG39" s="278">
        <f t="shared" si="12"/>
        <v>0</v>
      </c>
      <c r="CH39" s="278">
        <f t="shared" si="12"/>
        <v>0</v>
      </c>
      <c r="CI39" s="278">
        <f t="shared" si="12"/>
        <v>0</v>
      </c>
      <c r="CJ39" s="278">
        <f t="shared" si="12"/>
        <v>0</v>
      </c>
      <c r="CK39" s="278">
        <f t="shared" si="12"/>
        <v>0</v>
      </c>
      <c r="CL39" s="278">
        <f t="shared" si="12"/>
        <v>0</v>
      </c>
      <c r="CM39" s="278">
        <f t="shared" si="12"/>
        <v>0</v>
      </c>
      <c r="CN39" s="278">
        <f t="shared" si="12"/>
        <v>0</v>
      </c>
      <c r="CO39" s="278">
        <f t="shared" si="12"/>
        <v>0</v>
      </c>
      <c r="CP39" s="278">
        <f t="shared" si="12"/>
        <v>0</v>
      </c>
      <c r="CQ39" s="278">
        <f t="shared" si="12"/>
        <v>0</v>
      </c>
      <c r="CR39" s="278">
        <f t="shared" si="12"/>
        <v>0</v>
      </c>
      <c r="CS39" s="278">
        <f t="shared" si="12"/>
        <v>0</v>
      </c>
      <c r="CT39" s="278">
        <f t="shared" si="12"/>
        <v>0</v>
      </c>
      <c r="CU39" s="278">
        <f t="shared" ref="CU39:DZ39" si="13">SUM(CU8:CU38)</f>
        <v>0</v>
      </c>
      <c r="CV39" s="278">
        <f t="shared" si="13"/>
        <v>0</v>
      </c>
      <c r="CW39" s="278">
        <f t="shared" si="13"/>
        <v>0</v>
      </c>
      <c r="CX39" s="278">
        <f t="shared" si="13"/>
        <v>0</v>
      </c>
      <c r="CY39" s="278">
        <f t="shared" si="13"/>
        <v>0</v>
      </c>
      <c r="CZ39" s="278">
        <f t="shared" si="13"/>
        <v>0</v>
      </c>
      <c r="DA39" s="278">
        <f t="shared" si="13"/>
        <v>0</v>
      </c>
      <c r="DB39" s="278">
        <f t="shared" si="13"/>
        <v>0</v>
      </c>
      <c r="DC39" s="278">
        <f t="shared" si="13"/>
        <v>0</v>
      </c>
      <c r="DD39" s="278">
        <f t="shared" si="13"/>
        <v>0</v>
      </c>
      <c r="DE39" s="278">
        <f t="shared" si="13"/>
        <v>0</v>
      </c>
      <c r="DF39" s="278">
        <f t="shared" si="13"/>
        <v>0</v>
      </c>
      <c r="DG39" s="278">
        <f t="shared" si="13"/>
        <v>0</v>
      </c>
      <c r="DH39" s="278">
        <f t="shared" si="13"/>
        <v>0</v>
      </c>
      <c r="DI39" s="278">
        <f t="shared" si="13"/>
        <v>0</v>
      </c>
      <c r="DJ39" s="278">
        <f t="shared" si="13"/>
        <v>0</v>
      </c>
      <c r="DK39" s="278">
        <f t="shared" si="13"/>
        <v>0</v>
      </c>
      <c r="DL39" s="278">
        <f t="shared" si="13"/>
        <v>0</v>
      </c>
      <c r="DM39" s="278">
        <f t="shared" si="13"/>
        <v>0</v>
      </c>
      <c r="DN39" s="278">
        <f t="shared" si="13"/>
        <v>0</v>
      </c>
      <c r="DO39" s="278">
        <f t="shared" si="13"/>
        <v>0</v>
      </c>
      <c r="DP39" s="278">
        <f t="shared" si="13"/>
        <v>0</v>
      </c>
      <c r="DQ39" s="278">
        <f t="shared" si="13"/>
        <v>0</v>
      </c>
      <c r="DR39" s="278">
        <f t="shared" si="13"/>
        <v>0</v>
      </c>
      <c r="DS39" s="278">
        <f t="shared" si="13"/>
        <v>0</v>
      </c>
      <c r="DT39" s="278">
        <f t="shared" si="13"/>
        <v>0</v>
      </c>
      <c r="DU39" s="278">
        <f t="shared" si="13"/>
        <v>0</v>
      </c>
      <c r="DV39" s="278">
        <f t="shared" si="13"/>
        <v>0</v>
      </c>
      <c r="DW39" s="278">
        <f t="shared" si="13"/>
        <v>0</v>
      </c>
      <c r="DX39" s="278">
        <f t="shared" si="13"/>
        <v>0</v>
      </c>
      <c r="DY39" s="278">
        <f t="shared" si="13"/>
        <v>0</v>
      </c>
      <c r="DZ39" s="278">
        <f t="shared" si="13"/>
        <v>0</v>
      </c>
      <c r="EA39" s="278">
        <f t="shared" ref="EA39:FF39" si="14">SUM(EA8:EA38)</f>
        <v>0</v>
      </c>
      <c r="EB39" s="278">
        <f t="shared" si="14"/>
        <v>0</v>
      </c>
      <c r="EC39" s="278">
        <f t="shared" si="14"/>
        <v>0</v>
      </c>
      <c r="ED39" s="278">
        <f t="shared" si="14"/>
        <v>0</v>
      </c>
      <c r="EE39" s="278">
        <f t="shared" si="14"/>
        <v>0</v>
      </c>
      <c r="EF39" s="278">
        <f t="shared" si="14"/>
        <v>0</v>
      </c>
      <c r="EG39" s="278">
        <f t="shared" si="14"/>
        <v>0</v>
      </c>
      <c r="EH39" s="278">
        <f t="shared" si="14"/>
        <v>0</v>
      </c>
      <c r="EI39" s="278">
        <f t="shared" si="14"/>
        <v>0</v>
      </c>
      <c r="EJ39" s="278">
        <f t="shared" si="14"/>
        <v>0</v>
      </c>
      <c r="EK39" s="278">
        <f t="shared" si="14"/>
        <v>0</v>
      </c>
      <c r="EL39" s="278">
        <f t="shared" si="14"/>
        <v>0</v>
      </c>
      <c r="EM39" s="278">
        <f t="shared" si="14"/>
        <v>0</v>
      </c>
      <c r="EN39" s="278">
        <f t="shared" si="14"/>
        <v>0</v>
      </c>
      <c r="EO39" s="278">
        <f t="shared" si="14"/>
        <v>0</v>
      </c>
      <c r="EP39" s="278">
        <f t="shared" si="14"/>
        <v>0</v>
      </c>
      <c r="EQ39" s="278">
        <f t="shared" si="14"/>
        <v>0</v>
      </c>
      <c r="ER39" s="278">
        <f t="shared" si="14"/>
        <v>0</v>
      </c>
      <c r="ES39" s="278">
        <f t="shared" si="14"/>
        <v>0</v>
      </c>
      <c r="ET39" s="278">
        <f t="shared" si="14"/>
        <v>0</v>
      </c>
      <c r="EU39" s="278">
        <f t="shared" si="14"/>
        <v>0</v>
      </c>
      <c r="EV39" s="278">
        <f t="shared" si="14"/>
        <v>0</v>
      </c>
      <c r="EW39" s="278">
        <f t="shared" si="14"/>
        <v>0</v>
      </c>
      <c r="EX39" s="278">
        <f t="shared" si="14"/>
        <v>0</v>
      </c>
      <c r="EY39" s="278">
        <f t="shared" si="14"/>
        <v>0</v>
      </c>
      <c r="EZ39" s="278">
        <f t="shared" si="14"/>
        <v>0</v>
      </c>
      <c r="FA39" s="278">
        <f t="shared" si="14"/>
        <v>0</v>
      </c>
      <c r="FB39" s="278">
        <f t="shared" si="14"/>
        <v>0</v>
      </c>
      <c r="FC39" s="278">
        <f t="shared" si="14"/>
        <v>0</v>
      </c>
      <c r="FD39" s="278">
        <f t="shared" si="14"/>
        <v>0</v>
      </c>
      <c r="FE39" s="278">
        <f t="shared" si="14"/>
        <v>0</v>
      </c>
      <c r="FF39" s="278">
        <f t="shared" si="14"/>
        <v>0</v>
      </c>
      <c r="FG39" s="278">
        <f t="shared" ref="FG39:GL39" si="15">SUM(FG8:FG38)</f>
        <v>0</v>
      </c>
      <c r="FH39" s="278">
        <f t="shared" si="15"/>
        <v>0</v>
      </c>
      <c r="FI39" s="278">
        <f t="shared" si="15"/>
        <v>0</v>
      </c>
      <c r="FJ39" s="278">
        <f t="shared" si="15"/>
        <v>0</v>
      </c>
      <c r="FK39" s="278">
        <f t="shared" si="15"/>
        <v>0</v>
      </c>
      <c r="FL39" s="278">
        <f t="shared" si="15"/>
        <v>0</v>
      </c>
      <c r="FM39" s="278">
        <f t="shared" si="15"/>
        <v>0</v>
      </c>
      <c r="FN39" s="278">
        <f t="shared" si="15"/>
        <v>0</v>
      </c>
      <c r="FO39" s="278">
        <f t="shared" si="15"/>
        <v>0</v>
      </c>
      <c r="FP39" s="278">
        <f t="shared" si="15"/>
        <v>0</v>
      </c>
      <c r="FQ39" s="278">
        <f t="shared" si="15"/>
        <v>0</v>
      </c>
      <c r="FR39" s="278">
        <f t="shared" si="15"/>
        <v>0</v>
      </c>
      <c r="FS39" s="278">
        <f t="shared" si="15"/>
        <v>0</v>
      </c>
      <c r="FT39" s="278">
        <f t="shared" si="15"/>
        <v>0</v>
      </c>
      <c r="FU39" s="278">
        <f t="shared" si="15"/>
        <v>0</v>
      </c>
      <c r="FV39" s="278">
        <f t="shared" si="15"/>
        <v>0</v>
      </c>
      <c r="FW39" s="278">
        <f t="shared" si="15"/>
        <v>0</v>
      </c>
      <c r="FX39" s="278">
        <f t="shared" si="15"/>
        <v>0</v>
      </c>
      <c r="FY39" s="278">
        <f t="shared" si="15"/>
        <v>0</v>
      </c>
      <c r="FZ39" s="278">
        <f t="shared" si="15"/>
        <v>0</v>
      </c>
      <c r="GA39" s="278">
        <f t="shared" si="15"/>
        <v>0</v>
      </c>
      <c r="GB39" s="278">
        <f t="shared" si="15"/>
        <v>0</v>
      </c>
      <c r="GC39" s="278">
        <f t="shared" si="15"/>
        <v>0</v>
      </c>
      <c r="GD39" s="278">
        <f t="shared" si="15"/>
        <v>0</v>
      </c>
      <c r="GE39" s="278">
        <f t="shared" si="15"/>
        <v>0</v>
      </c>
      <c r="GF39" s="278">
        <f t="shared" si="15"/>
        <v>0</v>
      </c>
      <c r="GG39" s="278">
        <f t="shared" si="15"/>
        <v>0</v>
      </c>
      <c r="GH39" s="278">
        <f t="shared" si="15"/>
        <v>0</v>
      </c>
      <c r="GI39" s="278">
        <f t="shared" si="15"/>
        <v>0</v>
      </c>
      <c r="GJ39" s="278">
        <f t="shared" si="15"/>
        <v>0</v>
      </c>
      <c r="GK39" s="278">
        <f t="shared" si="15"/>
        <v>0</v>
      </c>
      <c r="GL39" s="278">
        <f t="shared" si="15"/>
        <v>0</v>
      </c>
      <c r="GM39" s="278">
        <f t="shared" ref="GM39:HR39" si="16">SUM(GM8:GM38)</f>
        <v>0</v>
      </c>
      <c r="GN39" s="278">
        <f t="shared" si="16"/>
        <v>0</v>
      </c>
      <c r="GO39" s="278">
        <f t="shared" si="16"/>
        <v>0</v>
      </c>
      <c r="GP39" s="278">
        <f t="shared" si="16"/>
        <v>0</v>
      </c>
      <c r="GQ39" s="278">
        <f t="shared" si="16"/>
        <v>0</v>
      </c>
      <c r="GR39" s="278">
        <f t="shared" si="16"/>
        <v>0</v>
      </c>
      <c r="GS39" s="278">
        <f t="shared" si="16"/>
        <v>0</v>
      </c>
      <c r="GT39" s="278">
        <f t="shared" si="16"/>
        <v>0</v>
      </c>
      <c r="GU39" s="278">
        <f t="shared" si="16"/>
        <v>0</v>
      </c>
      <c r="GV39" s="278">
        <f t="shared" si="16"/>
        <v>0</v>
      </c>
      <c r="GW39" s="278">
        <f t="shared" si="16"/>
        <v>0</v>
      </c>
      <c r="GX39" s="278">
        <f t="shared" si="16"/>
        <v>0</v>
      </c>
      <c r="GY39" s="278">
        <f t="shared" si="16"/>
        <v>0</v>
      </c>
      <c r="GZ39" s="278">
        <f t="shared" si="16"/>
        <v>0</v>
      </c>
      <c r="HA39" s="278">
        <f t="shared" si="16"/>
        <v>0</v>
      </c>
      <c r="HB39" s="278">
        <f t="shared" si="16"/>
        <v>0</v>
      </c>
      <c r="HC39" s="278">
        <f t="shared" si="16"/>
        <v>0</v>
      </c>
      <c r="HD39" s="278">
        <f t="shared" si="16"/>
        <v>0</v>
      </c>
      <c r="HE39" s="278">
        <f t="shared" si="16"/>
        <v>0</v>
      </c>
      <c r="HF39" s="278">
        <f t="shared" si="16"/>
        <v>0</v>
      </c>
      <c r="HG39" s="278">
        <f t="shared" si="16"/>
        <v>0</v>
      </c>
      <c r="HH39" s="278">
        <f t="shared" si="16"/>
        <v>0</v>
      </c>
      <c r="HI39" s="278">
        <f t="shared" si="16"/>
        <v>0</v>
      </c>
      <c r="HJ39" s="278">
        <f t="shared" si="16"/>
        <v>0</v>
      </c>
      <c r="HK39" s="278">
        <f t="shared" si="16"/>
        <v>0</v>
      </c>
      <c r="HL39" s="278">
        <f t="shared" si="16"/>
        <v>0</v>
      </c>
      <c r="HM39" s="278">
        <f t="shared" si="16"/>
        <v>0</v>
      </c>
      <c r="HN39" s="278">
        <f t="shared" si="16"/>
        <v>0</v>
      </c>
      <c r="HO39" s="278">
        <f t="shared" si="16"/>
        <v>0</v>
      </c>
      <c r="HP39" s="278">
        <f t="shared" si="16"/>
        <v>0</v>
      </c>
      <c r="HQ39" s="278">
        <f t="shared" si="16"/>
        <v>0</v>
      </c>
      <c r="HR39" s="278">
        <f t="shared" si="16"/>
        <v>0</v>
      </c>
      <c r="HS39" s="278">
        <f t="shared" ref="HS39:IP39" si="17">SUM(HS8:HS38)</f>
        <v>0</v>
      </c>
      <c r="HT39" s="278">
        <f t="shared" si="17"/>
        <v>0</v>
      </c>
      <c r="HU39" s="278">
        <f t="shared" si="17"/>
        <v>0</v>
      </c>
      <c r="HV39" s="278">
        <f t="shared" si="17"/>
        <v>0</v>
      </c>
      <c r="HW39" s="278">
        <f t="shared" si="17"/>
        <v>0</v>
      </c>
      <c r="HX39" s="278">
        <f t="shared" si="17"/>
        <v>0</v>
      </c>
      <c r="HY39" s="278">
        <f t="shared" si="17"/>
        <v>0</v>
      </c>
      <c r="HZ39" s="278">
        <f t="shared" si="17"/>
        <v>0</v>
      </c>
      <c r="IA39" s="278">
        <f t="shared" si="17"/>
        <v>0</v>
      </c>
      <c r="IB39" s="278">
        <f t="shared" si="17"/>
        <v>0</v>
      </c>
      <c r="IC39" s="278">
        <f t="shared" si="17"/>
        <v>0</v>
      </c>
      <c r="ID39" s="278">
        <f t="shared" si="17"/>
        <v>0</v>
      </c>
      <c r="IE39" s="278">
        <f t="shared" si="17"/>
        <v>0</v>
      </c>
      <c r="IF39" s="278">
        <f t="shared" si="17"/>
        <v>0</v>
      </c>
      <c r="IG39" s="278">
        <f t="shared" si="17"/>
        <v>0</v>
      </c>
      <c r="IH39" s="278">
        <f t="shared" si="17"/>
        <v>0</v>
      </c>
      <c r="II39" s="278">
        <f t="shared" si="17"/>
        <v>0</v>
      </c>
      <c r="IJ39" s="278">
        <f t="shared" si="17"/>
        <v>0</v>
      </c>
      <c r="IK39" s="278">
        <f t="shared" si="17"/>
        <v>0</v>
      </c>
      <c r="IL39" s="278">
        <f t="shared" si="17"/>
        <v>0</v>
      </c>
      <c r="IM39" s="278">
        <f t="shared" si="17"/>
        <v>0</v>
      </c>
      <c r="IN39" s="278">
        <f t="shared" si="17"/>
        <v>0</v>
      </c>
      <c r="IO39" s="278">
        <f t="shared" si="17"/>
        <v>0</v>
      </c>
      <c r="IP39" s="278">
        <f t="shared" si="17"/>
        <v>0</v>
      </c>
      <c r="IQ39" s="279">
        <f t="shared" si="9"/>
        <v>37250</v>
      </c>
      <c r="IR39" s="279">
        <f t="shared" si="9"/>
        <v>37250</v>
      </c>
      <c r="IS39" s="279">
        <f t="shared" si="9"/>
        <v>24268.510000000002</v>
      </c>
      <c r="IT39" s="279">
        <f t="shared" si="9"/>
        <v>12981.49</v>
      </c>
    </row>
    <row r="40" spans="1:254" ht="15" customHeight="1">
      <c r="A40" s="429"/>
      <c r="B40" s="431" t="s">
        <v>1157</v>
      </c>
      <c r="C40" s="277">
        <f>+'OPER.-NONMAJOR SP. REVENUE(65)'!C40-C39</f>
        <v>-1825</v>
      </c>
      <c r="D40" s="277">
        <f>+'OPER.-NONMAJOR SP. REVENUE(65)'!D40-D39</f>
        <v>-1825</v>
      </c>
      <c r="E40" s="277">
        <f>+'OPER.-NONMAJOR SP. REVENUE(65)'!E40-E39</f>
        <v>2610.2499999999991</v>
      </c>
      <c r="F40" s="277">
        <f>+'OPER.-NONMAJOR SP. REVENUE(65)'!F40+F39</f>
        <v>4435.2499999999991</v>
      </c>
      <c r="G40" s="277">
        <f>+'OPER.-NONMAJOR SP. REVENUE(65)'!G40-G39</f>
        <v>-6875</v>
      </c>
      <c r="H40" s="277">
        <f>+'OPER.-NONMAJOR SP. REVENUE(65)'!H40-H39</f>
        <v>-6875</v>
      </c>
      <c r="I40" s="277">
        <f>+'OPER.-NONMAJOR SP. REVENUE(65)'!I40-I39</f>
        <v>2044.2099999999991</v>
      </c>
      <c r="J40" s="277">
        <f>+'OPER.-NONMAJOR SP. REVENUE(65)'!J40+J39</f>
        <v>8919.2099999999991</v>
      </c>
      <c r="K40" s="277">
        <f>+'OPER.-NONMAJOR SP. REVENUE(65)'!K40-K39</f>
        <v>-6508</v>
      </c>
      <c r="L40" s="277">
        <f>+'OPER.-NONMAJOR SP. REVENUE(65)'!L40-L39</f>
        <v>-6508</v>
      </c>
      <c r="M40" s="277">
        <f>+'OPER.-NONMAJOR SP. REVENUE(65)'!M40-M39</f>
        <v>-2647.63</v>
      </c>
      <c r="N40" s="277">
        <f>+'OPER.-NONMAJOR SP. REVENUE(65)'!N40+N39</f>
        <v>3860.3700000000003</v>
      </c>
      <c r="O40" s="277">
        <f>+'OPER.-NONMAJOR SP. REVENUE(65)'!O40-O39</f>
        <v>0</v>
      </c>
      <c r="P40" s="277">
        <f>+'OPER.-NONMAJOR SP. REVENUE(65)'!P40-P39</f>
        <v>0</v>
      </c>
      <c r="Q40" s="277">
        <f>+'OPER.-NONMAJOR SP. REVENUE(65)'!Q40-Q39</f>
        <v>0</v>
      </c>
      <c r="R40" s="277">
        <f>+'OPER.-NONMAJOR SP. REVENUE(65)'!R40+R39</f>
        <v>0</v>
      </c>
      <c r="S40" s="277">
        <f>+'OPER.-NONMAJOR SP. REVENUE(65)'!S40-S39</f>
        <v>0</v>
      </c>
      <c r="T40" s="277">
        <f>+'OPER.-NONMAJOR SP. REVENUE(65)'!T40-T39</f>
        <v>0</v>
      </c>
      <c r="U40" s="277">
        <f>+'OPER.-NONMAJOR SP. REVENUE(65)'!U40-U39</f>
        <v>0</v>
      </c>
      <c r="V40" s="277">
        <f>+'OPER.-NONMAJOR SP. REVENUE(65)'!V40+V39</f>
        <v>0</v>
      </c>
      <c r="W40" s="277">
        <f>+'OPER.-NONMAJOR SP. REVENUE(65)'!W40-W39</f>
        <v>0</v>
      </c>
      <c r="X40" s="277">
        <f>+'OPER.-NONMAJOR SP. REVENUE(65)'!X40-X39</f>
        <v>0</v>
      </c>
      <c r="Y40" s="277">
        <f>+'OPER.-NONMAJOR SP. REVENUE(65)'!Y40-Y39</f>
        <v>0</v>
      </c>
      <c r="Z40" s="277">
        <f>+'OPER.-NONMAJOR SP. REVENUE(65)'!Z40+Z39</f>
        <v>0</v>
      </c>
      <c r="AA40" s="277">
        <f>+'OPER.-NONMAJOR SP. REVENUE(65)'!AA40-AA39</f>
        <v>0</v>
      </c>
      <c r="AB40" s="277">
        <f>+'OPER.-NONMAJOR SP. REVENUE(65)'!AB40-AB39</f>
        <v>0</v>
      </c>
      <c r="AC40" s="277">
        <f>+'OPER.-NONMAJOR SP. REVENUE(65)'!AC40-AC39</f>
        <v>0</v>
      </c>
      <c r="AD40" s="277">
        <f>+'OPER.-NONMAJOR SP. REVENUE(65)'!AD40+AD39</f>
        <v>0</v>
      </c>
      <c r="AE40" s="277">
        <f>+'OPER.-NONMAJOR SP. REVENUE(65)'!AE40-AE39</f>
        <v>0</v>
      </c>
      <c r="AF40" s="277">
        <f>+'OPER.-NONMAJOR SP. REVENUE(65)'!AF40-AF39</f>
        <v>0</v>
      </c>
      <c r="AG40" s="277">
        <f>+'OPER.-NONMAJOR SP. REVENUE(65)'!AG40-AG39</f>
        <v>0</v>
      </c>
      <c r="AH40" s="277">
        <f>+'OPER.-NONMAJOR SP. REVENUE(65)'!AH40+AH39</f>
        <v>0</v>
      </c>
      <c r="AI40" s="277">
        <f>+'OPER.-NONMAJOR SP. REVENUE(65)'!AI40-AI39</f>
        <v>0</v>
      </c>
      <c r="AJ40" s="277">
        <f>+'OPER.-NONMAJOR SP. REVENUE(65)'!AJ40-AJ39</f>
        <v>0</v>
      </c>
      <c r="AK40" s="277">
        <f>+'OPER.-NONMAJOR SP. REVENUE(65)'!AK40-AK39</f>
        <v>0</v>
      </c>
      <c r="AL40" s="277">
        <f>+'OPER.-NONMAJOR SP. REVENUE(65)'!AL40+AL39</f>
        <v>0</v>
      </c>
      <c r="AM40" s="277">
        <f>+'OPER.-NONMAJOR SP. REVENUE(65)'!AM40-AM39</f>
        <v>0</v>
      </c>
      <c r="AN40" s="277">
        <f>+'OPER.-NONMAJOR SP. REVENUE(65)'!AN40-AN39</f>
        <v>0</v>
      </c>
      <c r="AO40" s="277">
        <f>+'OPER.-NONMAJOR SP. REVENUE(65)'!AO40-AO39</f>
        <v>0</v>
      </c>
      <c r="AP40" s="277">
        <f>+'OPER.-NONMAJOR SP. REVENUE(65)'!AP40+AP39</f>
        <v>0</v>
      </c>
      <c r="AQ40" s="277">
        <f>+'OPER.-NONMAJOR SP. REVENUE(65)'!AQ40-AQ39</f>
        <v>0</v>
      </c>
      <c r="AR40" s="277">
        <f>+'OPER.-NONMAJOR SP. REVENUE(65)'!AR40-AR39</f>
        <v>0</v>
      </c>
      <c r="AS40" s="277">
        <f>+'OPER.-NONMAJOR SP. REVENUE(65)'!AS40-AS39</f>
        <v>0</v>
      </c>
      <c r="AT40" s="277">
        <f>+'OPER.-NONMAJOR SP. REVENUE(65)'!AT40+AT39</f>
        <v>0</v>
      </c>
      <c r="AU40" s="277">
        <f>+'OPER.-NONMAJOR SP. REVENUE(65)'!AU40-AU39</f>
        <v>0</v>
      </c>
      <c r="AV40" s="277">
        <f>+'OPER.-NONMAJOR SP. REVENUE(65)'!AV40-AV39</f>
        <v>0</v>
      </c>
      <c r="AW40" s="277">
        <f>+'OPER.-NONMAJOR SP. REVENUE(65)'!AW40-AW39</f>
        <v>0</v>
      </c>
      <c r="AX40" s="277">
        <f>+'OPER.-NONMAJOR SP. REVENUE(65)'!AX40+AX39</f>
        <v>0</v>
      </c>
      <c r="AY40" s="277">
        <f>+'OPER.-NONMAJOR SP. REVENUE(65)'!AY40-AY39</f>
        <v>0</v>
      </c>
      <c r="AZ40" s="277">
        <f>+'OPER.-NONMAJOR SP. REVENUE(65)'!AZ40-AZ39</f>
        <v>0</v>
      </c>
      <c r="BA40" s="277">
        <f>+'OPER.-NONMAJOR SP. REVENUE(65)'!BA40-BA39</f>
        <v>0</v>
      </c>
      <c r="BB40" s="277">
        <f>+'OPER.-NONMAJOR SP. REVENUE(65)'!BB40+BB39</f>
        <v>0</v>
      </c>
      <c r="BC40" s="277">
        <f>+'OPER.-NONMAJOR SP. REVENUE(65)'!BC40-BC39</f>
        <v>0</v>
      </c>
      <c r="BD40" s="277">
        <f>+'OPER.-NONMAJOR SP. REVENUE(65)'!BD40-BD39</f>
        <v>0</v>
      </c>
      <c r="BE40" s="277">
        <f>+'OPER.-NONMAJOR SP. REVENUE(65)'!BE40-BE39</f>
        <v>0</v>
      </c>
      <c r="BF40" s="277">
        <f>+'OPER.-NONMAJOR SP. REVENUE(65)'!BF40+BF39</f>
        <v>0</v>
      </c>
      <c r="BG40" s="277">
        <f>+'OPER.-NONMAJOR SP. REVENUE(65)'!BG40-BG39</f>
        <v>0</v>
      </c>
      <c r="BH40" s="277">
        <f>+'OPER.-NONMAJOR SP. REVENUE(65)'!BH40-BH39</f>
        <v>0</v>
      </c>
      <c r="BI40" s="277">
        <f>+'OPER.-NONMAJOR SP. REVENUE(65)'!BI40-BI39</f>
        <v>0</v>
      </c>
      <c r="BJ40" s="277">
        <f>+'OPER.-NONMAJOR SP. REVENUE(65)'!BJ40+BJ39</f>
        <v>0</v>
      </c>
      <c r="BK40" s="277">
        <f>+'OPER.-NONMAJOR SP. REVENUE(65)'!BK40-BK39</f>
        <v>0</v>
      </c>
      <c r="BL40" s="277">
        <f>+'OPER.-NONMAJOR SP. REVENUE(65)'!BL40-BL39</f>
        <v>0</v>
      </c>
      <c r="BM40" s="277">
        <f>+'OPER.-NONMAJOR SP. REVENUE(65)'!BM40-BM39</f>
        <v>0</v>
      </c>
      <c r="BN40" s="277">
        <f>+'OPER.-NONMAJOR SP. REVENUE(65)'!BN40+BN39</f>
        <v>0</v>
      </c>
      <c r="BO40" s="277">
        <f>+'OPER.-NONMAJOR SP. REVENUE(65)'!BO40-BO39</f>
        <v>0</v>
      </c>
      <c r="BP40" s="277">
        <f>+'OPER.-NONMAJOR SP. REVENUE(65)'!BP40-BP39</f>
        <v>0</v>
      </c>
      <c r="BQ40" s="277">
        <f>+'OPER.-NONMAJOR SP. REVENUE(65)'!BQ40-BQ39</f>
        <v>0</v>
      </c>
      <c r="BR40" s="277">
        <f>+'OPER.-NONMAJOR SP. REVENUE(65)'!BR40+BR39</f>
        <v>0</v>
      </c>
      <c r="BS40" s="277">
        <f>+'OPER.-NONMAJOR SP. REVENUE(65)'!BS40-BS39</f>
        <v>0</v>
      </c>
      <c r="BT40" s="277">
        <f>+'OPER.-NONMAJOR SP. REVENUE(65)'!BT40-BT39</f>
        <v>0</v>
      </c>
      <c r="BU40" s="277">
        <f>+'OPER.-NONMAJOR SP. REVENUE(65)'!BU40-BU39</f>
        <v>0</v>
      </c>
      <c r="BV40" s="277">
        <f>+'OPER.-NONMAJOR SP. REVENUE(65)'!BV40+BV39</f>
        <v>0</v>
      </c>
      <c r="BW40" s="277">
        <f>+'OPER.-NONMAJOR SP. REVENUE(65)'!BW40-BW39</f>
        <v>0</v>
      </c>
      <c r="BX40" s="277">
        <f>+'OPER.-NONMAJOR SP. REVENUE(65)'!BX40-BX39</f>
        <v>0</v>
      </c>
      <c r="BY40" s="277">
        <f>+'OPER.-NONMAJOR SP. REVENUE(65)'!BY40-BY39</f>
        <v>0</v>
      </c>
      <c r="BZ40" s="277">
        <f>+'OPER.-NONMAJOR SP. REVENUE(65)'!BZ40+BZ39</f>
        <v>0</v>
      </c>
      <c r="CA40" s="277">
        <f>+'OPER.-NONMAJOR SP. REVENUE(65)'!CA40-CA39</f>
        <v>0</v>
      </c>
      <c r="CB40" s="277">
        <f>+'OPER.-NONMAJOR SP. REVENUE(65)'!CB40-CB39</f>
        <v>0</v>
      </c>
      <c r="CC40" s="277">
        <f>+'OPER.-NONMAJOR SP. REVENUE(65)'!CC40-CC39</f>
        <v>0</v>
      </c>
      <c r="CD40" s="277">
        <f>+'OPER.-NONMAJOR SP. REVENUE(65)'!CD40+CD39</f>
        <v>0</v>
      </c>
      <c r="CE40" s="277">
        <f>+'OPER.-NONMAJOR SP. REVENUE(65)'!CE40-CE39</f>
        <v>0</v>
      </c>
      <c r="CF40" s="277">
        <f>+'OPER.-NONMAJOR SP. REVENUE(65)'!CF40-CF39</f>
        <v>0</v>
      </c>
      <c r="CG40" s="277">
        <f>+'OPER.-NONMAJOR SP. REVENUE(65)'!CG40-CG39</f>
        <v>0</v>
      </c>
      <c r="CH40" s="277">
        <f>+'OPER.-NONMAJOR SP. REVENUE(65)'!CH40+CH39</f>
        <v>0</v>
      </c>
      <c r="CI40" s="277">
        <f>+'OPER.-NONMAJOR SP. REVENUE(65)'!CI40-CI39</f>
        <v>0</v>
      </c>
      <c r="CJ40" s="277">
        <f>+'OPER.-NONMAJOR SP. REVENUE(65)'!CJ40-CJ39</f>
        <v>0</v>
      </c>
      <c r="CK40" s="277">
        <f>+'OPER.-NONMAJOR SP. REVENUE(65)'!CK40-CK39</f>
        <v>0</v>
      </c>
      <c r="CL40" s="277">
        <f>+'OPER.-NONMAJOR SP. REVENUE(65)'!CL40+CL39</f>
        <v>0</v>
      </c>
      <c r="CM40" s="277">
        <f>+'OPER.-NONMAJOR SP. REVENUE(65)'!CM40-CM39</f>
        <v>0</v>
      </c>
      <c r="CN40" s="277">
        <f>+'OPER.-NONMAJOR SP. REVENUE(65)'!CN40-CN39</f>
        <v>0</v>
      </c>
      <c r="CO40" s="277">
        <f>+'OPER.-NONMAJOR SP. REVENUE(65)'!CO40-CO39</f>
        <v>0</v>
      </c>
      <c r="CP40" s="277">
        <f>+'OPER.-NONMAJOR SP. REVENUE(65)'!CP40+CP39</f>
        <v>0</v>
      </c>
      <c r="CQ40" s="277">
        <f>+'OPER.-NONMAJOR SP. REVENUE(65)'!CQ40-CQ39</f>
        <v>0</v>
      </c>
      <c r="CR40" s="277">
        <f>+'OPER.-NONMAJOR SP. REVENUE(65)'!CR40-CR39</f>
        <v>0</v>
      </c>
      <c r="CS40" s="277">
        <f>+'OPER.-NONMAJOR SP. REVENUE(65)'!CS40-CS39</f>
        <v>0</v>
      </c>
      <c r="CT40" s="277">
        <f>+'OPER.-NONMAJOR SP. REVENUE(65)'!CT40+CT39</f>
        <v>0</v>
      </c>
      <c r="CU40" s="277">
        <f>+'OPER.-NONMAJOR SP. REVENUE(65)'!CU40-CU39</f>
        <v>0</v>
      </c>
      <c r="CV40" s="277">
        <f>+'OPER.-NONMAJOR SP. REVENUE(65)'!CV40-CV39</f>
        <v>0</v>
      </c>
      <c r="CW40" s="277">
        <f>+'OPER.-NONMAJOR SP. REVENUE(65)'!CW40-CW39</f>
        <v>0</v>
      </c>
      <c r="CX40" s="277">
        <f>+'OPER.-NONMAJOR SP. REVENUE(65)'!CX40+CX39</f>
        <v>0</v>
      </c>
      <c r="CY40" s="277">
        <f>+'OPER.-NONMAJOR SP. REVENUE(65)'!CY40-CY39</f>
        <v>0</v>
      </c>
      <c r="CZ40" s="277">
        <f>+'OPER.-NONMAJOR SP. REVENUE(65)'!CZ40-CZ39</f>
        <v>0</v>
      </c>
      <c r="DA40" s="277">
        <f>+'OPER.-NONMAJOR SP. REVENUE(65)'!DA40-DA39</f>
        <v>0</v>
      </c>
      <c r="DB40" s="277">
        <f>+'OPER.-NONMAJOR SP. REVENUE(65)'!DB40+DB39</f>
        <v>0</v>
      </c>
      <c r="DC40" s="277">
        <f>+'OPER.-NONMAJOR SP. REVENUE(65)'!DC40-DC39</f>
        <v>0</v>
      </c>
      <c r="DD40" s="277">
        <f>+'OPER.-NONMAJOR SP. REVENUE(65)'!DD40-DD39</f>
        <v>0</v>
      </c>
      <c r="DE40" s="277">
        <f>+'OPER.-NONMAJOR SP. REVENUE(65)'!DE40-DE39</f>
        <v>0</v>
      </c>
      <c r="DF40" s="277">
        <f>+'OPER.-NONMAJOR SP. REVENUE(65)'!DF40+DF39</f>
        <v>0</v>
      </c>
      <c r="DG40" s="277">
        <f>+'OPER.-NONMAJOR SP. REVENUE(65)'!DG40-DG39</f>
        <v>0</v>
      </c>
      <c r="DH40" s="277">
        <f>+'OPER.-NONMAJOR SP. REVENUE(65)'!DH40-DH39</f>
        <v>0</v>
      </c>
      <c r="DI40" s="277">
        <f>+'OPER.-NONMAJOR SP. REVENUE(65)'!DI40-DI39</f>
        <v>0</v>
      </c>
      <c r="DJ40" s="277">
        <f>+'OPER.-NONMAJOR SP. REVENUE(65)'!DJ40+DJ39</f>
        <v>0</v>
      </c>
      <c r="DK40" s="277">
        <f>+'OPER.-NONMAJOR SP. REVENUE(65)'!DK40-DK39</f>
        <v>0</v>
      </c>
      <c r="DL40" s="277">
        <f>+'OPER.-NONMAJOR SP. REVENUE(65)'!DL40-DL39</f>
        <v>0</v>
      </c>
      <c r="DM40" s="277">
        <f>+'OPER.-NONMAJOR SP. REVENUE(65)'!DM40-DM39</f>
        <v>0</v>
      </c>
      <c r="DN40" s="277">
        <f>+'OPER.-NONMAJOR SP. REVENUE(65)'!DN40+DN39</f>
        <v>0</v>
      </c>
      <c r="DO40" s="277">
        <f>+'OPER.-NONMAJOR SP. REVENUE(65)'!DO40-DO39</f>
        <v>0</v>
      </c>
      <c r="DP40" s="277">
        <f>+'OPER.-NONMAJOR SP. REVENUE(65)'!DP40-DP39</f>
        <v>0</v>
      </c>
      <c r="DQ40" s="277">
        <f>+'OPER.-NONMAJOR SP. REVENUE(65)'!DQ40-DQ39</f>
        <v>0</v>
      </c>
      <c r="DR40" s="277">
        <f>+'OPER.-NONMAJOR SP. REVENUE(65)'!DR40+DR39</f>
        <v>0</v>
      </c>
      <c r="DS40" s="277">
        <f>+'OPER.-NONMAJOR SP. REVENUE(65)'!DS40-DS39</f>
        <v>0</v>
      </c>
      <c r="DT40" s="277">
        <f>+'OPER.-NONMAJOR SP. REVENUE(65)'!DT40-DT39</f>
        <v>0</v>
      </c>
      <c r="DU40" s="277">
        <f>+'OPER.-NONMAJOR SP. REVENUE(65)'!DU40-DU39</f>
        <v>0</v>
      </c>
      <c r="DV40" s="277">
        <f>+'OPER.-NONMAJOR SP. REVENUE(65)'!DV40+DV39</f>
        <v>0</v>
      </c>
      <c r="DW40" s="277">
        <f>+'OPER.-NONMAJOR SP. REVENUE(65)'!DW40-DW39</f>
        <v>0</v>
      </c>
      <c r="DX40" s="277">
        <f>+'OPER.-NONMAJOR SP. REVENUE(65)'!DX40-DX39</f>
        <v>0</v>
      </c>
      <c r="DY40" s="277">
        <f>+'OPER.-NONMAJOR SP. REVENUE(65)'!DY40-DY39</f>
        <v>0</v>
      </c>
      <c r="DZ40" s="277">
        <f>+'OPER.-NONMAJOR SP. REVENUE(65)'!DZ40+DZ39</f>
        <v>0</v>
      </c>
      <c r="EA40" s="277">
        <f>+'OPER.-NONMAJOR SP. REVENUE(65)'!EA40-EA39</f>
        <v>0</v>
      </c>
      <c r="EB40" s="277">
        <f>+'OPER.-NONMAJOR SP. REVENUE(65)'!EB40-EB39</f>
        <v>0</v>
      </c>
      <c r="EC40" s="277">
        <f>+'OPER.-NONMAJOR SP. REVENUE(65)'!EC40-EC39</f>
        <v>0</v>
      </c>
      <c r="ED40" s="277">
        <f>+'OPER.-NONMAJOR SP. REVENUE(65)'!ED40+ED39</f>
        <v>0</v>
      </c>
      <c r="EE40" s="277">
        <f>+'OPER.-NONMAJOR SP. REVENUE(65)'!EE40-EE39</f>
        <v>0</v>
      </c>
      <c r="EF40" s="277">
        <f>+'OPER.-NONMAJOR SP. REVENUE(65)'!EF40-EF39</f>
        <v>0</v>
      </c>
      <c r="EG40" s="277">
        <f>+'OPER.-NONMAJOR SP. REVENUE(65)'!EG40-EG39</f>
        <v>0</v>
      </c>
      <c r="EH40" s="277">
        <f>+'OPER.-NONMAJOR SP. REVENUE(65)'!EH40+EH39</f>
        <v>0</v>
      </c>
      <c r="EI40" s="277">
        <f>+'OPER.-NONMAJOR SP. REVENUE(65)'!EI40-EI39</f>
        <v>0</v>
      </c>
      <c r="EJ40" s="277">
        <f>+'OPER.-NONMAJOR SP. REVENUE(65)'!EJ40-EJ39</f>
        <v>0</v>
      </c>
      <c r="EK40" s="277">
        <f>+'OPER.-NONMAJOR SP. REVENUE(65)'!EK40-EK39</f>
        <v>0</v>
      </c>
      <c r="EL40" s="277">
        <f>+'OPER.-NONMAJOR SP. REVENUE(65)'!EL40+EL39</f>
        <v>0</v>
      </c>
      <c r="EM40" s="277">
        <f>+'OPER.-NONMAJOR SP. REVENUE(65)'!EM40-EM39</f>
        <v>0</v>
      </c>
      <c r="EN40" s="277">
        <f>+'OPER.-NONMAJOR SP. REVENUE(65)'!EN40-EN39</f>
        <v>0</v>
      </c>
      <c r="EO40" s="277">
        <f>+'OPER.-NONMAJOR SP. REVENUE(65)'!EO40-EO39</f>
        <v>0</v>
      </c>
      <c r="EP40" s="277">
        <f>+'OPER.-NONMAJOR SP. REVENUE(65)'!EP40+EP39</f>
        <v>0</v>
      </c>
      <c r="EQ40" s="277">
        <f>+'OPER.-NONMAJOR SP. REVENUE(65)'!EQ40-EQ39</f>
        <v>0</v>
      </c>
      <c r="ER40" s="277">
        <f>+'OPER.-NONMAJOR SP. REVENUE(65)'!ER40-ER39</f>
        <v>0</v>
      </c>
      <c r="ES40" s="277">
        <f>+'OPER.-NONMAJOR SP. REVENUE(65)'!ES40-ES39</f>
        <v>0</v>
      </c>
      <c r="ET40" s="277">
        <f>+'OPER.-NONMAJOR SP. REVENUE(65)'!ET40+ET39</f>
        <v>0</v>
      </c>
      <c r="EU40" s="277">
        <f>+'OPER.-NONMAJOR SP. REVENUE(65)'!EU40-EU39</f>
        <v>0</v>
      </c>
      <c r="EV40" s="277">
        <f>+'OPER.-NONMAJOR SP. REVENUE(65)'!EV40-EV39</f>
        <v>0</v>
      </c>
      <c r="EW40" s="277">
        <f>+'OPER.-NONMAJOR SP. REVENUE(65)'!EW40-EW39</f>
        <v>0</v>
      </c>
      <c r="EX40" s="277">
        <f>+'OPER.-NONMAJOR SP. REVENUE(65)'!EX40+EX39</f>
        <v>0</v>
      </c>
      <c r="EY40" s="277">
        <f>+'OPER.-NONMAJOR SP. REVENUE(65)'!EY40-EY39</f>
        <v>0</v>
      </c>
      <c r="EZ40" s="277">
        <f>+'OPER.-NONMAJOR SP. REVENUE(65)'!EZ40-EZ39</f>
        <v>0</v>
      </c>
      <c r="FA40" s="277">
        <f>+'OPER.-NONMAJOR SP. REVENUE(65)'!FA40-FA39</f>
        <v>0</v>
      </c>
      <c r="FB40" s="277">
        <f>+'OPER.-NONMAJOR SP. REVENUE(65)'!FB40+FB39</f>
        <v>0</v>
      </c>
      <c r="FC40" s="277">
        <f>+'OPER.-NONMAJOR SP. REVENUE(65)'!FC40-FC39</f>
        <v>0</v>
      </c>
      <c r="FD40" s="277">
        <f>+'OPER.-NONMAJOR SP. REVENUE(65)'!FD40-FD39</f>
        <v>0</v>
      </c>
      <c r="FE40" s="277">
        <f>+'OPER.-NONMAJOR SP. REVENUE(65)'!FE40-FE39</f>
        <v>0</v>
      </c>
      <c r="FF40" s="277">
        <f>+'OPER.-NONMAJOR SP. REVENUE(65)'!FF40+FF39</f>
        <v>0</v>
      </c>
      <c r="FG40" s="277">
        <f>+'OPER.-NONMAJOR SP. REVENUE(65)'!FG40-FG39</f>
        <v>0</v>
      </c>
      <c r="FH40" s="277">
        <f>+'OPER.-NONMAJOR SP. REVENUE(65)'!FH40-FH39</f>
        <v>0</v>
      </c>
      <c r="FI40" s="277">
        <f>+'OPER.-NONMAJOR SP. REVENUE(65)'!FI40-FI39</f>
        <v>0</v>
      </c>
      <c r="FJ40" s="277">
        <f>+'OPER.-NONMAJOR SP. REVENUE(65)'!FJ40+FJ39</f>
        <v>0</v>
      </c>
      <c r="FK40" s="277">
        <f>+'OPER.-NONMAJOR SP. REVENUE(65)'!FK40-FK39</f>
        <v>0</v>
      </c>
      <c r="FL40" s="277">
        <f>+'OPER.-NONMAJOR SP. REVENUE(65)'!FL40-FL39</f>
        <v>0</v>
      </c>
      <c r="FM40" s="277">
        <f>+'OPER.-NONMAJOR SP. REVENUE(65)'!FM40-FM39</f>
        <v>0</v>
      </c>
      <c r="FN40" s="277">
        <f>+'OPER.-NONMAJOR SP. REVENUE(65)'!FN40+FN39</f>
        <v>0</v>
      </c>
      <c r="FO40" s="277">
        <f>+'OPER.-NONMAJOR SP. REVENUE(65)'!FO40-FO39</f>
        <v>0</v>
      </c>
      <c r="FP40" s="277">
        <f>+'OPER.-NONMAJOR SP. REVENUE(65)'!FP40-FP39</f>
        <v>0</v>
      </c>
      <c r="FQ40" s="277">
        <f>+'OPER.-NONMAJOR SP. REVENUE(65)'!FQ40-FQ39</f>
        <v>0</v>
      </c>
      <c r="FR40" s="277">
        <f>+'OPER.-NONMAJOR SP. REVENUE(65)'!FR40+FR39</f>
        <v>0</v>
      </c>
      <c r="FS40" s="277">
        <f>+'OPER.-NONMAJOR SP. REVENUE(65)'!FS40-FS39</f>
        <v>0</v>
      </c>
      <c r="FT40" s="277">
        <f>+'OPER.-NONMAJOR SP. REVENUE(65)'!FT40-FT39</f>
        <v>0</v>
      </c>
      <c r="FU40" s="277">
        <f>+'OPER.-NONMAJOR SP. REVENUE(65)'!FU40-FU39</f>
        <v>0</v>
      </c>
      <c r="FV40" s="277">
        <f>+'OPER.-NONMAJOR SP. REVENUE(65)'!FV40+FV39</f>
        <v>0</v>
      </c>
      <c r="FW40" s="277">
        <f>+'OPER.-NONMAJOR SP. REVENUE(65)'!FW40-FW39</f>
        <v>0</v>
      </c>
      <c r="FX40" s="277">
        <f>+'OPER.-NONMAJOR SP. REVENUE(65)'!FX40-FX39</f>
        <v>0</v>
      </c>
      <c r="FY40" s="277">
        <f>+'OPER.-NONMAJOR SP. REVENUE(65)'!FY40-FY39</f>
        <v>0</v>
      </c>
      <c r="FZ40" s="277">
        <f>+'OPER.-NONMAJOR SP. REVENUE(65)'!FZ40+FZ39</f>
        <v>0</v>
      </c>
      <c r="GA40" s="277">
        <f>+'OPER.-NONMAJOR SP. REVENUE(65)'!GA40-GA39</f>
        <v>0</v>
      </c>
      <c r="GB40" s="277">
        <f>+'OPER.-NONMAJOR SP. REVENUE(65)'!GB40-GB39</f>
        <v>0</v>
      </c>
      <c r="GC40" s="277">
        <f>+'OPER.-NONMAJOR SP. REVENUE(65)'!GC40-GC39</f>
        <v>0</v>
      </c>
      <c r="GD40" s="277">
        <f>+'OPER.-NONMAJOR SP. REVENUE(65)'!GD40+GD39</f>
        <v>0</v>
      </c>
      <c r="GE40" s="277">
        <f>+'OPER.-NONMAJOR SP. REVENUE(65)'!GE40-GE39</f>
        <v>0</v>
      </c>
      <c r="GF40" s="277">
        <f>+'OPER.-NONMAJOR SP. REVENUE(65)'!GF40-GF39</f>
        <v>0</v>
      </c>
      <c r="GG40" s="277">
        <f>+'OPER.-NONMAJOR SP. REVENUE(65)'!GG40-GG39</f>
        <v>0</v>
      </c>
      <c r="GH40" s="277">
        <f>+'OPER.-NONMAJOR SP. REVENUE(65)'!GH40+GH39</f>
        <v>0</v>
      </c>
      <c r="GI40" s="277">
        <f>+'OPER.-NONMAJOR SP. REVENUE(65)'!GI40-GI39</f>
        <v>0</v>
      </c>
      <c r="GJ40" s="277">
        <f>+'OPER.-NONMAJOR SP. REVENUE(65)'!GJ40-GJ39</f>
        <v>0</v>
      </c>
      <c r="GK40" s="277">
        <f>+'OPER.-NONMAJOR SP. REVENUE(65)'!GK40-GK39</f>
        <v>0</v>
      </c>
      <c r="GL40" s="277">
        <f>+'OPER.-NONMAJOR SP. REVENUE(65)'!GL40+GL39</f>
        <v>0</v>
      </c>
      <c r="GM40" s="277">
        <f>+'OPER.-NONMAJOR SP. REVENUE(65)'!GM40-GM39</f>
        <v>0</v>
      </c>
      <c r="GN40" s="277">
        <f>+'OPER.-NONMAJOR SP. REVENUE(65)'!GN40-GN39</f>
        <v>0</v>
      </c>
      <c r="GO40" s="277">
        <f>+'OPER.-NONMAJOR SP. REVENUE(65)'!GO40-GO39</f>
        <v>0</v>
      </c>
      <c r="GP40" s="277">
        <f>+'OPER.-NONMAJOR SP. REVENUE(65)'!GP40+GP39</f>
        <v>0</v>
      </c>
      <c r="GQ40" s="277">
        <f>+'OPER.-NONMAJOR SP. REVENUE(65)'!GQ40-GQ39</f>
        <v>0</v>
      </c>
      <c r="GR40" s="277">
        <f>+'OPER.-NONMAJOR SP. REVENUE(65)'!GR40-GR39</f>
        <v>0</v>
      </c>
      <c r="GS40" s="277">
        <f>+'OPER.-NONMAJOR SP. REVENUE(65)'!GS40-GS39</f>
        <v>0</v>
      </c>
      <c r="GT40" s="277">
        <f>+'OPER.-NONMAJOR SP. REVENUE(65)'!GT40+GT39</f>
        <v>0</v>
      </c>
      <c r="GU40" s="277">
        <f>+'OPER.-NONMAJOR SP. REVENUE(65)'!GU40-GU39</f>
        <v>0</v>
      </c>
      <c r="GV40" s="277">
        <f>+'OPER.-NONMAJOR SP. REVENUE(65)'!GV40-GV39</f>
        <v>0</v>
      </c>
      <c r="GW40" s="277">
        <f>+'OPER.-NONMAJOR SP. REVENUE(65)'!GW40-GW39</f>
        <v>0</v>
      </c>
      <c r="GX40" s="277">
        <f>+'OPER.-NONMAJOR SP. REVENUE(65)'!GX40+GX39</f>
        <v>0</v>
      </c>
      <c r="GY40" s="277">
        <f>+'OPER.-NONMAJOR SP. REVENUE(65)'!GY40-GY39</f>
        <v>0</v>
      </c>
      <c r="GZ40" s="277">
        <f>+'OPER.-NONMAJOR SP. REVENUE(65)'!GZ40-GZ39</f>
        <v>0</v>
      </c>
      <c r="HA40" s="277">
        <f>+'OPER.-NONMAJOR SP. REVENUE(65)'!HA40-HA39</f>
        <v>0</v>
      </c>
      <c r="HB40" s="277">
        <f>+'OPER.-NONMAJOR SP. REVENUE(65)'!HB40+HB39</f>
        <v>0</v>
      </c>
      <c r="HC40" s="277">
        <f>+'OPER.-NONMAJOR SP. REVENUE(65)'!HC40-HC39</f>
        <v>0</v>
      </c>
      <c r="HD40" s="277">
        <f>+'OPER.-NONMAJOR SP. REVENUE(65)'!HD40-HD39</f>
        <v>0</v>
      </c>
      <c r="HE40" s="277">
        <f>+'OPER.-NONMAJOR SP. REVENUE(65)'!HE40-HE39</f>
        <v>0</v>
      </c>
      <c r="HF40" s="277">
        <f>+'OPER.-NONMAJOR SP. REVENUE(65)'!HF40+HF39</f>
        <v>0</v>
      </c>
      <c r="HG40" s="277">
        <f>+'OPER.-NONMAJOR SP. REVENUE(65)'!HG40-HG39</f>
        <v>0</v>
      </c>
      <c r="HH40" s="277">
        <f>+'OPER.-NONMAJOR SP. REVENUE(65)'!HH40-HH39</f>
        <v>0</v>
      </c>
      <c r="HI40" s="277">
        <f>+'OPER.-NONMAJOR SP. REVENUE(65)'!HI40-HI39</f>
        <v>0</v>
      </c>
      <c r="HJ40" s="277">
        <f>+'OPER.-NONMAJOR SP. REVENUE(65)'!HJ40+HJ39</f>
        <v>0</v>
      </c>
      <c r="HK40" s="277">
        <f>+'OPER.-NONMAJOR SP. REVENUE(65)'!HK40-HK39</f>
        <v>0</v>
      </c>
      <c r="HL40" s="277">
        <f>+'OPER.-NONMAJOR SP. REVENUE(65)'!HL40-HL39</f>
        <v>0</v>
      </c>
      <c r="HM40" s="277">
        <f>+'OPER.-NONMAJOR SP. REVENUE(65)'!HM40-HM39</f>
        <v>0</v>
      </c>
      <c r="HN40" s="277">
        <f>+'OPER.-NONMAJOR SP. REVENUE(65)'!HN40+HN39</f>
        <v>0</v>
      </c>
      <c r="HO40" s="277">
        <f>+'OPER.-NONMAJOR SP. REVENUE(65)'!HO40-HO39</f>
        <v>0</v>
      </c>
      <c r="HP40" s="277">
        <f>+'OPER.-NONMAJOR SP. REVENUE(65)'!HP40-HP39</f>
        <v>0</v>
      </c>
      <c r="HQ40" s="277">
        <f>+'OPER.-NONMAJOR SP. REVENUE(65)'!HQ40-HQ39</f>
        <v>0</v>
      </c>
      <c r="HR40" s="277">
        <f>+'OPER.-NONMAJOR SP. REVENUE(65)'!HR40+HR39</f>
        <v>0</v>
      </c>
      <c r="HS40" s="277">
        <f>+'OPER.-NONMAJOR SP. REVENUE(65)'!HS40-HS39</f>
        <v>0</v>
      </c>
      <c r="HT40" s="277">
        <f>+'OPER.-NONMAJOR SP. REVENUE(65)'!HT40-HT39</f>
        <v>0</v>
      </c>
      <c r="HU40" s="277">
        <f>+'OPER.-NONMAJOR SP. REVENUE(65)'!HU40-HU39</f>
        <v>0</v>
      </c>
      <c r="HV40" s="277">
        <f>+'OPER.-NONMAJOR SP. REVENUE(65)'!HV40+HV39</f>
        <v>0</v>
      </c>
      <c r="HW40" s="277">
        <f>+'OPER.-NONMAJOR SP. REVENUE(65)'!HW40-HW39</f>
        <v>0</v>
      </c>
      <c r="HX40" s="277">
        <f>+'OPER.-NONMAJOR SP. REVENUE(65)'!HX40-HX39</f>
        <v>0</v>
      </c>
      <c r="HY40" s="277">
        <f>+'OPER.-NONMAJOR SP. REVENUE(65)'!HY40-HY39</f>
        <v>0</v>
      </c>
      <c r="HZ40" s="277">
        <f>+'OPER.-NONMAJOR SP. REVENUE(65)'!HZ40+HZ39</f>
        <v>0</v>
      </c>
      <c r="IA40" s="277">
        <f>+'OPER.-NONMAJOR SP. REVENUE(65)'!IA40-IA39</f>
        <v>0</v>
      </c>
      <c r="IB40" s="277">
        <f>+'OPER.-NONMAJOR SP. REVENUE(65)'!IB40-IB39</f>
        <v>0</v>
      </c>
      <c r="IC40" s="277">
        <f>+'OPER.-NONMAJOR SP. REVENUE(65)'!IC40-IC39</f>
        <v>0</v>
      </c>
      <c r="ID40" s="277">
        <f>+'OPER.-NONMAJOR SP. REVENUE(65)'!ID40+ID39</f>
        <v>0</v>
      </c>
      <c r="IE40" s="277">
        <f>+'OPER.-NONMAJOR SP. REVENUE(65)'!IE40-IE39</f>
        <v>0</v>
      </c>
      <c r="IF40" s="277">
        <f>+'OPER.-NONMAJOR SP. REVENUE(65)'!IF40-IF39</f>
        <v>0</v>
      </c>
      <c r="IG40" s="277">
        <f>+'OPER.-NONMAJOR SP. REVENUE(65)'!IG40-IG39</f>
        <v>0</v>
      </c>
      <c r="IH40" s="277">
        <f>+'OPER.-NONMAJOR SP. REVENUE(65)'!IH40+IH39</f>
        <v>0</v>
      </c>
      <c r="II40" s="277">
        <f>+'OPER.-NONMAJOR SP. REVENUE(65)'!II40-II39</f>
        <v>0</v>
      </c>
      <c r="IJ40" s="277">
        <f>+'OPER.-NONMAJOR SP. REVENUE(65)'!IJ40-IJ39</f>
        <v>0</v>
      </c>
      <c r="IK40" s="277">
        <f>+'OPER.-NONMAJOR SP. REVENUE(65)'!IK40-IK39</f>
        <v>0</v>
      </c>
      <c r="IL40" s="277">
        <f>+'OPER.-NONMAJOR SP. REVENUE(65)'!IL40+IL39</f>
        <v>0</v>
      </c>
      <c r="IM40" s="277">
        <f>+'OPER.-NONMAJOR SP. REVENUE(65)'!IM40-IM39</f>
        <v>0</v>
      </c>
      <c r="IN40" s="277">
        <f>+'OPER.-NONMAJOR SP. REVENUE(65)'!IN40-IN39</f>
        <v>0</v>
      </c>
      <c r="IO40" s="277">
        <f>+'OPER.-NONMAJOR SP. REVENUE(65)'!IO40-IO39</f>
        <v>0</v>
      </c>
      <c r="IP40" s="277">
        <f>+'OPER.-NONMAJOR SP. REVENUE(65)'!IP40+IP39</f>
        <v>0</v>
      </c>
      <c r="IQ40" s="277">
        <f t="shared" si="9"/>
        <v>-15208</v>
      </c>
      <c r="IR40" s="277">
        <f t="shared" si="9"/>
        <v>-15208</v>
      </c>
      <c r="IS40" s="277">
        <f t="shared" si="9"/>
        <v>2006.8299999999981</v>
      </c>
      <c r="IT40" s="277">
        <f t="shared" si="9"/>
        <v>17214.829999999998</v>
      </c>
    </row>
    <row r="41" spans="1:254" ht="15" customHeight="1">
      <c r="A41" s="429"/>
      <c r="B41" s="431" t="s">
        <v>1158</v>
      </c>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277"/>
      <c r="CC41" s="277"/>
      <c r="CD41" s="277"/>
      <c r="CE41" s="277"/>
      <c r="CF41" s="277"/>
      <c r="CG41" s="277"/>
      <c r="CH41" s="277"/>
      <c r="CI41" s="277"/>
      <c r="CJ41" s="277"/>
      <c r="CK41" s="277"/>
      <c r="CL41" s="277"/>
      <c r="CM41" s="277"/>
      <c r="CN41" s="277"/>
      <c r="CO41" s="277"/>
      <c r="CP41" s="277"/>
      <c r="CQ41" s="277"/>
      <c r="CR41" s="277"/>
      <c r="CS41" s="277"/>
      <c r="CT41" s="277"/>
      <c r="CU41" s="277"/>
      <c r="CV41" s="277"/>
      <c r="CW41" s="277"/>
      <c r="CX41" s="277"/>
      <c r="CY41" s="277"/>
      <c r="CZ41" s="277"/>
      <c r="DA41" s="277"/>
      <c r="DB41" s="277"/>
      <c r="DC41" s="277"/>
      <c r="DD41" s="277"/>
      <c r="DE41" s="277"/>
      <c r="DF41" s="277"/>
      <c r="DG41" s="277"/>
      <c r="DH41" s="277"/>
      <c r="DI41" s="277"/>
      <c r="DJ41" s="277"/>
      <c r="DK41" s="277"/>
      <c r="DL41" s="277"/>
      <c r="DM41" s="277"/>
      <c r="DN41" s="277"/>
      <c r="DO41" s="277"/>
      <c r="DP41" s="277"/>
      <c r="DQ41" s="277"/>
      <c r="DR41" s="277"/>
      <c r="DS41" s="277"/>
      <c r="DT41" s="277"/>
      <c r="DU41" s="277"/>
      <c r="DV41" s="277"/>
      <c r="DW41" s="277"/>
      <c r="DX41" s="277"/>
      <c r="DY41" s="277"/>
      <c r="DZ41" s="277"/>
      <c r="EA41" s="277"/>
      <c r="EB41" s="277"/>
      <c r="EC41" s="277"/>
      <c r="ED41" s="277"/>
      <c r="EE41" s="277"/>
      <c r="EF41" s="277"/>
      <c r="EG41" s="277"/>
      <c r="EH41" s="277"/>
      <c r="EI41" s="277"/>
      <c r="EJ41" s="277"/>
      <c r="EK41" s="277"/>
      <c r="EL41" s="277"/>
      <c r="EM41" s="277"/>
      <c r="EN41" s="277"/>
      <c r="EO41" s="277"/>
      <c r="EP41" s="277"/>
      <c r="EQ41" s="277"/>
      <c r="ER41" s="277"/>
      <c r="ES41" s="277"/>
      <c r="ET41" s="277"/>
      <c r="EU41" s="277"/>
      <c r="EV41" s="277"/>
      <c r="EW41" s="277"/>
      <c r="EX41" s="277"/>
      <c r="EY41" s="277"/>
      <c r="EZ41" s="277"/>
      <c r="FA41" s="277"/>
      <c r="FB41" s="277"/>
      <c r="FC41" s="277"/>
      <c r="FD41" s="277"/>
      <c r="FE41" s="277"/>
      <c r="FF41" s="277"/>
      <c r="FG41" s="277"/>
      <c r="FH41" s="277"/>
      <c r="FI41" s="277"/>
      <c r="FJ41" s="277"/>
      <c r="FK41" s="277"/>
      <c r="FL41" s="277"/>
      <c r="FM41" s="277"/>
      <c r="FN41" s="277"/>
      <c r="FO41" s="277"/>
      <c r="FP41" s="277"/>
      <c r="FQ41" s="277"/>
      <c r="FR41" s="277"/>
      <c r="FS41" s="277"/>
      <c r="FT41" s="277"/>
      <c r="FU41" s="277"/>
      <c r="FV41" s="277"/>
      <c r="FW41" s="277"/>
      <c r="FX41" s="277"/>
      <c r="FY41" s="277"/>
      <c r="FZ41" s="277"/>
      <c r="GA41" s="277"/>
      <c r="GB41" s="277"/>
      <c r="GC41" s="277"/>
      <c r="GD41" s="277"/>
      <c r="GE41" s="277"/>
      <c r="GF41" s="277"/>
      <c r="GG41" s="277"/>
      <c r="GH41" s="277"/>
      <c r="GI41" s="277"/>
      <c r="GJ41" s="277"/>
      <c r="GK41" s="277"/>
      <c r="GL41" s="277"/>
      <c r="GM41" s="277"/>
      <c r="GN41" s="277"/>
      <c r="GO41" s="277"/>
      <c r="GP41" s="277"/>
      <c r="GQ41" s="277"/>
      <c r="GR41" s="277"/>
      <c r="GS41" s="277"/>
      <c r="GT41" s="277"/>
      <c r="GU41" s="277"/>
      <c r="GV41" s="277"/>
      <c r="GW41" s="277"/>
      <c r="GX41" s="277"/>
      <c r="GY41" s="277"/>
      <c r="GZ41" s="277"/>
      <c r="HA41" s="277"/>
      <c r="HB41" s="277"/>
      <c r="HC41" s="277"/>
      <c r="HD41" s="277"/>
      <c r="HE41" s="277"/>
      <c r="HF41" s="277"/>
      <c r="HG41" s="277"/>
      <c r="HH41" s="277"/>
      <c r="HI41" s="277"/>
      <c r="HJ41" s="277"/>
      <c r="HK41" s="277"/>
      <c r="HL41" s="277"/>
      <c r="HM41" s="277"/>
      <c r="HN41" s="277"/>
      <c r="HO41" s="277"/>
      <c r="HP41" s="277"/>
      <c r="HQ41" s="277"/>
      <c r="HR41" s="277"/>
      <c r="HS41" s="277"/>
      <c r="HT41" s="277"/>
      <c r="HU41" s="277"/>
      <c r="HV41" s="277"/>
      <c r="HW41" s="277"/>
      <c r="HX41" s="277"/>
      <c r="HY41" s="277"/>
      <c r="HZ41" s="277"/>
      <c r="IA41" s="277"/>
      <c r="IB41" s="277"/>
      <c r="IC41" s="277"/>
      <c r="ID41" s="277"/>
      <c r="IE41" s="277"/>
      <c r="IF41" s="277"/>
      <c r="IG41" s="277"/>
      <c r="IH41" s="277"/>
      <c r="II41" s="277"/>
      <c r="IJ41" s="277"/>
      <c r="IK41" s="277"/>
      <c r="IL41" s="277"/>
      <c r="IM41" s="277"/>
      <c r="IN41" s="277"/>
      <c r="IO41" s="277"/>
      <c r="IP41" s="277"/>
      <c r="IQ41" s="277"/>
      <c r="IR41" s="277"/>
      <c r="IS41" s="277"/>
      <c r="IT41" s="277"/>
    </row>
    <row r="42" spans="1:254" ht="15" customHeight="1">
      <c r="A42" s="301">
        <v>381000</v>
      </c>
      <c r="B42" s="263" t="s">
        <v>479</v>
      </c>
      <c r="C42" s="269"/>
      <c r="D42" s="269"/>
      <c r="E42" s="269"/>
      <c r="F42" s="277">
        <f t="shared" ref="F42:F51" si="18">-D42+E42</f>
        <v>0</v>
      </c>
      <c r="G42" s="269"/>
      <c r="H42" s="269"/>
      <c r="I42" s="269"/>
      <c r="J42" s="277">
        <f t="shared" ref="J42:J51" si="19">-H42+I42</f>
        <v>0</v>
      </c>
      <c r="K42" s="269"/>
      <c r="L42" s="269"/>
      <c r="M42" s="269"/>
      <c r="N42" s="277">
        <f t="shared" ref="N42:N51" si="20">-L42+M42</f>
        <v>0</v>
      </c>
      <c r="O42" s="269"/>
      <c r="P42" s="269"/>
      <c r="Q42" s="269"/>
      <c r="R42" s="277">
        <f t="shared" ref="R42:R51" si="21">-P42+Q42</f>
        <v>0</v>
      </c>
      <c r="S42" s="269"/>
      <c r="T42" s="269"/>
      <c r="U42" s="269"/>
      <c r="V42" s="277">
        <f t="shared" ref="V42:V51" si="22">-T42+U42</f>
        <v>0</v>
      </c>
      <c r="W42" s="269"/>
      <c r="X42" s="269"/>
      <c r="Y42" s="269"/>
      <c r="Z42" s="277">
        <f t="shared" ref="Z42:Z51" si="23">-X42+Y42</f>
        <v>0</v>
      </c>
      <c r="AA42" s="269"/>
      <c r="AB42" s="269"/>
      <c r="AC42" s="269"/>
      <c r="AD42" s="277">
        <f t="shared" ref="AD42:AD51" si="24">-AB42+AC42</f>
        <v>0</v>
      </c>
      <c r="AE42" s="269"/>
      <c r="AF42" s="269"/>
      <c r="AG42" s="269"/>
      <c r="AH42" s="277">
        <f t="shared" ref="AH42:AH51" si="25">-AF42+AG42</f>
        <v>0</v>
      </c>
      <c r="AI42" s="269"/>
      <c r="AJ42" s="269"/>
      <c r="AK42" s="269"/>
      <c r="AL42" s="277">
        <f t="shared" ref="AL42:AL51" si="26">-AJ42+AK42</f>
        <v>0</v>
      </c>
      <c r="AM42" s="269"/>
      <c r="AN42" s="269"/>
      <c r="AO42" s="269"/>
      <c r="AP42" s="277">
        <f t="shared" ref="AP42:AP51" si="27">-AN42+AO42</f>
        <v>0</v>
      </c>
      <c r="AQ42" s="269"/>
      <c r="AR42" s="269"/>
      <c r="AS42" s="269"/>
      <c r="AT42" s="277">
        <f t="shared" ref="AT42:AT51" si="28">-AR42+AS42</f>
        <v>0</v>
      </c>
      <c r="AU42" s="269"/>
      <c r="AV42" s="269"/>
      <c r="AW42" s="269"/>
      <c r="AX42" s="277">
        <f t="shared" ref="AX42:AX51" si="29">-AV42+AW42</f>
        <v>0</v>
      </c>
      <c r="AY42" s="269"/>
      <c r="AZ42" s="269"/>
      <c r="BA42" s="269"/>
      <c r="BB42" s="277">
        <f t="shared" ref="BB42:BB51" si="30">-AZ42+BA42</f>
        <v>0</v>
      </c>
      <c r="BC42" s="269"/>
      <c r="BD42" s="269"/>
      <c r="BE42" s="269"/>
      <c r="BF42" s="277">
        <f t="shared" ref="BF42:BF51" si="31">-BD42+BE42</f>
        <v>0</v>
      </c>
      <c r="BG42" s="269"/>
      <c r="BH42" s="269"/>
      <c r="BI42" s="269"/>
      <c r="BJ42" s="277">
        <f t="shared" ref="BJ42:BJ51" si="32">-BH42+BI42</f>
        <v>0</v>
      </c>
      <c r="BK42" s="269"/>
      <c r="BL42" s="269"/>
      <c r="BM42" s="269"/>
      <c r="BN42" s="277">
        <f t="shared" ref="BN42:BN51" si="33">-BL42+BM42</f>
        <v>0</v>
      </c>
      <c r="BO42" s="269"/>
      <c r="BP42" s="269"/>
      <c r="BQ42" s="269"/>
      <c r="BR42" s="277">
        <f t="shared" ref="BR42:BR51" si="34">-BP42+BQ42</f>
        <v>0</v>
      </c>
      <c r="BS42" s="269"/>
      <c r="BT42" s="269"/>
      <c r="BU42" s="269"/>
      <c r="BV42" s="277">
        <f t="shared" ref="BV42:BV51" si="35">-BT42+BU42</f>
        <v>0</v>
      </c>
      <c r="BW42" s="269"/>
      <c r="BX42" s="269"/>
      <c r="BY42" s="269"/>
      <c r="BZ42" s="277">
        <f t="shared" ref="BZ42:BZ51" si="36">-BX42+BY42</f>
        <v>0</v>
      </c>
      <c r="CA42" s="269"/>
      <c r="CB42" s="269"/>
      <c r="CC42" s="269"/>
      <c r="CD42" s="277">
        <f t="shared" ref="CD42:CD51" si="37">-CB42+CC42</f>
        <v>0</v>
      </c>
      <c r="CE42" s="269"/>
      <c r="CF42" s="269"/>
      <c r="CG42" s="269"/>
      <c r="CH42" s="277">
        <f t="shared" ref="CH42:CH51" si="38">-CF42+CG42</f>
        <v>0</v>
      </c>
      <c r="CI42" s="269"/>
      <c r="CJ42" s="269"/>
      <c r="CK42" s="269"/>
      <c r="CL42" s="277">
        <f t="shared" ref="CL42:CL51" si="39">-CJ42+CK42</f>
        <v>0</v>
      </c>
      <c r="CM42" s="269"/>
      <c r="CN42" s="269"/>
      <c r="CO42" s="269"/>
      <c r="CP42" s="277">
        <f t="shared" ref="CP42:CP51" si="40">-CN42+CO42</f>
        <v>0</v>
      </c>
      <c r="CQ42" s="269"/>
      <c r="CR42" s="269"/>
      <c r="CS42" s="269"/>
      <c r="CT42" s="277">
        <f t="shared" ref="CT42:CT51" si="41">-CR42+CS42</f>
        <v>0</v>
      </c>
      <c r="CU42" s="269"/>
      <c r="CV42" s="269"/>
      <c r="CW42" s="269"/>
      <c r="CX42" s="277">
        <f t="shared" ref="CX42:CX51" si="42">-CV42+CW42</f>
        <v>0</v>
      </c>
      <c r="CY42" s="269"/>
      <c r="CZ42" s="269"/>
      <c r="DA42" s="269"/>
      <c r="DB42" s="277">
        <f t="shared" ref="DB42:DB51" si="43">-CZ42+DA42</f>
        <v>0</v>
      </c>
      <c r="DC42" s="269"/>
      <c r="DD42" s="269"/>
      <c r="DE42" s="269"/>
      <c r="DF42" s="277">
        <f t="shared" ref="DF42:DF51" si="44">-DD42+DE42</f>
        <v>0</v>
      </c>
      <c r="DG42" s="269"/>
      <c r="DH42" s="269"/>
      <c r="DI42" s="269"/>
      <c r="DJ42" s="277">
        <f t="shared" ref="DJ42:DJ51" si="45">-DH42+DI42</f>
        <v>0</v>
      </c>
      <c r="DK42" s="269"/>
      <c r="DL42" s="269"/>
      <c r="DM42" s="269"/>
      <c r="DN42" s="277">
        <f t="shared" ref="DN42:DN51" si="46">-DL42+DM42</f>
        <v>0</v>
      </c>
      <c r="DO42" s="269"/>
      <c r="DP42" s="269"/>
      <c r="DQ42" s="269"/>
      <c r="DR42" s="277">
        <f t="shared" ref="DR42:DR51" si="47">-DP42+DQ42</f>
        <v>0</v>
      </c>
      <c r="DS42" s="269"/>
      <c r="DT42" s="269"/>
      <c r="DU42" s="269"/>
      <c r="DV42" s="277">
        <f t="shared" ref="DV42:DV51" si="48">-DT42+DU42</f>
        <v>0</v>
      </c>
      <c r="DW42" s="269"/>
      <c r="DX42" s="269"/>
      <c r="DY42" s="269"/>
      <c r="DZ42" s="277">
        <f t="shared" ref="DZ42:DZ47" si="49">-DX42+DY42</f>
        <v>0</v>
      </c>
      <c r="EA42" s="269"/>
      <c r="EB42" s="269"/>
      <c r="EC42" s="269"/>
      <c r="ED42" s="277">
        <f t="shared" ref="ED42:ED51" si="50">-EB42+EC42</f>
        <v>0</v>
      </c>
      <c r="EE42" s="269"/>
      <c r="EF42" s="269"/>
      <c r="EG42" s="269"/>
      <c r="EH42" s="277">
        <f t="shared" ref="EH42:EH51" si="51">-EF42+EG42</f>
        <v>0</v>
      </c>
      <c r="EI42" s="269"/>
      <c r="EJ42" s="269"/>
      <c r="EK42" s="269"/>
      <c r="EL42" s="277">
        <f t="shared" ref="EL42:EL51" si="52">-EJ42+EK42</f>
        <v>0</v>
      </c>
      <c r="EM42" s="269"/>
      <c r="EN42" s="269"/>
      <c r="EO42" s="269"/>
      <c r="EP42" s="277">
        <f t="shared" ref="EP42:EP51" si="53">-EN42+EO42</f>
        <v>0</v>
      </c>
      <c r="EQ42" s="269"/>
      <c r="ER42" s="269"/>
      <c r="ES42" s="269"/>
      <c r="ET42" s="277">
        <f t="shared" ref="ET42:ET51" si="54">-ER42+ES42</f>
        <v>0</v>
      </c>
      <c r="EU42" s="269"/>
      <c r="EV42" s="269"/>
      <c r="EW42" s="269"/>
      <c r="EX42" s="277">
        <f t="shared" ref="EX42:EX51" si="55">-EV42+EW42</f>
        <v>0</v>
      </c>
      <c r="EY42" s="269"/>
      <c r="EZ42" s="269"/>
      <c r="FA42" s="269"/>
      <c r="FB42" s="277">
        <f t="shared" ref="FB42:FB51" si="56">-EZ42+FA42</f>
        <v>0</v>
      </c>
      <c r="FC42" s="269"/>
      <c r="FD42" s="269"/>
      <c r="FE42" s="269"/>
      <c r="FF42" s="277">
        <f t="shared" ref="FF42:FF51" si="57">-FD42+FE42</f>
        <v>0</v>
      </c>
      <c r="FG42" s="269"/>
      <c r="FH42" s="269"/>
      <c r="FI42" s="269"/>
      <c r="FJ42" s="277">
        <f t="shared" ref="FJ42:FJ51" si="58">-FH42+FI42</f>
        <v>0</v>
      </c>
      <c r="FK42" s="269"/>
      <c r="FL42" s="269"/>
      <c r="FM42" s="269"/>
      <c r="FN42" s="277">
        <f t="shared" ref="FN42:FN51" si="59">-FL42+FM42</f>
        <v>0</v>
      </c>
      <c r="FO42" s="269"/>
      <c r="FP42" s="269"/>
      <c r="FQ42" s="269"/>
      <c r="FR42" s="277">
        <f t="shared" ref="FR42:FR51" si="60">-FP42+FQ42</f>
        <v>0</v>
      </c>
      <c r="FS42" s="269"/>
      <c r="FT42" s="269"/>
      <c r="FU42" s="269"/>
      <c r="FV42" s="277">
        <f t="shared" ref="FV42:FV51" si="61">-FT42+FU42</f>
        <v>0</v>
      </c>
      <c r="FW42" s="269"/>
      <c r="FX42" s="269"/>
      <c r="FY42" s="269"/>
      <c r="FZ42" s="277">
        <f t="shared" ref="FZ42:FZ51" si="62">-FX42+FY42</f>
        <v>0</v>
      </c>
      <c r="GA42" s="269"/>
      <c r="GB42" s="269"/>
      <c r="GC42" s="269"/>
      <c r="GD42" s="277">
        <f t="shared" ref="GD42:GD51" si="63">-GB42+GC42</f>
        <v>0</v>
      </c>
      <c r="GE42" s="269"/>
      <c r="GF42" s="269"/>
      <c r="GG42" s="269"/>
      <c r="GH42" s="277">
        <f t="shared" ref="GH42:GH51" si="64">-GF42+GG42</f>
        <v>0</v>
      </c>
      <c r="GI42" s="269"/>
      <c r="GJ42" s="269"/>
      <c r="GK42" s="269"/>
      <c r="GL42" s="277">
        <f t="shared" ref="GL42:GL51" si="65">-GJ42+GK42</f>
        <v>0</v>
      </c>
      <c r="GM42" s="269"/>
      <c r="GN42" s="269"/>
      <c r="GO42" s="269"/>
      <c r="GP42" s="277">
        <f t="shared" ref="GP42:GP51" si="66">-GN42+GO42</f>
        <v>0</v>
      </c>
      <c r="GQ42" s="269"/>
      <c r="GR42" s="269"/>
      <c r="GS42" s="269"/>
      <c r="GT42" s="277">
        <f t="shared" ref="GT42:GT51" si="67">-GR42+GS42</f>
        <v>0</v>
      </c>
      <c r="GU42" s="269"/>
      <c r="GV42" s="269"/>
      <c r="GW42" s="269"/>
      <c r="GX42" s="277">
        <f t="shared" ref="GX42:GX51" si="68">-GV42+GW42</f>
        <v>0</v>
      </c>
      <c r="GY42" s="269"/>
      <c r="GZ42" s="269"/>
      <c r="HA42" s="269"/>
      <c r="HB42" s="277">
        <f t="shared" ref="HB42:HB51" si="69">-GZ42+HA42</f>
        <v>0</v>
      </c>
      <c r="HC42" s="269"/>
      <c r="HD42" s="269"/>
      <c r="HE42" s="269"/>
      <c r="HF42" s="277">
        <f t="shared" ref="HF42:HF51" si="70">-HD42+HE42</f>
        <v>0</v>
      </c>
      <c r="HG42" s="269"/>
      <c r="HH42" s="269"/>
      <c r="HI42" s="269"/>
      <c r="HJ42" s="277">
        <f t="shared" ref="HJ42:HJ51" si="71">-HH42+HI42</f>
        <v>0</v>
      </c>
      <c r="HK42" s="269"/>
      <c r="HL42" s="269"/>
      <c r="HM42" s="269"/>
      <c r="HN42" s="277">
        <f t="shared" ref="HN42:HN51" si="72">-HL42+HM42</f>
        <v>0</v>
      </c>
      <c r="HO42" s="269"/>
      <c r="HP42" s="269"/>
      <c r="HQ42" s="269"/>
      <c r="HR42" s="277">
        <f t="shared" ref="HR42:HR51" si="73">-HP42+HQ42</f>
        <v>0</v>
      </c>
      <c r="HS42" s="269"/>
      <c r="HT42" s="269"/>
      <c r="HU42" s="269"/>
      <c r="HV42" s="277">
        <f t="shared" ref="HV42:HV51" si="74">-HT42+HU42</f>
        <v>0</v>
      </c>
      <c r="HW42" s="269"/>
      <c r="HX42" s="269"/>
      <c r="HY42" s="269"/>
      <c r="HZ42" s="277">
        <f t="shared" ref="HZ42:HZ51" si="75">-HX42+HY42</f>
        <v>0</v>
      </c>
      <c r="IA42" s="269"/>
      <c r="IB42" s="269"/>
      <c r="IC42" s="269"/>
      <c r="ID42" s="277">
        <f t="shared" ref="ID42:ID51" si="76">-IB42+IC42</f>
        <v>0</v>
      </c>
      <c r="IE42" s="269"/>
      <c r="IF42" s="269"/>
      <c r="IG42" s="269"/>
      <c r="IH42" s="277">
        <f t="shared" ref="IH42:IH51" si="77">-IF42+IG42</f>
        <v>0</v>
      </c>
      <c r="II42" s="269"/>
      <c r="IJ42" s="269"/>
      <c r="IK42" s="269"/>
      <c r="IL42" s="277">
        <f t="shared" ref="IL42:IL51" si="78">-IJ42+IK42</f>
        <v>0</v>
      </c>
      <c r="IM42" s="269"/>
      <c r="IN42" s="269"/>
      <c r="IO42" s="269"/>
      <c r="IP42" s="277">
        <f t="shared" ref="IP42:IP51" si="79">-IN42+IO42</f>
        <v>0</v>
      </c>
      <c r="IQ42" s="277">
        <f t="shared" ref="IQ42:IT59" si="80">+C42+G42+K42+O42+S42+W42+AA42+AE42+AI42+AM42+AQ42+AU42+AY42+BC42+BG42+BK42+BO42+BS42+BW42+CA42+CE42+CI42+CM42+CQ42+CU42+CY42+DC42+DG42+DK42+DO42+DS42+DW42+EA42+EE42+EI42+EM42+EQ42+EU42+EY42+FC42+FG42+FK42+FO42+FS42+FW42+GA42+GE42+GI42+GM42+GQ42+GU42+GY42+HC42+HG42+HK42+HO42+HS42+HW42+IA42+IE42+II42+IM42</f>
        <v>0</v>
      </c>
      <c r="IR42" s="277">
        <f t="shared" si="80"/>
        <v>0</v>
      </c>
      <c r="IS42" s="277">
        <f t="shared" si="80"/>
        <v>0</v>
      </c>
      <c r="IT42" s="277">
        <f t="shared" si="80"/>
        <v>0</v>
      </c>
    </row>
    <row r="43" spans="1:254" ht="15" customHeight="1">
      <c r="A43" s="301">
        <v>381000</v>
      </c>
      <c r="B43" s="263" t="s">
        <v>1117</v>
      </c>
      <c r="C43" s="269"/>
      <c r="D43" s="269"/>
      <c r="E43" s="269"/>
      <c r="F43" s="277">
        <f t="shared" si="18"/>
        <v>0</v>
      </c>
      <c r="G43" s="269"/>
      <c r="H43" s="269"/>
      <c r="I43" s="269"/>
      <c r="J43" s="277">
        <f t="shared" si="19"/>
        <v>0</v>
      </c>
      <c r="K43" s="269"/>
      <c r="L43" s="269"/>
      <c r="M43" s="269"/>
      <c r="N43" s="277">
        <f t="shared" si="20"/>
        <v>0</v>
      </c>
      <c r="O43" s="269"/>
      <c r="P43" s="269"/>
      <c r="Q43" s="269"/>
      <c r="R43" s="277">
        <f t="shared" si="21"/>
        <v>0</v>
      </c>
      <c r="S43" s="269"/>
      <c r="T43" s="269"/>
      <c r="U43" s="269"/>
      <c r="V43" s="277">
        <f t="shared" si="22"/>
        <v>0</v>
      </c>
      <c r="W43" s="269"/>
      <c r="X43" s="269"/>
      <c r="Y43" s="269"/>
      <c r="Z43" s="277">
        <f t="shared" si="23"/>
        <v>0</v>
      </c>
      <c r="AA43" s="269"/>
      <c r="AB43" s="269"/>
      <c r="AC43" s="269"/>
      <c r="AD43" s="277">
        <f t="shared" si="24"/>
        <v>0</v>
      </c>
      <c r="AE43" s="269"/>
      <c r="AF43" s="269"/>
      <c r="AG43" s="269"/>
      <c r="AH43" s="277">
        <f t="shared" si="25"/>
        <v>0</v>
      </c>
      <c r="AI43" s="269"/>
      <c r="AJ43" s="269"/>
      <c r="AK43" s="269"/>
      <c r="AL43" s="277">
        <f t="shared" si="26"/>
        <v>0</v>
      </c>
      <c r="AM43" s="269"/>
      <c r="AN43" s="269"/>
      <c r="AO43" s="269"/>
      <c r="AP43" s="277">
        <f t="shared" si="27"/>
        <v>0</v>
      </c>
      <c r="AQ43" s="269"/>
      <c r="AR43" s="269"/>
      <c r="AS43" s="269"/>
      <c r="AT43" s="277">
        <f t="shared" si="28"/>
        <v>0</v>
      </c>
      <c r="AU43" s="269"/>
      <c r="AV43" s="269"/>
      <c r="AW43" s="269"/>
      <c r="AX43" s="277">
        <f t="shared" si="29"/>
        <v>0</v>
      </c>
      <c r="AY43" s="269"/>
      <c r="AZ43" s="269"/>
      <c r="BA43" s="269"/>
      <c r="BB43" s="277">
        <f t="shared" si="30"/>
        <v>0</v>
      </c>
      <c r="BC43" s="269"/>
      <c r="BD43" s="269"/>
      <c r="BE43" s="269"/>
      <c r="BF43" s="277">
        <f t="shared" si="31"/>
        <v>0</v>
      </c>
      <c r="BG43" s="269"/>
      <c r="BH43" s="269"/>
      <c r="BI43" s="269"/>
      <c r="BJ43" s="277">
        <f t="shared" si="32"/>
        <v>0</v>
      </c>
      <c r="BK43" s="269"/>
      <c r="BL43" s="269"/>
      <c r="BM43" s="269"/>
      <c r="BN43" s="277">
        <f t="shared" si="33"/>
        <v>0</v>
      </c>
      <c r="BO43" s="269"/>
      <c r="BP43" s="269"/>
      <c r="BQ43" s="269"/>
      <c r="BR43" s="277">
        <f t="shared" si="34"/>
        <v>0</v>
      </c>
      <c r="BS43" s="269"/>
      <c r="BT43" s="269"/>
      <c r="BU43" s="269"/>
      <c r="BV43" s="277">
        <f t="shared" si="35"/>
        <v>0</v>
      </c>
      <c r="BW43" s="269"/>
      <c r="BX43" s="269"/>
      <c r="BY43" s="269"/>
      <c r="BZ43" s="277">
        <f t="shared" si="36"/>
        <v>0</v>
      </c>
      <c r="CA43" s="269"/>
      <c r="CB43" s="269"/>
      <c r="CC43" s="269"/>
      <c r="CD43" s="277">
        <f t="shared" si="37"/>
        <v>0</v>
      </c>
      <c r="CE43" s="269"/>
      <c r="CF43" s="269"/>
      <c r="CG43" s="269"/>
      <c r="CH43" s="277">
        <f t="shared" si="38"/>
        <v>0</v>
      </c>
      <c r="CI43" s="269"/>
      <c r="CJ43" s="269"/>
      <c r="CK43" s="269"/>
      <c r="CL43" s="277">
        <f t="shared" si="39"/>
        <v>0</v>
      </c>
      <c r="CM43" s="269"/>
      <c r="CN43" s="269"/>
      <c r="CO43" s="269"/>
      <c r="CP43" s="277">
        <f t="shared" si="40"/>
        <v>0</v>
      </c>
      <c r="CQ43" s="269"/>
      <c r="CR43" s="269"/>
      <c r="CS43" s="269"/>
      <c r="CT43" s="277">
        <f t="shared" si="41"/>
        <v>0</v>
      </c>
      <c r="CU43" s="269"/>
      <c r="CV43" s="269"/>
      <c r="CW43" s="269"/>
      <c r="CX43" s="277">
        <f t="shared" si="42"/>
        <v>0</v>
      </c>
      <c r="CY43" s="269"/>
      <c r="CZ43" s="269"/>
      <c r="DA43" s="269"/>
      <c r="DB43" s="277">
        <f t="shared" si="43"/>
        <v>0</v>
      </c>
      <c r="DC43" s="269"/>
      <c r="DD43" s="269"/>
      <c r="DE43" s="269"/>
      <c r="DF43" s="277">
        <f t="shared" si="44"/>
        <v>0</v>
      </c>
      <c r="DG43" s="269"/>
      <c r="DH43" s="269"/>
      <c r="DI43" s="269"/>
      <c r="DJ43" s="277">
        <f t="shared" si="45"/>
        <v>0</v>
      </c>
      <c r="DK43" s="269"/>
      <c r="DL43" s="269"/>
      <c r="DM43" s="269"/>
      <c r="DN43" s="277">
        <f t="shared" si="46"/>
        <v>0</v>
      </c>
      <c r="DO43" s="269"/>
      <c r="DP43" s="269"/>
      <c r="DQ43" s="269"/>
      <c r="DR43" s="277">
        <f t="shared" si="47"/>
        <v>0</v>
      </c>
      <c r="DS43" s="269"/>
      <c r="DT43" s="269"/>
      <c r="DU43" s="269"/>
      <c r="DV43" s="277">
        <f t="shared" si="48"/>
        <v>0</v>
      </c>
      <c r="DW43" s="269"/>
      <c r="DX43" s="269"/>
      <c r="DY43" s="269"/>
      <c r="DZ43" s="277">
        <f t="shared" si="49"/>
        <v>0</v>
      </c>
      <c r="EA43" s="269"/>
      <c r="EB43" s="269"/>
      <c r="EC43" s="269"/>
      <c r="ED43" s="277">
        <f t="shared" si="50"/>
        <v>0</v>
      </c>
      <c r="EE43" s="269"/>
      <c r="EF43" s="269"/>
      <c r="EG43" s="269"/>
      <c r="EH43" s="277">
        <f t="shared" si="51"/>
        <v>0</v>
      </c>
      <c r="EI43" s="269"/>
      <c r="EJ43" s="269"/>
      <c r="EK43" s="269"/>
      <c r="EL43" s="277">
        <f t="shared" si="52"/>
        <v>0</v>
      </c>
      <c r="EM43" s="269"/>
      <c r="EN43" s="269"/>
      <c r="EO43" s="269"/>
      <c r="EP43" s="277">
        <f t="shared" si="53"/>
        <v>0</v>
      </c>
      <c r="EQ43" s="269"/>
      <c r="ER43" s="269"/>
      <c r="ES43" s="269"/>
      <c r="ET43" s="277">
        <f t="shared" si="54"/>
        <v>0</v>
      </c>
      <c r="EU43" s="269"/>
      <c r="EV43" s="269"/>
      <c r="EW43" s="269"/>
      <c r="EX43" s="277">
        <f t="shared" si="55"/>
        <v>0</v>
      </c>
      <c r="EY43" s="269"/>
      <c r="EZ43" s="269"/>
      <c r="FA43" s="269"/>
      <c r="FB43" s="277">
        <f t="shared" si="56"/>
        <v>0</v>
      </c>
      <c r="FC43" s="269"/>
      <c r="FD43" s="269"/>
      <c r="FE43" s="269"/>
      <c r="FF43" s="277">
        <f t="shared" si="57"/>
        <v>0</v>
      </c>
      <c r="FG43" s="269"/>
      <c r="FH43" s="269"/>
      <c r="FI43" s="269"/>
      <c r="FJ43" s="277">
        <f t="shared" si="58"/>
        <v>0</v>
      </c>
      <c r="FK43" s="269"/>
      <c r="FL43" s="269"/>
      <c r="FM43" s="269"/>
      <c r="FN43" s="277">
        <f t="shared" si="59"/>
        <v>0</v>
      </c>
      <c r="FO43" s="269"/>
      <c r="FP43" s="269"/>
      <c r="FQ43" s="269"/>
      <c r="FR43" s="277">
        <f t="shared" si="60"/>
        <v>0</v>
      </c>
      <c r="FS43" s="269"/>
      <c r="FT43" s="269"/>
      <c r="FU43" s="269"/>
      <c r="FV43" s="277">
        <f t="shared" si="61"/>
        <v>0</v>
      </c>
      <c r="FW43" s="269"/>
      <c r="FX43" s="269"/>
      <c r="FY43" s="269"/>
      <c r="FZ43" s="277">
        <f t="shared" si="62"/>
        <v>0</v>
      </c>
      <c r="GA43" s="269"/>
      <c r="GB43" s="269"/>
      <c r="GC43" s="269"/>
      <c r="GD43" s="277">
        <f t="shared" si="63"/>
        <v>0</v>
      </c>
      <c r="GE43" s="269"/>
      <c r="GF43" s="269"/>
      <c r="GG43" s="269"/>
      <c r="GH43" s="277">
        <f t="shared" si="64"/>
        <v>0</v>
      </c>
      <c r="GI43" s="269"/>
      <c r="GJ43" s="269"/>
      <c r="GK43" s="269"/>
      <c r="GL43" s="277">
        <f t="shared" si="65"/>
        <v>0</v>
      </c>
      <c r="GM43" s="269"/>
      <c r="GN43" s="269"/>
      <c r="GO43" s="269"/>
      <c r="GP43" s="277">
        <f t="shared" si="66"/>
        <v>0</v>
      </c>
      <c r="GQ43" s="269"/>
      <c r="GR43" s="269"/>
      <c r="GS43" s="269"/>
      <c r="GT43" s="277">
        <f t="shared" si="67"/>
        <v>0</v>
      </c>
      <c r="GU43" s="269"/>
      <c r="GV43" s="269"/>
      <c r="GW43" s="269"/>
      <c r="GX43" s="277">
        <f t="shared" si="68"/>
        <v>0</v>
      </c>
      <c r="GY43" s="269"/>
      <c r="GZ43" s="269"/>
      <c r="HA43" s="269"/>
      <c r="HB43" s="277">
        <f t="shared" si="69"/>
        <v>0</v>
      </c>
      <c r="HC43" s="269"/>
      <c r="HD43" s="269"/>
      <c r="HE43" s="269"/>
      <c r="HF43" s="277">
        <f t="shared" si="70"/>
        <v>0</v>
      </c>
      <c r="HG43" s="269"/>
      <c r="HH43" s="269"/>
      <c r="HI43" s="269"/>
      <c r="HJ43" s="277">
        <f t="shared" si="71"/>
        <v>0</v>
      </c>
      <c r="HK43" s="269"/>
      <c r="HL43" s="269"/>
      <c r="HM43" s="269"/>
      <c r="HN43" s="277">
        <f t="shared" si="72"/>
        <v>0</v>
      </c>
      <c r="HO43" s="269"/>
      <c r="HP43" s="269"/>
      <c r="HQ43" s="269"/>
      <c r="HR43" s="277">
        <f t="shared" si="73"/>
        <v>0</v>
      </c>
      <c r="HS43" s="269"/>
      <c r="HT43" s="269"/>
      <c r="HU43" s="269"/>
      <c r="HV43" s="277">
        <f t="shared" si="74"/>
        <v>0</v>
      </c>
      <c r="HW43" s="269"/>
      <c r="HX43" s="269"/>
      <c r="HY43" s="269"/>
      <c r="HZ43" s="277">
        <f t="shared" si="75"/>
        <v>0</v>
      </c>
      <c r="IA43" s="269"/>
      <c r="IB43" s="269"/>
      <c r="IC43" s="269"/>
      <c r="ID43" s="277">
        <f t="shared" si="76"/>
        <v>0</v>
      </c>
      <c r="IE43" s="269"/>
      <c r="IF43" s="269"/>
      <c r="IG43" s="269"/>
      <c r="IH43" s="277">
        <f t="shared" si="77"/>
        <v>0</v>
      </c>
      <c r="II43" s="269"/>
      <c r="IJ43" s="269"/>
      <c r="IK43" s="269"/>
      <c r="IL43" s="277">
        <f t="shared" si="78"/>
        <v>0</v>
      </c>
      <c r="IM43" s="269"/>
      <c r="IN43" s="269"/>
      <c r="IO43" s="269"/>
      <c r="IP43" s="277">
        <f t="shared" si="79"/>
        <v>0</v>
      </c>
      <c r="IQ43" s="277">
        <f t="shared" si="80"/>
        <v>0</v>
      </c>
      <c r="IR43" s="277">
        <f t="shared" si="80"/>
        <v>0</v>
      </c>
      <c r="IS43" s="277">
        <f t="shared" si="80"/>
        <v>0</v>
      </c>
      <c r="IT43" s="277">
        <f t="shared" si="80"/>
        <v>0</v>
      </c>
    </row>
    <row r="44" spans="1:254" ht="15" customHeight="1">
      <c r="A44" s="301">
        <v>381050</v>
      </c>
      <c r="B44" s="263" t="s">
        <v>1160</v>
      </c>
      <c r="C44" s="269"/>
      <c r="D44" s="269"/>
      <c r="E44" s="269"/>
      <c r="F44" s="277">
        <f t="shared" si="18"/>
        <v>0</v>
      </c>
      <c r="G44" s="269"/>
      <c r="H44" s="269"/>
      <c r="I44" s="269"/>
      <c r="J44" s="277">
        <f t="shared" si="19"/>
        <v>0</v>
      </c>
      <c r="K44" s="269"/>
      <c r="L44" s="269"/>
      <c r="M44" s="269"/>
      <c r="N44" s="277">
        <f t="shared" si="20"/>
        <v>0</v>
      </c>
      <c r="O44" s="269"/>
      <c r="P44" s="269"/>
      <c r="Q44" s="269"/>
      <c r="R44" s="277">
        <f t="shared" si="21"/>
        <v>0</v>
      </c>
      <c r="S44" s="269"/>
      <c r="T44" s="269"/>
      <c r="U44" s="269"/>
      <c r="V44" s="277">
        <f t="shared" si="22"/>
        <v>0</v>
      </c>
      <c r="W44" s="269"/>
      <c r="X44" s="269"/>
      <c r="Y44" s="269"/>
      <c r="Z44" s="277">
        <f t="shared" si="23"/>
        <v>0</v>
      </c>
      <c r="AA44" s="269"/>
      <c r="AB44" s="269"/>
      <c r="AC44" s="269"/>
      <c r="AD44" s="277">
        <f t="shared" si="24"/>
        <v>0</v>
      </c>
      <c r="AE44" s="269"/>
      <c r="AF44" s="269"/>
      <c r="AG44" s="269"/>
      <c r="AH44" s="277">
        <f t="shared" si="25"/>
        <v>0</v>
      </c>
      <c r="AI44" s="269"/>
      <c r="AJ44" s="269"/>
      <c r="AK44" s="269"/>
      <c r="AL44" s="277">
        <f t="shared" si="26"/>
        <v>0</v>
      </c>
      <c r="AM44" s="269"/>
      <c r="AN44" s="269"/>
      <c r="AO44" s="269"/>
      <c r="AP44" s="277">
        <f t="shared" si="27"/>
        <v>0</v>
      </c>
      <c r="AQ44" s="269"/>
      <c r="AR44" s="269"/>
      <c r="AS44" s="269"/>
      <c r="AT44" s="277">
        <f t="shared" si="28"/>
        <v>0</v>
      </c>
      <c r="AU44" s="269"/>
      <c r="AV44" s="269"/>
      <c r="AW44" s="269"/>
      <c r="AX44" s="277">
        <f t="shared" si="29"/>
        <v>0</v>
      </c>
      <c r="AY44" s="269"/>
      <c r="AZ44" s="269"/>
      <c r="BA44" s="269"/>
      <c r="BB44" s="277">
        <f t="shared" si="30"/>
        <v>0</v>
      </c>
      <c r="BC44" s="269"/>
      <c r="BD44" s="269"/>
      <c r="BE44" s="269"/>
      <c r="BF44" s="277">
        <f t="shared" si="31"/>
        <v>0</v>
      </c>
      <c r="BG44" s="269"/>
      <c r="BH44" s="269"/>
      <c r="BI44" s="269"/>
      <c r="BJ44" s="277">
        <f t="shared" si="32"/>
        <v>0</v>
      </c>
      <c r="BK44" s="269"/>
      <c r="BL44" s="269"/>
      <c r="BM44" s="269"/>
      <c r="BN44" s="277">
        <f t="shared" si="33"/>
        <v>0</v>
      </c>
      <c r="BO44" s="269"/>
      <c r="BP44" s="269"/>
      <c r="BQ44" s="269"/>
      <c r="BR44" s="277">
        <f t="shared" si="34"/>
        <v>0</v>
      </c>
      <c r="BS44" s="269"/>
      <c r="BT44" s="269"/>
      <c r="BU44" s="269"/>
      <c r="BV44" s="277">
        <f t="shared" si="35"/>
        <v>0</v>
      </c>
      <c r="BW44" s="269"/>
      <c r="BX44" s="269"/>
      <c r="BY44" s="269"/>
      <c r="BZ44" s="277">
        <f t="shared" si="36"/>
        <v>0</v>
      </c>
      <c r="CA44" s="269"/>
      <c r="CB44" s="269"/>
      <c r="CC44" s="269"/>
      <c r="CD44" s="277">
        <f t="shared" si="37"/>
        <v>0</v>
      </c>
      <c r="CE44" s="269"/>
      <c r="CF44" s="269"/>
      <c r="CG44" s="269"/>
      <c r="CH44" s="277">
        <f t="shared" si="38"/>
        <v>0</v>
      </c>
      <c r="CI44" s="269"/>
      <c r="CJ44" s="269"/>
      <c r="CK44" s="269"/>
      <c r="CL44" s="277">
        <f t="shared" si="39"/>
        <v>0</v>
      </c>
      <c r="CM44" s="269"/>
      <c r="CN44" s="269"/>
      <c r="CO44" s="269"/>
      <c r="CP44" s="277">
        <f t="shared" si="40"/>
        <v>0</v>
      </c>
      <c r="CQ44" s="269"/>
      <c r="CR44" s="269"/>
      <c r="CS44" s="269"/>
      <c r="CT44" s="277">
        <f t="shared" si="41"/>
        <v>0</v>
      </c>
      <c r="CU44" s="269"/>
      <c r="CV44" s="269"/>
      <c r="CW44" s="269"/>
      <c r="CX44" s="277">
        <f t="shared" si="42"/>
        <v>0</v>
      </c>
      <c r="CY44" s="269"/>
      <c r="CZ44" s="269"/>
      <c r="DA44" s="269"/>
      <c r="DB44" s="277">
        <f t="shared" si="43"/>
        <v>0</v>
      </c>
      <c r="DC44" s="269"/>
      <c r="DD44" s="269"/>
      <c r="DE44" s="269"/>
      <c r="DF44" s="277">
        <f t="shared" si="44"/>
        <v>0</v>
      </c>
      <c r="DG44" s="269"/>
      <c r="DH44" s="269"/>
      <c r="DI44" s="269"/>
      <c r="DJ44" s="277">
        <f t="shared" si="45"/>
        <v>0</v>
      </c>
      <c r="DK44" s="269"/>
      <c r="DL44" s="269"/>
      <c r="DM44" s="269"/>
      <c r="DN44" s="277">
        <f t="shared" si="46"/>
        <v>0</v>
      </c>
      <c r="DO44" s="269"/>
      <c r="DP44" s="269"/>
      <c r="DQ44" s="269"/>
      <c r="DR44" s="277">
        <f t="shared" si="47"/>
        <v>0</v>
      </c>
      <c r="DS44" s="269"/>
      <c r="DT44" s="269"/>
      <c r="DU44" s="269"/>
      <c r="DV44" s="277">
        <f t="shared" si="48"/>
        <v>0</v>
      </c>
      <c r="DW44" s="269"/>
      <c r="DX44" s="269"/>
      <c r="DY44" s="269"/>
      <c r="DZ44" s="277">
        <f t="shared" si="49"/>
        <v>0</v>
      </c>
      <c r="EA44" s="269"/>
      <c r="EB44" s="269"/>
      <c r="EC44" s="269"/>
      <c r="ED44" s="277">
        <f t="shared" si="50"/>
        <v>0</v>
      </c>
      <c r="EE44" s="269"/>
      <c r="EF44" s="269"/>
      <c r="EG44" s="269"/>
      <c r="EH44" s="277">
        <f t="shared" si="51"/>
        <v>0</v>
      </c>
      <c r="EI44" s="269"/>
      <c r="EJ44" s="269"/>
      <c r="EK44" s="269"/>
      <c r="EL44" s="277">
        <f t="shared" si="52"/>
        <v>0</v>
      </c>
      <c r="EM44" s="269"/>
      <c r="EN44" s="269"/>
      <c r="EO44" s="269"/>
      <c r="EP44" s="277">
        <f t="shared" si="53"/>
        <v>0</v>
      </c>
      <c r="EQ44" s="269"/>
      <c r="ER44" s="269"/>
      <c r="ES44" s="269"/>
      <c r="ET44" s="277">
        <f t="shared" si="54"/>
        <v>0</v>
      </c>
      <c r="EU44" s="269"/>
      <c r="EV44" s="269"/>
      <c r="EW44" s="269"/>
      <c r="EX44" s="277">
        <f t="shared" si="55"/>
        <v>0</v>
      </c>
      <c r="EY44" s="269"/>
      <c r="EZ44" s="269"/>
      <c r="FA44" s="269"/>
      <c r="FB44" s="277">
        <f t="shared" si="56"/>
        <v>0</v>
      </c>
      <c r="FC44" s="269"/>
      <c r="FD44" s="269"/>
      <c r="FE44" s="269"/>
      <c r="FF44" s="277">
        <f t="shared" si="57"/>
        <v>0</v>
      </c>
      <c r="FG44" s="269"/>
      <c r="FH44" s="269"/>
      <c r="FI44" s="269"/>
      <c r="FJ44" s="277">
        <f t="shared" si="58"/>
        <v>0</v>
      </c>
      <c r="FK44" s="269"/>
      <c r="FL44" s="269"/>
      <c r="FM44" s="269"/>
      <c r="FN44" s="277">
        <f t="shared" si="59"/>
        <v>0</v>
      </c>
      <c r="FO44" s="269"/>
      <c r="FP44" s="269"/>
      <c r="FQ44" s="269"/>
      <c r="FR44" s="277">
        <f t="shared" si="60"/>
        <v>0</v>
      </c>
      <c r="FS44" s="269"/>
      <c r="FT44" s="269"/>
      <c r="FU44" s="269"/>
      <c r="FV44" s="277">
        <f t="shared" si="61"/>
        <v>0</v>
      </c>
      <c r="FW44" s="269"/>
      <c r="FX44" s="269"/>
      <c r="FY44" s="269"/>
      <c r="FZ44" s="277">
        <f t="shared" si="62"/>
        <v>0</v>
      </c>
      <c r="GA44" s="269"/>
      <c r="GB44" s="269"/>
      <c r="GC44" s="269"/>
      <c r="GD44" s="277">
        <f t="shared" si="63"/>
        <v>0</v>
      </c>
      <c r="GE44" s="269"/>
      <c r="GF44" s="269"/>
      <c r="GG44" s="269"/>
      <c r="GH44" s="277">
        <f t="shared" si="64"/>
        <v>0</v>
      </c>
      <c r="GI44" s="269"/>
      <c r="GJ44" s="269"/>
      <c r="GK44" s="269"/>
      <c r="GL44" s="277">
        <f t="shared" si="65"/>
        <v>0</v>
      </c>
      <c r="GM44" s="269"/>
      <c r="GN44" s="269"/>
      <c r="GO44" s="269"/>
      <c r="GP44" s="277">
        <f t="shared" si="66"/>
        <v>0</v>
      </c>
      <c r="GQ44" s="269"/>
      <c r="GR44" s="269"/>
      <c r="GS44" s="269"/>
      <c r="GT44" s="277">
        <f t="shared" si="67"/>
        <v>0</v>
      </c>
      <c r="GU44" s="269"/>
      <c r="GV44" s="269"/>
      <c r="GW44" s="269"/>
      <c r="GX44" s="277">
        <f t="shared" si="68"/>
        <v>0</v>
      </c>
      <c r="GY44" s="269"/>
      <c r="GZ44" s="269"/>
      <c r="HA44" s="269"/>
      <c r="HB44" s="277">
        <f t="shared" si="69"/>
        <v>0</v>
      </c>
      <c r="HC44" s="269"/>
      <c r="HD44" s="269"/>
      <c r="HE44" s="269"/>
      <c r="HF44" s="277">
        <f t="shared" si="70"/>
        <v>0</v>
      </c>
      <c r="HG44" s="269"/>
      <c r="HH44" s="269"/>
      <c r="HI44" s="269"/>
      <c r="HJ44" s="277">
        <f t="shared" si="71"/>
        <v>0</v>
      </c>
      <c r="HK44" s="269"/>
      <c r="HL44" s="269"/>
      <c r="HM44" s="269"/>
      <c r="HN44" s="277">
        <f t="shared" si="72"/>
        <v>0</v>
      </c>
      <c r="HO44" s="269"/>
      <c r="HP44" s="269"/>
      <c r="HQ44" s="269"/>
      <c r="HR44" s="277">
        <f t="shared" si="73"/>
        <v>0</v>
      </c>
      <c r="HS44" s="269"/>
      <c r="HT44" s="269"/>
      <c r="HU44" s="269"/>
      <c r="HV44" s="277">
        <f t="shared" si="74"/>
        <v>0</v>
      </c>
      <c r="HW44" s="269"/>
      <c r="HX44" s="269"/>
      <c r="HY44" s="269"/>
      <c r="HZ44" s="277">
        <f t="shared" si="75"/>
        <v>0</v>
      </c>
      <c r="IA44" s="269"/>
      <c r="IB44" s="269"/>
      <c r="IC44" s="269"/>
      <c r="ID44" s="277">
        <f t="shared" si="76"/>
        <v>0</v>
      </c>
      <c r="IE44" s="269"/>
      <c r="IF44" s="269"/>
      <c r="IG44" s="269"/>
      <c r="IH44" s="277">
        <f t="shared" si="77"/>
        <v>0</v>
      </c>
      <c r="II44" s="269"/>
      <c r="IJ44" s="269"/>
      <c r="IK44" s="269"/>
      <c r="IL44" s="277">
        <f t="shared" si="78"/>
        <v>0</v>
      </c>
      <c r="IM44" s="269"/>
      <c r="IN44" s="269"/>
      <c r="IO44" s="269"/>
      <c r="IP44" s="277">
        <f t="shared" si="79"/>
        <v>0</v>
      </c>
      <c r="IQ44" s="277">
        <f t="shared" si="80"/>
        <v>0</v>
      </c>
      <c r="IR44" s="277">
        <f t="shared" si="80"/>
        <v>0</v>
      </c>
      <c r="IS44" s="277">
        <f t="shared" si="80"/>
        <v>0</v>
      </c>
      <c r="IT44" s="277">
        <f t="shared" si="80"/>
        <v>0</v>
      </c>
    </row>
    <row r="45" spans="1:254" ht="15" customHeight="1">
      <c r="A45" s="301">
        <v>381070</v>
      </c>
      <c r="B45" s="263" t="s">
        <v>549</v>
      </c>
      <c r="C45" s="269"/>
      <c r="D45" s="269"/>
      <c r="E45" s="269"/>
      <c r="F45" s="277">
        <f t="shared" si="18"/>
        <v>0</v>
      </c>
      <c r="G45" s="269"/>
      <c r="H45" s="269"/>
      <c r="I45" s="269"/>
      <c r="J45" s="277">
        <f t="shared" si="19"/>
        <v>0</v>
      </c>
      <c r="K45" s="269"/>
      <c r="L45" s="269"/>
      <c r="M45" s="269"/>
      <c r="N45" s="277">
        <f t="shared" si="20"/>
        <v>0</v>
      </c>
      <c r="O45" s="269"/>
      <c r="P45" s="269"/>
      <c r="Q45" s="269"/>
      <c r="R45" s="277">
        <f t="shared" si="21"/>
        <v>0</v>
      </c>
      <c r="S45" s="269"/>
      <c r="T45" s="269"/>
      <c r="U45" s="269"/>
      <c r="V45" s="277">
        <f t="shared" si="22"/>
        <v>0</v>
      </c>
      <c r="W45" s="269"/>
      <c r="X45" s="269"/>
      <c r="Y45" s="269"/>
      <c r="Z45" s="277">
        <f t="shared" si="23"/>
        <v>0</v>
      </c>
      <c r="AA45" s="269"/>
      <c r="AB45" s="269"/>
      <c r="AC45" s="269"/>
      <c r="AD45" s="277">
        <f t="shared" si="24"/>
        <v>0</v>
      </c>
      <c r="AE45" s="269"/>
      <c r="AF45" s="269"/>
      <c r="AG45" s="269"/>
      <c r="AH45" s="277">
        <f t="shared" si="25"/>
        <v>0</v>
      </c>
      <c r="AI45" s="269"/>
      <c r="AJ45" s="269"/>
      <c r="AK45" s="269"/>
      <c r="AL45" s="277">
        <f t="shared" si="26"/>
        <v>0</v>
      </c>
      <c r="AM45" s="269"/>
      <c r="AN45" s="269"/>
      <c r="AO45" s="269"/>
      <c r="AP45" s="277">
        <f t="shared" si="27"/>
        <v>0</v>
      </c>
      <c r="AQ45" s="269"/>
      <c r="AR45" s="269"/>
      <c r="AS45" s="269"/>
      <c r="AT45" s="277">
        <f t="shared" si="28"/>
        <v>0</v>
      </c>
      <c r="AU45" s="269"/>
      <c r="AV45" s="269"/>
      <c r="AW45" s="269"/>
      <c r="AX45" s="277">
        <f t="shared" si="29"/>
        <v>0</v>
      </c>
      <c r="AY45" s="269"/>
      <c r="AZ45" s="269"/>
      <c r="BA45" s="269"/>
      <c r="BB45" s="277">
        <f t="shared" si="30"/>
        <v>0</v>
      </c>
      <c r="BC45" s="269"/>
      <c r="BD45" s="269"/>
      <c r="BE45" s="269"/>
      <c r="BF45" s="277">
        <f t="shared" si="31"/>
        <v>0</v>
      </c>
      <c r="BG45" s="269"/>
      <c r="BH45" s="269"/>
      <c r="BI45" s="269"/>
      <c r="BJ45" s="277">
        <f t="shared" si="32"/>
        <v>0</v>
      </c>
      <c r="BK45" s="269"/>
      <c r="BL45" s="269"/>
      <c r="BM45" s="269"/>
      <c r="BN45" s="277">
        <f t="shared" si="33"/>
        <v>0</v>
      </c>
      <c r="BO45" s="269"/>
      <c r="BP45" s="269"/>
      <c r="BQ45" s="269"/>
      <c r="BR45" s="277">
        <f t="shared" si="34"/>
        <v>0</v>
      </c>
      <c r="BS45" s="269"/>
      <c r="BT45" s="269"/>
      <c r="BU45" s="269"/>
      <c r="BV45" s="277">
        <f t="shared" si="35"/>
        <v>0</v>
      </c>
      <c r="BW45" s="269"/>
      <c r="BX45" s="269"/>
      <c r="BY45" s="269"/>
      <c r="BZ45" s="277">
        <f t="shared" si="36"/>
        <v>0</v>
      </c>
      <c r="CA45" s="269"/>
      <c r="CB45" s="269"/>
      <c r="CC45" s="269"/>
      <c r="CD45" s="277">
        <f t="shared" si="37"/>
        <v>0</v>
      </c>
      <c r="CE45" s="269"/>
      <c r="CF45" s="269"/>
      <c r="CG45" s="269"/>
      <c r="CH45" s="277">
        <f t="shared" si="38"/>
        <v>0</v>
      </c>
      <c r="CI45" s="269"/>
      <c r="CJ45" s="269"/>
      <c r="CK45" s="269"/>
      <c r="CL45" s="277">
        <f t="shared" si="39"/>
        <v>0</v>
      </c>
      <c r="CM45" s="269"/>
      <c r="CN45" s="269"/>
      <c r="CO45" s="269"/>
      <c r="CP45" s="277">
        <f t="shared" si="40"/>
        <v>0</v>
      </c>
      <c r="CQ45" s="269"/>
      <c r="CR45" s="269"/>
      <c r="CS45" s="269"/>
      <c r="CT45" s="277">
        <f t="shared" si="41"/>
        <v>0</v>
      </c>
      <c r="CU45" s="269"/>
      <c r="CV45" s="269"/>
      <c r="CW45" s="269"/>
      <c r="CX45" s="277">
        <f t="shared" si="42"/>
        <v>0</v>
      </c>
      <c r="CY45" s="269"/>
      <c r="CZ45" s="269"/>
      <c r="DA45" s="269"/>
      <c r="DB45" s="277">
        <f t="shared" si="43"/>
        <v>0</v>
      </c>
      <c r="DC45" s="269"/>
      <c r="DD45" s="269"/>
      <c r="DE45" s="269"/>
      <c r="DF45" s="277">
        <f t="shared" si="44"/>
        <v>0</v>
      </c>
      <c r="DG45" s="269"/>
      <c r="DH45" s="269"/>
      <c r="DI45" s="269"/>
      <c r="DJ45" s="277">
        <f t="shared" si="45"/>
        <v>0</v>
      </c>
      <c r="DK45" s="269"/>
      <c r="DL45" s="269"/>
      <c r="DM45" s="269"/>
      <c r="DN45" s="277">
        <f t="shared" si="46"/>
        <v>0</v>
      </c>
      <c r="DO45" s="269"/>
      <c r="DP45" s="269"/>
      <c r="DQ45" s="269"/>
      <c r="DR45" s="277">
        <f t="shared" si="47"/>
        <v>0</v>
      </c>
      <c r="DS45" s="269"/>
      <c r="DT45" s="269"/>
      <c r="DU45" s="269"/>
      <c r="DV45" s="277">
        <f t="shared" si="48"/>
        <v>0</v>
      </c>
      <c r="DW45" s="269"/>
      <c r="DX45" s="269"/>
      <c r="DY45" s="269"/>
      <c r="DZ45" s="277">
        <f t="shared" si="49"/>
        <v>0</v>
      </c>
      <c r="EA45" s="269"/>
      <c r="EB45" s="269"/>
      <c r="EC45" s="269"/>
      <c r="ED45" s="277">
        <f t="shared" si="50"/>
        <v>0</v>
      </c>
      <c r="EE45" s="269"/>
      <c r="EF45" s="269"/>
      <c r="EG45" s="269"/>
      <c r="EH45" s="277">
        <f t="shared" si="51"/>
        <v>0</v>
      </c>
      <c r="EI45" s="269"/>
      <c r="EJ45" s="269"/>
      <c r="EK45" s="269"/>
      <c r="EL45" s="277">
        <f t="shared" si="52"/>
        <v>0</v>
      </c>
      <c r="EM45" s="269"/>
      <c r="EN45" s="269"/>
      <c r="EO45" s="269"/>
      <c r="EP45" s="277">
        <f t="shared" si="53"/>
        <v>0</v>
      </c>
      <c r="EQ45" s="269"/>
      <c r="ER45" s="269"/>
      <c r="ES45" s="269"/>
      <c r="ET45" s="277">
        <f t="shared" si="54"/>
        <v>0</v>
      </c>
      <c r="EU45" s="269"/>
      <c r="EV45" s="269"/>
      <c r="EW45" s="269"/>
      <c r="EX45" s="277">
        <f t="shared" si="55"/>
        <v>0</v>
      </c>
      <c r="EY45" s="269"/>
      <c r="EZ45" s="269"/>
      <c r="FA45" s="269"/>
      <c r="FB45" s="277">
        <f t="shared" si="56"/>
        <v>0</v>
      </c>
      <c r="FC45" s="269"/>
      <c r="FD45" s="269"/>
      <c r="FE45" s="269"/>
      <c r="FF45" s="277">
        <f t="shared" si="57"/>
        <v>0</v>
      </c>
      <c r="FG45" s="269"/>
      <c r="FH45" s="269"/>
      <c r="FI45" s="269"/>
      <c r="FJ45" s="277">
        <f t="shared" si="58"/>
        <v>0</v>
      </c>
      <c r="FK45" s="269"/>
      <c r="FL45" s="269"/>
      <c r="FM45" s="269"/>
      <c r="FN45" s="277">
        <f t="shared" si="59"/>
        <v>0</v>
      </c>
      <c r="FO45" s="269"/>
      <c r="FP45" s="269"/>
      <c r="FQ45" s="269"/>
      <c r="FR45" s="277">
        <f t="shared" si="60"/>
        <v>0</v>
      </c>
      <c r="FS45" s="269"/>
      <c r="FT45" s="269"/>
      <c r="FU45" s="269"/>
      <c r="FV45" s="277">
        <f t="shared" si="61"/>
        <v>0</v>
      </c>
      <c r="FW45" s="269"/>
      <c r="FX45" s="269"/>
      <c r="FY45" s="269"/>
      <c r="FZ45" s="277">
        <f t="shared" si="62"/>
        <v>0</v>
      </c>
      <c r="GA45" s="269"/>
      <c r="GB45" s="269"/>
      <c r="GC45" s="269"/>
      <c r="GD45" s="277">
        <f t="shared" si="63"/>
        <v>0</v>
      </c>
      <c r="GE45" s="269"/>
      <c r="GF45" s="269"/>
      <c r="GG45" s="269"/>
      <c r="GH45" s="277">
        <f t="shared" si="64"/>
        <v>0</v>
      </c>
      <c r="GI45" s="269"/>
      <c r="GJ45" s="269"/>
      <c r="GK45" s="269"/>
      <c r="GL45" s="277">
        <f t="shared" si="65"/>
        <v>0</v>
      </c>
      <c r="GM45" s="269"/>
      <c r="GN45" s="269"/>
      <c r="GO45" s="269"/>
      <c r="GP45" s="277">
        <f t="shared" si="66"/>
        <v>0</v>
      </c>
      <c r="GQ45" s="269"/>
      <c r="GR45" s="269"/>
      <c r="GS45" s="269"/>
      <c r="GT45" s="277">
        <f t="shared" si="67"/>
        <v>0</v>
      </c>
      <c r="GU45" s="269"/>
      <c r="GV45" s="269"/>
      <c r="GW45" s="269"/>
      <c r="GX45" s="277">
        <f t="shared" si="68"/>
        <v>0</v>
      </c>
      <c r="GY45" s="269"/>
      <c r="GZ45" s="269"/>
      <c r="HA45" s="269"/>
      <c r="HB45" s="277">
        <f t="shared" si="69"/>
        <v>0</v>
      </c>
      <c r="HC45" s="269"/>
      <c r="HD45" s="269"/>
      <c r="HE45" s="269"/>
      <c r="HF45" s="277">
        <f t="shared" si="70"/>
        <v>0</v>
      </c>
      <c r="HG45" s="269"/>
      <c r="HH45" s="269"/>
      <c r="HI45" s="269"/>
      <c r="HJ45" s="277">
        <f t="shared" si="71"/>
        <v>0</v>
      </c>
      <c r="HK45" s="269"/>
      <c r="HL45" s="269"/>
      <c r="HM45" s="269"/>
      <c r="HN45" s="277">
        <f t="shared" si="72"/>
        <v>0</v>
      </c>
      <c r="HO45" s="269"/>
      <c r="HP45" s="269"/>
      <c r="HQ45" s="269"/>
      <c r="HR45" s="277">
        <f t="shared" si="73"/>
        <v>0</v>
      </c>
      <c r="HS45" s="269"/>
      <c r="HT45" s="269"/>
      <c r="HU45" s="269"/>
      <c r="HV45" s="277">
        <f t="shared" si="74"/>
        <v>0</v>
      </c>
      <c r="HW45" s="269"/>
      <c r="HX45" s="269"/>
      <c r="HY45" s="269"/>
      <c r="HZ45" s="277">
        <f t="shared" si="75"/>
        <v>0</v>
      </c>
      <c r="IA45" s="269"/>
      <c r="IB45" s="269"/>
      <c r="IC45" s="269"/>
      <c r="ID45" s="277">
        <f t="shared" si="76"/>
        <v>0</v>
      </c>
      <c r="IE45" s="269"/>
      <c r="IF45" s="269"/>
      <c r="IG45" s="269"/>
      <c r="IH45" s="277">
        <f t="shared" si="77"/>
        <v>0</v>
      </c>
      <c r="II45" s="269"/>
      <c r="IJ45" s="269"/>
      <c r="IK45" s="269"/>
      <c r="IL45" s="277">
        <f t="shared" si="78"/>
        <v>0</v>
      </c>
      <c r="IM45" s="269"/>
      <c r="IN45" s="269"/>
      <c r="IO45" s="269"/>
      <c r="IP45" s="277">
        <f t="shared" si="79"/>
        <v>0</v>
      </c>
      <c r="IQ45" s="277">
        <f t="shared" si="80"/>
        <v>0</v>
      </c>
      <c r="IR45" s="277">
        <f t="shared" si="80"/>
        <v>0</v>
      </c>
      <c r="IS45" s="277">
        <f t="shared" si="80"/>
        <v>0</v>
      </c>
      <c r="IT45" s="277">
        <f t="shared" si="80"/>
        <v>0</v>
      </c>
    </row>
    <row r="46" spans="1:254" ht="15" customHeight="1">
      <c r="A46" s="301">
        <v>382010</v>
      </c>
      <c r="B46" s="263" t="s">
        <v>1159</v>
      </c>
      <c r="C46" s="269"/>
      <c r="D46" s="269"/>
      <c r="E46" s="269"/>
      <c r="F46" s="277">
        <f t="shared" si="18"/>
        <v>0</v>
      </c>
      <c r="G46" s="269"/>
      <c r="H46" s="269"/>
      <c r="I46" s="269"/>
      <c r="J46" s="277">
        <f t="shared" si="19"/>
        <v>0</v>
      </c>
      <c r="K46" s="269"/>
      <c r="L46" s="269"/>
      <c r="M46" s="269"/>
      <c r="N46" s="277">
        <f t="shared" si="20"/>
        <v>0</v>
      </c>
      <c r="O46" s="269"/>
      <c r="P46" s="269"/>
      <c r="Q46" s="269"/>
      <c r="R46" s="277">
        <f t="shared" si="21"/>
        <v>0</v>
      </c>
      <c r="S46" s="269"/>
      <c r="T46" s="269"/>
      <c r="U46" s="269"/>
      <c r="V46" s="277">
        <f t="shared" si="22"/>
        <v>0</v>
      </c>
      <c r="W46" s="269"/>
      <c r="X46" s="269"/>
      <c r="Y46" s="269"/>
      <c r="Z46" s="277">
        <f t="shared" si="23"/>
        <v>0</v>
      </c>
      <c r="AA46" s="269"/>
      <c r="AB46" s="269"/>
      <c r="AC46" s="269"/>
      <c r="AD46" s="277">
        <f t="shared" si="24"/>
        <v>0</v>
      </c>
      <c r="AE46" s="269"/>
      <c r="AF46" s="269"/>
      <c r="AG46" s="269"/>
      <c r="AH46" s="277">
        <f t="shared" si="25"/>
        <v>0</v>
      </c>
      <c r="AI46" s="269"/>
      <c r="AJ46" s="269"/>
      <c r="AK46" s="269"/>
      <c r="AL46" s="277">
        <f t="shared" si="26"/>
        <v>0</v>
      </c>
      <c r="AM46" s="269"/>
      <c r="AN46" s="269"/>
      <c r="AO46" s="269"/>
      <c r="AP46" s="277">
        <f t="shared" si="27"/>
        <v>0</v>
      </c>
      <c r="AQ46" s="269"/>
      <c r="AR46" s="269"/>
      <c r="AS46" s="269"/>
      <c r="AT46" s="277">
        <f t="shared" si="28"/>
        <v>0</v>
      </c>
      <c r="AU46" s="269"/>
      <c r="AV46" s="269"/>
      <c r="AW46" s="269"/>
      <c r="AX46" s="277">
        <f t="shared" si="29"/>
        <v>0</v>
      </c>
      <c r="AY46" s="269"/>
      <c r="AZ46" s="269"/>
      <c r="BA46" s="269"/>
      <c r="BB46" s="277">
        <f t="shared" si="30"/>
        <v>0</v>
      </c>
      <c r="BC46" s="269"/>
      <c r="BD46" s="269"/>
      <c r="BE46" s="269"/>
      <c r="BF46" s="277">
        <f t="shared" si="31"/>
        <v>0</v>
      </c>
      <c r="BG46" s="269"/>
      <c r="BH46" s="269"/>
      <c r="BI46" s="269"/>
      <c r="BJ46" s="277">
        <f t="shared" si="32"/>
        <v>0</v>
      </c>
      <c r="BK46" s="269"/>
      <c r="BL46" s="269"/>
      <c r="BM46" s="269"/>
      <c r="BN46" s="277">
        <f t="shared" si="33"/>
        <v>0</v>
      </c>
      <c r="BO46" s="269"/>
      <c r="BP46" s="269"/>
      <c r="BQ46" s="269"/>
      <c r="BR46" s="277">
        <f t="shared" si="34"/>
        <v>0</v>
      </c>
      <c r="BS46" s="269"/>
      <c r="BT46" s="269"/>
      <c r="BU46" s="269"/>
      <c r="BV46" s="277">
        <f t="shared" si="35"/>
        <v>0</v>
      </c>
      <c r="BW46" s="269"/>
      <c r="BX46" s="269"/>
      <c r="BY46" s="269"/>
      <c r="BZ46" s="277">
        <f t="shared" si="36"/>
        <v>0</v>
      </c>
      <c r="CA46" s="269"/>
      <c r="CB46" s="269"/>
      <c r="CC46" s="269"/>
      <c r="CD46" s="277">
        <f t="shared" si="37"/>
        <v>0</v>
      </c>
      <c r="CE46" s="269"/>
      <c r="CF46" s="269"/>
      <c r="CG46" s="269"/>
      <c r="CH46" s="277">
        <f t="shared" si="38"/>
        <v>0</v>
      </c>
      <c r="CI46" s="269"/>
      <c r="CJ46" s="269"/>
      <c r="CK46" s="269"/>
      <c r="CL46" s="277">
        <f t="shared" si="39"/>
        <v>0</v>
      </c>
      <c r="CM46" s="269"/>
      <c r="CN46" s="269"/>
      <c r="CO46" s="269"/>
      <c r="CP46" s="277">
        <f t="shared" si="40"/>
        <v>0</v>
      </c>
      <c r="CQ46" s="269"/>
      <c r="CR46" s="269"/>
      <c r="CS46" s="269"/>
      <c r="CT46" s="277">
        <f t="shared" si="41"/>
        <v>0</v>
      </c>
      <c r="CU46" s="269"/>
      <c r="CV46" s="269"/>
      <c r="CW46" s="269"/>
      <c r="CX46" s="277">
        <f t="shared" si="42"/>
        <v>0</v>
      </c>
      <c r="CY46" s="269"/>
      <c r="CZ46" s="269"/>
      <c r="DA46" s="269"/>
      <c r="DB46" s="277">
        <f t="shared" si="43"/>
        <v>0</v>
      </c>
      <c r="DC46" s="269"/>
      <c r="DD46" s="269"/>
      <c r="DE46" s="269"/>
      <c r="DF46" s="277">
        <f t="shared" si="44"/>
        <v>0</v>
      </c>
      <c r="DG46" s="269"/>
      <c r="DH46" s="269"/>
      <c r="DI46" s="269"/>
      <c r="DJ46" s="277">
        <f t="shared" si="45"/>
        <v>0</v>
      </c>
      <c r="DK46" s="269"/>
      <c r="DL46" s="269"/>
      <c r="DM46" s="269"/>
      <c r="DN46" s="277">
        <f t="shared" si="46"/>
        <v>0</v>
      </c>
      <c r="DO46" s="269"/>
      <c r="DP46" s="269"/>
      <c r="DQ46" s="269"/>
      <c r="DR46" s="277">
        <f t="shared" si="47"/>
        <v>0</v>
      </c>
      <c r="DS46" s="269"/>
      <c r="DT46" s="269"/>
      <c r="DU46" s="269"/>
      <c r="DV46" s="277">
        <f t="shared" si="48"/>
        <v>0</v>
      </c>
      <c r="DW46" s="269"/>
      <c r="DX46" s="269"/>
      <c r="DY46" s="269"/>
      <c r="DZ46" s="277">
        <f t="shared" si="49"/>
        <v>0</v>
      </c>
      <c r="EA46" s="269"/>
      <c r="EB46" s="269"/>
      <c r="EC46" s="269"/>
      <c r="ED46" s="277">
        <f t="shared" si="50"/>
        <v>0</v>
      </c>
      <c r="EE46" s="269"/>
      <c r="EF46" s="269"/>
      <c r="EG46" s="269"/>
      <c r="EH46" s="277">
        <f t="shared" si="51"/>
        <v>0</v>
      </c>
      <c r="EI46" s="269"/>
      <c r="EJ46" s="269"/>
      <c r="EK46" s="269"/>
      <c r="EL46" s="277">
        <f t="shared" si="52"/>
        <v>0</v>
      </c>
      <c r="EM46" s="269"/>
      <c r="EN46" s="269"/>
      <c r="EO46" s="269"/>
      <c r="EP46" s="277">
        <f t="shared" si="53"/>
        <v>0</v>
      </c>
      <c r="EQ46" s="269"/>
      <c r="ER46" s="269"/>
      <c r="ES46" s="269"/>
      <c r="ET46" s="277">
        <f t="shared" si="54"/>
        <v>0</v>
      </c>
      <c r="EU46" s="269"/>
      <c r="EV46" s="269"/>
      <c r="EW46" s="269"/>
      <c r="EX46" s="277">
        <f t="shared" si="55"/>
        <v>0</v>
      </c>
      <c r="EY46" s="269"/>
      <c r="EZ46" s="269"/>
      <c r="FA46" s="269"/>
      <c r="FB46" s="277">
        <f t="shared" si="56"/>
        <v>0</v>
      </c>
      <c r="FC46" s="269"/>
      <c r="FD46" s="269"/>
      <c r="FE46" s="269"/>
      <c r="FF46" s="277">
        <f t="shared" si="57"/>
        <v>0</v>
      </c>
      <c r="FG46" s="269"/>
      <c r="FH46" s="269"/>
      <c r="FI46" s="269"/>
      <c r="FJ46" s="277">
        <f t="shared" si="58"/>
        <v>0</v>
      </c>
      <c r="FK46" s="269"/>
      <c r="FL46" s="269"/>
      <c r="FM46" s="269"/>
      <c r="FN46" s="277">
        <f t="shared" si="59"/>
        <v>0</v>
      </c>
      <c r="FO46" s="269"/>
      <c r="FP46" s="269"/>
      <c r="FQ46" s="269"/>
      <c r="FR46" s="277">
        <f t="shared" si="60"/>
        <v>0</v>
      </c>
      <c r="FS46" s="269"/>
      <c r="FT46" s="269"/>
      <c r="FU46" s="269"/>
      <c r="FV46" s="277">
        <f t="shared" si="61"/>
        <v>0</v>
      </c>
      <c r="FW46" s="269"/>
      <c r="FX46" s="269"/>
      <c r="FY46" s="269"/>
      <c r="FZ46" s="277">
        <f t="shared" si="62"/>
        <v>0</v>
      </c>
      <c r="GA46" s="269"/>
      <c r="GB46" s="269"/>
      <c r="GC46" s="269"/>
      <c r="GD46" s="277">
        <f t="shared" si="63"/>
        <v>0</v>
      </c>
      <c r="GE46" s="269"/>
      <c r="GF46" s="269"/>
      <c r="GG46" s="269"/>
      <c r="GH46" s="277">
        <f t="shared" si="64"/>
        <v>0</v>
      </c>
      <c r="GI46" s="269"/>
      <c r="GJ46" s="269"/>
      <c r="GK46" s="269"/>
      <c r="GL46" s="277">
        <f t="shared" si="65"/>
        <v>0</v>
      </c>
      <c r="GM46" s="269"/>
      <c r="GN46" s="269"/>
      <c r="GO46" s="269"/>
      <c r="GP46" s="277">
        <f t="shared" si="66"/>
        <v>0</v>
      </c>
      <c r="GQ46" s="269"/>
      <c r="GR46" s="269"/>
      <c r="GS46" s="269"/>
      <c r="GT46" s="277">
        <f t="shared" si="67"/>
        <v>0</v>
      </c>
      <c r="GU46" s="269"/>
      <c r="GV46" s="269"/>
      <c r="GW46" s="269"/>
      <c r="GX46" s="277">
        <f t="shared" si="68"/>
        <v>0</v>
      </c>
      <c r="GY46" s="269"/>
      <c r="GZ46" s="269"/>
      <c r="HA46" s="269"/>
      <c r="HB46" s="277">
        <f t="shared" si="69"/>
        <v>0</v>
      </c>
      <c r="HC46" s="269"/>
      <c r="HD46" s="269"/>
      <c r="HE46" s="269"/>
      <c r="HF46" s="277">
        <f t="shared" si="70"/>
        <v>0</v>
      </c>
      <c r="HG46" s="269"/>
      <c r="HH46" s="269"/>
      <c r="HI46" s="269"/>
      <c r="HJ46" s="277">
        <f t="shared" si="71"/>
        <v>0</v>
      </c>
      <c r="HK46" s="269"/>
      <c r="HL46" s="269"/>
      <c r="HM46" s="269"/>
      <c r="HN46" s="277">
        <f t="shared" si="72"/>
        <v>0</v>
      </c>
      <c r="HO46" s="269"/>
      <c r="HP46" s="269"/>
      <c r="HQ46" s="269"/>
      <c r="HR46" s="277">
        <f t="shared" si="73"/>
        <v>0</v>
      </c>
      <c r="HS46" s="269"/>
      <c r="HT46" s="269"/>
      <c r="HU46" s="269"/>
      <c r="HV46" s="277">
        <f t="shared" si="74"/>
        <v>0</v>
      </c>
      <c r="HW46" s="269"/>
      <c r="HX46" s="269"/>
      <c r="HY46" s="269"/>
      <c r="HZ46" s="277">
        <f t="shared" si="75"/>
        <v>0</v>
      </c>
      <c r="IA46" s="269"/>
      <c r="IB46" s="269"/>
      <c r="IC46" s="269"/>
      <c r="ID46" s="277">
        <f t="shared" si="76"/>
        <v>0</v>
      </c>
      <c r="IE46" s="269"/>
      <c r="IF46" s="269"/>
      <c r="IG46" s="269"/>
      <c r="IH46" s="277">
        <f t="shared" si="77"/>
        <v>0</v>
      </c>
      <c r="II46" s="269"/>
      <c r="IJ46" s="269"/>
      <c r="IK46" s="269"/>
      <c r="IL46" s="277">
        <f t="shared" si="78"/>
        <v>0</v>
      </c>
      <c r="IM46" s="269"/>
      <c r="IN46" s="269"/>
      <c r="IO46" s="269"/>
      <c r="IP46" s="277">
        <f t="shared" si="79"/>
        <v>0</v>
      </c>
      <c r="IQ46" s="277">
        <f t="shared" si="80"/>
        <v>0</v>
      </c>
      <c r="IR46" s="277">
        <f t="shared" si="80"/>
        <v>0</v>
      </c>
      <c r="IS46" s="277">
        <f t="shared" si="80"/>
        <v>0</v>
      </c>
      <c r="IT46" s="277">
        <f t="shared" si="80"/>
        <v>0</v>
      </c>
    </row>
    <row r="47" spans="1:254" ht="15" customHeight="1">
      <c r="A47" s="301">
        <v>383000</v>
      </c>
      <c r="B47" s="263" t="s">
        <v>1161</v>
      </c>
      <c r="C47" s="269"/>
      <c r="D47" s="269"/>
      <c r="E47" s="269"/>
      <c r="F47" s="277">
        <f t="shared" si="18"/>
        <v>0</v>
      </c>
      <c r="G47" s="269"/>
      <c r="H47" s="269"/>
      <c r="I47" s="269"/>
      <c r="J47" s="277">
        <f t="shared" si="19"/>
        <v>0</v>
      </c>
      <c r="K47" s="269"/>
      <c r="L47" s="269"/>
      <c r="M47" s="269"/>
      <c r="N47" s="277">
        <f t="shared" si="20"/>
        <v>0</v>
      </c>
      <c r="O47" s="269"/>
      <c r="P47" s="269"/>
      <c r="Q47" s="269"/>
      <c r="R47" s="277">
        <f t="shared" si="21"/>
        <v>0</v>
      </c>
      <c r="S47" s="269"/>
      <c r="T47" s="269"/>
      <c r="U47" s="269"/>
      <c r="V47" s="277">
        <f t="shared" si="22"/>
        <v>0</v>
      </c>
      <c r="W47" s="269"/>
      <c r="X47" s="269"/>
      <c r="Y47" s="269"/>
      <c r="Z47" s="277">
        <f t="shared" si="23"/>
        <v>0</v>
      </c>
      <c r="AA47" s="269"/>
      <c r="AB47" s="269"/>
      <c r="AC47" s="269"/>
      <c r="AD47" s="277">
        <f t="shared" si="24"/>
        <v>0</v>
      </c>
      <c r="AE47" s="269"/>
      <c r="AF47" s="269"/>
      <c r="AG47" s="269"/>
      <c r="AH47" s="277">
        <f t="shared" si="25"/>
        <v>0</v>
      </c>
      <c r="AI47" s="269"/>
      <c r="AJ47" s="269"/>
      <c r="AK47" s="269"/>
      <c r="AL47" s="277">
        <f t="shared" si="26"/>
        <v>0</v>
      </c>
      <c r="AM47" s="269"/>
      <c r="AN47" s="269"/>
      <c r="AO47" s="269"/>
      <c r="AP47" s="277">
        <f t="shared" si="27"/>
        <v>0</v>
      </c>
      <c r="AQ47" s="269"/>
      <c r="AR47" s="269"/>
      <c r="AS47" s="269"/>
      <c r="AT47" s="277">
        <f t="shared" si="28"/>
        <v>0</v>
      </c>
      <c r="AU47" s="269"/>
      <c r="AV47" s="269"/>
      <c r="AW47" s="269"/>
      <c r="AX47" s="277">
        <f t="shared" si="29"/>
        <v>0</v>
      </c>
      <c r="AY47" s="269"/>
      <c r="AZ47" s="269"/>
      <c r="BA47" s="269"/>
      <c r="BB47" s="277">
        <f t="shared" si="30"/>
        <v>0</v>
      </c>
      <c r="BC47" s="269"/>
      <c r="BD47" s="269"/>
      <c r="BE47" s="269"/>
      <c r="BF47" s="277">
        <f t="shared" si="31"/>
        <v>0</v>
      </c>
      <c r="BG47" s="269"/>
      <c r="BH47" s="269"/>
      <c r="BI47" s="269"/>
      <c r="BJ47" s="277">
        <f t="shared" si="32"/>
        <v>0</v>
      </c>
      <c r="BK47" s="269"/>
      <c r="BL47" s="269"/>
      <c r="BM47" s="269"/>
      <c r="BN47" s="277">
        <f t="shared" si="33"/>
        <v>0</v>
      </c>
      <c r="BO47" s="269"/>
      <c r="BP47" s="269"/>
      <c r="BQ47" s="269"/>
      <c r="BR47" s="277">
        <f t="shared" si="34"/>
        <v>0</v>
      </c>
      <c r="BS47" s="269"/>
      <c r="BT47" s="269"/>
      <c r="BU47" s="269"/>
      <c r="BV47" s="277">
        <f t="shared" si="35"/>
        <v>0</v>
      </c>
      <c r="BW47" s="269"/>
      <c r="BX47" s="269"/>
      <c r="BY47" s="269"/>
      <c r="BZ47" s="277">
        <f t="shared" si="36"/>
        <v>0</v>
      </c>
      <c r="CA47" s="269"/>
      <c r="CB47" s="269"/>
      <c r="CC47" s="269"/>
      <c r="CD47" s="277">
        <f t="shared" si="37"/>
        <v>0</v>
      </c>
      <c r="CE47" s="269"/>
      <c r="CF47" s="269"/>
      <c r="CG47" s="269"/>
      <c r="CH47" s="277">
        <f t="shared" si="38"/>
        <v>0</v>
      </c>
      <c r="CI47" s="269"/>
      <c r="CJ47" s="269"/>
      <c r="CK47" s="269"/>
      <c r="CL47" s="277">
        <f t="shared" si="39"/>
        <v>0</v>
      </c>
      <c r="CM47" s="269"/>
      <c r="CN47" s="269"/>
      <c r="CO47" s="269"/>
      <c r="CP47" s="277">
        <f t="shared" si="40"/>
        <v>0</v>
      </c>
      <c r="CQ47" s="269"/>
      <c r="CR47" s="269"/>
      <c r="CS47" s="269"/>
      <c r="CT47" s="277">
        <f t="shared" si="41"/>
        <v>0</v>
      </c>
      <c r="CU47" s="269"/>
      <c r="CV47" s="269"/>
      <c r="CW47" s="269"/>
      <c r="CX47" s="277">
        <f t="shared" si="42"/>
        <v>0</v>
      </c>
      <c r="CY47" s="269"/>
      <c r="CZ47" s="269"/>
      <c r="DA47" s="269"/>
      <c r="DB47" s="277">
        <f t="shared" si="43"/>
        <v>0</v>
      </c>
      <c r="DC47" s="269"/>
      <c r="DD47" s="269"/>
      <c r="DE47" s="269"/>
      <c r="DF47" s="277">
        <f t="shared" si="44"/>
        <v>0</v>
      </c>
      <c r="DG47" s="269"/>
      <c r="DH47" s="269"/>
      <c r="DI47" s="269"/>
      <c r="DJ47" s="277">
        <f t="shared" si="45"/>
        <v>0</v>
      </c>
      <c r="DK47" s="269"/>
      <c r="DL47" s="269"/>
      <c r="DM47" s="269"/>
      <c r="DN47" s="277">
        <f t="shared" si="46"/>
        <v>0</v>
      </c>
      <c r="DO47" s="269"/>
      <c r="DP47" s="269"/>
      <c r="DQ47" s="269"/>
      <c r="DR47" s="277">
        <f t="shared" si="47"/>
        <v>0</v>
      </c>
      <c r="DS47" s="269"/>
      <c r="DT47" s="269"/>
      <c r="DU47" s="269"/>
      <c r="DV47" s="277">
        <f t="shared" si="48"/>
        <v>0</v>
      </c>
      <c r="DW47" s="269"/>
      <c r="DX47" s="269"/>
      <c r="DY47" s="269"/>
      <c r="DZ47" s="277">
        <f t="shared" si="49"/>
        <v>0</v>
      </c>
      <c r="EA47" s="269"/>
      <c r="EB47" s="269"/>
      <c r="EC47" s="269"/>
      <c r="ED47" s="277">
        <f t="shared" si="50"/>
        <v>0</v>
      </c>
      <c r="EE47" s="269"/>
      <c r="EF47" s="269"/>
      <c r="EG47" s="269"/>
      <c r="EH47" s="277">
        <f t="shared" si="51"/>
        <v>0</v>
      </c>
      <c r="EI47" s="269"/>
      <c r="EJ47" s="269"/>
      <c r="EK47" s="269"/>
      <c r="EL47" s="277">
        <f t="shared" si="52"/>
        <v>0</v>
      </c>
      <c r="EM47" s="269"/>
      <c r="EN47" s="269"/>
      <c r="EO47" s="269"/>
      <c r="EP47" s="277">
        <f t="shared" si="53"/>
        <v>0</v>
      </c>
      <c r="EQ47" s="269"/>
      <c r="ER47" s="269"/>
      <c r="ES47" s="269"/>
      <c r="ET47" s="277">
        <f t="shared" si="54"/>
        <v>0</v>
      </c>
      <c r="EU47" s="269"/>
      <c r="EV47" s="269"/>
      <c r="EW47" s="269"/>
      <c r="EX47" s="277">
        <f t="shared" si="55"/>
        <v>0</v>
      </c>
      <c r="EY47" s="269"/>
      <c r="EZ47" s="269"/>
      <c r="FA47" s="269"/>
      <c r="FB47" s="277">
        <f t="shared" si="56"/>
        <v>0</v>
      </c>
      <c r="FC47" s="269"/>
      <c r="FD47" s="269"/>
      <c r="FE47" s="269"/>
      <c r="FF47" s="277">
        <f t="shared" si="57"/>
        <v>0</v>
      </c>
      <c r="FG47" s="269"/>
      <c r="FH47" s="269"/>
      <c r="FI47" s="269"/>
      <c r="FJ47" s="277">
        <f t="shared" si="58"/>
        <v>0</v>
      </c>
      <c r="FK47" s="269"/>
      <c r="FL47" s="269"/>
      <c r="FM47" s="269"/>
      <c r="FN47" s="277">
        <f t="shared" si="59"/>
        <v>0</v>
      </c>
      <c r="FO47" s="269"/>
      <c r="FP47" s="269"/>
      <c r="FQ47" s="269"/>
      <c r="FR47" s="277">
        <f t="shared" si="60"/>
        <v>0</v>
      </c>
      <c r="FS47" s="269"/>
      <c r="FT47" s="269"/>
      <c r="FU47" s="269"/>
      <c r="FV47" s="277">
        <f t="shared" si="61"/>
        <v>0</v>
      </c>
      <c r="FW47" s="269"/>
      <c r="FX47" s="269"/>
      <c r="FY47" s="269"/>
      <c r="FZ47" s="277">
        <f t="shared" si="62"/>
        <v>0</v>
      </c>
      <c r="GA47" s="269"/>
      <c r="GB47" s="269"/>
      <c r="GC47" s="269"/>
      <c r="GD47" s="277">
        <f t="shared" si="63"/>
        <v>0</v>
      </c>
      <c r="GE47" s="269"/>
      <c r="GF47" s="269"/>
      <c r="GG47" s="269"/>
      <c r="GH47" s="277">
        <f t="shared" si="64"/>
        <v>0</v>
      </c>
      <c r="GI47" s="269"/>
      <c r="GJ47" s="269"/>
      <c r="GK47" s="269"/>
      <c r="GL47" s="277">
        <f t="shared" si="65"/>
        <v>0</v>
      </c>
      <c r="GM47" s="269"/>
      <c r="GN47" s="269"/>
      <c r="GO47" s="269"/>
      <c r="GP47" s="277">
        <f t="shared" si="66"/>
        <v>0</v>
      </c>
      <c r="GQ47" s="269"/>
      <c r="GR47" s="269"/>
      <c r="GS47" s="269"/>
      <c r="GT47" s="277">
        <f t="shared" si="67"/>
        <v>0</v>
      </c>
      <c r="GU47" s="269"/>
      <c r="GV47" s="269"/>
      <c r="GW47" s="269"/>
      <c r="GX47" s="277">
        <f t="shared" si="68"/>
        <v>0</v>
      </c>
      <c r="GY47" s="269"/>
      <c r="GZ47" s="269"/>
      <c r="HA47" s="269"/>
      <c r="HB47" s="277">
        <f t="shared" si="69"/>
        <v>0</v>
      </c>
      <c r="HC47" s="269"/>
      <c r="HD47" s="269"/>
      <c r="HE47" s="269"/>
      <c r="HF47" s="277">
        <f t="shared" si="70"/>
        <v>0</v>
      </c>
      <c r="HG47" s="269"/>
      <c r="HH47" s="269"/>
      <c r="HI47" s="269"/>
      <c r="HJ47" s="277">
        <f t="shared" si="71"/>
        <v>0</v>
      </c>
      <c r="HK47" s="269"/>
      <c r="HL47" s="269"/>
      <c r="HM47" s="269"/>
      <c r="HN47" s="277">
        <f t="shared" si="72"/>
        <v>0</v>
      </c>
      <c r="HO47" s="269"/>
      <c r="HP47" s="269"/>
      <c r="HQ47" s="269"/>
      <c r="HR47" s="277">
        <f t="shared" si="73"/>
        <v>0</v>
      </c>
      <c r="HS47" s="269"/>
      <c r="HT47" s="269"/>
      <c r="HU47" s="269"/>
      <c r="HV47" s="277">
        <f t="shared" si="74"/>
        <v>0</v>
      </c>
      <c r="HW47" s="269"/>
      <c r="HX47" s="269"/>
      <c r="HY47" s="269"/>
      <c r="HZ47" s="277">
        <f t="shared" si="75"/>
        <v>0</v>
      </c>
      <c r="IA47" s="269"/>
      <c r="IB47" s="269"/>
      <c r="IC47" s="269"/>
      <c r="ID47" s="277">
        <f t="shared" si="76"/>
        <v>0</v>
      </c>
      <c r="IE47" s="269"/>
      <c r="IF47" s="269"/>
      <c r="IG47" s="269"/>
      <c r="IH47" s="277">
        <f t="shared" si="77"/>
        <v>0</v>
      </c>
      <c r="II47" s="269"/>
      <c r="IJ47" s="269"/>
      <c r="IK47" s="269"/>
      <c r="IL47" s="277">
        <f t="shared" si="78"/>
        <v>0</v>
      </c>
      <c r="IM47" s="269"/>
      <c r="IN47" s="269"/>
      <c r="IO47" s="269"/>
      <c r="IP47" s="277">
        <f t="shared" si="79"/>
        <v>0</v>
      </c>
      <c r="IQ47" s="277">
        <f t="shared" si="80"/>
        <v>0</v>
      </c>
      <c r="IR47" s="277">
        <f t="shared" si="80"/>
        <v>0</v>
      </c>
      <c r="IS47" s="277">
        <f t="shared" si="80"/>
        <v>0</v>
      </c>
      <c r="IT47" s="277">
        <f t="shared" si="80"/>
        <v>0</v>
      </c>
    </row>
    <row r="48" spans="1:254" ht="15" customHeight="1">
      <c r="A48" s="301">
        <v>520000</v>
      </c>
      <c r="B48" s="263" t="s">
        <v>1790</v>
      </c>
      <c r="C48" s="269"/>
      <c r="D48" s="269"/>
      <c r="E48" s="269"/>
      <c r="F48" s="277">
        <f t="shared" si="18"/>
        <v>0</v>
      </c>
      <c r="G48" s="269"/>
      <c r="H48" s="269"/>
      <c r="I48" s="269"/>
      <c r="J48" s="277">
        <f t="shared" si="19"/>
        <v>0</v>
      </c>
      <c r="K48" s="269"/>
      <c r="L48" s="269"/>
      <c r="M48" s="269"/>
      <c r="N48" s="277">
        <f t="shared" si="20"/>
        <v>0</v>
      </c>
      <c r="O48" s="269"/>
      <c r="P48" s="269"/>
      <c r="Q48" s="269"/>
      <c r="R48" s="277">
        <f t="shared" si="21"/>
        <v>0</v>
      </c>
      <c r="S48" s="269"/>
      <c r="T48" s="269"/>
      <c r="U48" s="269"/>
      <c r="V48" s="277">
        <f t="shared" si="22"/>
        <v>0</v>
      </c>
      <c r="W48" s="269"/>
      <c r="X48" s="269"/>
      <c r="Y48" s="269"/>
      <c r="Z48" s="277">
        <f t="shared" si="23"/>
        <v>0</v>
      </c>
      <c r="AA48" s="269"/>
      <c r="AB48" s="269"/>
      <c r="AC48" s="269"/>
      <c r="AD48" s="277">
        <f t="shared" si="24"/>
        <v>0</v>
      </c>
      <c r="AE48" s="269"/>
      <c r="AF48" s="269"/>
      <c r="AG48" s="269"/>
      <c r="AH48" s="277">
        <f t="shared" si="25"/>
        <v>0</v>
      </c>
      <c r="AI48" s="269"/>
      <c r="AJ48" s="269"/>
      <c r="AK48" s="269"/>
      <c r="AL48" s="277">
        <f t="shared" si="26"/>
        <v>0</v>
      </c>
      <c r="AM48" s="269"/>
      <c r="AN48" s="269"/>
      <c r="AO48" s="269"/>
      <c r="AP48" s="277">
        <f t="shared" si="27"/>
        <v>0</v>
      </c>
      <c r="AQ48" s="269"/>
      <c r="AR48" s="269"/>
      <c r="AS48" s="269"/>
      <c r="AT48" s="277">
        <f t="shared" si="28"/>
        <v>0</v>
      </c>
      <c r="AU48" s="269"/>
      <c r="AV48" s="269"/>
      <c r="AW48" s="269"/>
      <c r="AX48" s="277">
        <f t="shared" si="29"/>
        <v>0</v>
      </c>
      <c r="AY48" s="269"/>
      <c r="AZ48" s="269"/>
      <c r="BA48" s="269"/>
      <c r="BB48" s="277">
        <f t="shared" si="30"/>
        <v>0</v>
      </c>
      <c r="BC48" s="269"/>
      <c r="BD48" s="269"/>
      <c r="BE48" s="269"/>
      <c r="BF48" s="277">
        <f t="shared" si="31"/>
        <v>0</v>
      </c>
      <c r="BG48" s="269"/>
      <c r="BH48" s="269"/>
      <c r="BI48" s="269"/>
      <c r="BJ48" s="277">
        <f t="shared" si="32"/>
        <v>0</v>
      </c>
      <c r="BK48" s="269"/>
      <c r="BL48" s="269"/>
      <c r="BM48" s="269"/>
      <c r="BN48" s="277">
        <f t="shared" si="33"/>
        <v>0</v>
      </c>
      <c r="BO48" s="269"/>
      <c r="BP48" s="269"/>
      <c r="BQ48" s="269"/>
      <c r="BR48" s="277">
        <f t="shared" si="34"/>
        <v>0</v>
      </c>
      <c r="BS48" s="269"/>
      <c r="BT48" s="269"/>
      <c r="BU48" s="269"/>
      <c r="BV48" s="277">
        <f t="shared" si="35"/>
        <v>0</v>
      </c>
      <c r="BW48" s="269"/>
      <c r="BX48" s="269"/>
      <c r="BY48" s="269"/>
      <c r="BZ48" s="277">
        <f t="shared" si="36"/>
        <v>0</v>
      </c>
      <c r="CA48" s="269"/>
      <c r="CB48" s="269"/>
      <c r="CC48" s="269"/>
      <c r="CD48" s="277">
        <f t="shared" si="37"/>
        <v>0</v>
      </c>
      <c r="CE48" s="269"/>
      <c r="CF48" s="269"/>
      <c r="CG48" s="269"/>
      <c r="CH48" s="277">
        <f t="shared" si="38"/>
        <v>0</v>
      </c>
      <c r="CI48" s="269"/>
      <c r="CJ48" s="269"/>
      <c r="CK48" s="269"/>
      <c r="CL48" s="277">
        <f t="shared" si="39"/>
        <v>0</v>
      </c>
      <c r="CM48" s="269"/>
      <c r="CN48" s="269"/>
      <c r="CO48" s="269"/>
      <c r="CP48" s="277">
        <f t="shared" si="40"/>
        <v>0</v>
      </c>
      <c r="CQ48" s="269"/>
      <c r="CR48" s="269"/>
      <c r="CS48" s="269"/>
      <c r="CT48" s="277">
        <f t="shared" si="41"/>
        <v>0</v>
      </c>
      <c r="CU48" s="269"/>
      <c r="CV48" s="269"/>
      <c r="CW48" s="269"/>
      <c r="CX48" s="277">
        <f t="shared" si="42"/>
        <v>0</v>
      </c>
      <c r="CY48" s="269"/>
      <c r="CZ48" s="269"/>
      <c r="DA48" s="269"/>
      <c r="DB48" s="277">
        <f t="shared" si="43"/>
        <v>0</v>
      </c>
      <c r="DC48" s="269"/>
      <c r="DD48" s="269"/>
      <c r="DE48" s="269"/>
      <c r="DF48" s="277">
        <f t="shared" si="44"/>
        <v>0</v>
      </c>
      <c r="DG48" s="269"/>
      <c r="DH48" s="269"/>
      <c r="DI48" s="269"/>
      <c r="DJ48" s="277">
        <f t="shared" si="45"/>
        <v>0</v>
      </c>
      <c r="DK48" s="269"/>
      <c r="DL48" s="269"/>
      <c r="DM48" s="269"/>
      <c r="DN48" s="277">
        <f t="shared" si="46"/>
        <v>0</v>
      </c>
      <c r="DO48" s="269"/>
      <c r="DP48" s="269"/>
      <c r="DQ48" s="269"/>
      <c r="DR48" s="277">
        <f t="shared" si="47"/>
        <v>0</v>
      </c>
      <c r="DS48" s="269"/>
      <c r="DT48" s="269"/>
      <c r="DU48" s="269"/>
      <c r="DV48" s="277">
        <f t="shared" si="48"/>
        <v>0</v>
      </c>
      <c r="DW48" s="269"/>
      <c r="DX48" s="269"/>
      <c r="DY48" s="269"/>
      <c r="DZ48" s="277"/>
      <c r="EA48" s="269"/>
      <c r="EB48" s="269"/>
      <c r="EC48" s="269"/>
      <c r="ED48" s="277">
        <f t="shared" si="50"/>
        <v>0</v>
      </c>
      <c r="EE48" s="269"/>
      <c r="EF48" s="269"/>
      <c r="EG48" s="269"/>
      <c r="EH48" s="277">
        <f t="shared" si="51"/>
        <v>0</v>
      </c>
      <c r="EI48" s="269"/>
      <c r="EJ48" s="269"/>
      <c r="EK48" s="269"/>
      <c r="EL48" s="277">
        <f t="shared" si="52"/>
        <v>0</v>
      </c>
      <c r="EM48" s="269"/>
      <c r="EN48" s="269"/>
      <c r="EO48" s="269"/>
      <c r="EP48" s="277">
        <f t="shared" si="53"/>
        <v>0</v>
      </c>
      <c r="EQ48" s="269"/>
      <c r="ER48" s="269"/>
      <c r="ES48" s="269"/>
      <c r="ET48" s="277">
        <f t="shared" si="54"/>
        <v>0</v>
      </c>
      <c r="EU48" s="269"/>
      <c r="EV48" s="269"/>
      <c r="EW48" s="269"/>
      <c r="EX48" s="277">
        <f t="shared" si="55"/>
        <v>0</v>
      </c>
      <c r="EY48" s="269"/>
      <c r="EZ48" s="269"/>
      <c r="FA48" s="269"/>
      <c r="FB48" s="277">
        <f t="shared" si="56"/>
        <v>0</v>
      </c>
      <c r="FC48" s="269"/>
      <c r="FD48" s="269"/>
      <c r="FE48" s="269"/>
      <c r="FF48" s="277">
        <f t="shared" si="57"/>
        <v>0</v>
      </c>
      <c r="FG48" s="269"/>
      <c r="FH48" s="269"/>
      <c r="FI48" s="269"/>
      <c r="FJ48" s="277">
        <f t="shared" si="58"/>
        <v>0</v>
      </c>
      <c r="FK48" s="269"/>
      <c r="FL48" s="269"/>
      <c r="FM48" s="269"/>
      <c r="FN48" s="277">
        <f t="shared" si="59"/>
        <v>0</v>
      </c>
      <c r="FO48" s="269"/>
      <c r="FP48" s="269"/>
      <c r="FQ48" s="269"/>
      <c r="FR48" s="277">
        <f t="shared" si="60"/>
        <v>0</v>
      </c>
      <c r="FS48" s="269"/>
      <c r="FT48" s="269"/>
      <c r="FU48" s="269"/>
      <c r="FV48" s="277">
        <f t="shared" si="61"/>
        <v>0</v>
      </c>
      <c r="FW48" s="269"/>
      <c r="FX48" s="269"/>
      <c r="FY48" s="269"/>
      <c r="FZ48" s="277">
        <f t="shared" si="62"/>
        <v>0</v>
      </c>
      <c r="GA48" s="269"/>
      <c r="GB48" s="269"/>
      <c r="GC48" s="269"/>
      <c r="GD48" s="277">
        <f t="shared" si="63"/>
        <v>0</v>
      </c>
      <c r="GE48" s="269"/>
      <c r="GF48" s="269"/>
      <c r="GG48" s="269"/>
      <c r="GH48" s="277">
        <f t="shared" si="64"/>
        <v>0</v>
      </c>
      <c r="GI48" s="269"/>
      <c r="GJ48" s="269"/>
      <c r="GK48" s="269"/>
      <c r="GL48" s="277">
        <f t="shared" si="65"/>
        <v>0</v>
      </c>
      <c r="GM48" s="269"/>
      <c r="GN48" s="269"/>
      <c r="GO48" s="269"/>
      <c r="GP48" s="277">
        <f t="shared" si="66"/>
        <v>0</v>
      </c>
      <c r="GQ48" s="269"/>
      <c r="GR48" s="269"/>
      <c r="GS48" s="269"/>
      <c r="GT48" s="277">
        <f t="shared" si="67"/>
        <v>0</v>
      </c>
      <c r="GU48" s="269"/>
      <c r="GV48" s="269"/>
      <c r="GW48" s="269"/>
      <c r="GX48" s="277">
        <f t="shared" si="68"/>
        <v>0</v>
      </c>
      <c r="GY48" s="269"/>
      <c r="GZ48" s="269"/>
      <c r="HA48" s="269"/>
      <c r="HB48" s="277">
        <f t="shared" si="69"/>
        <v>0</v>
      </c>
      <c r="HC48" s="269"/>
      <c r="HD48" s="269"/>
      <c r="HE48" s="269"/>
      <c r="HF48" s="277">
        <f t="shared" si="70"/>
        <v>0</v>
      </c>
      <c r="HG48" s="269"/>
      <c r="HH48" s="269"/>
      <c r="HI48" s="269"/>
      <c r="HJ48" s="277">
        <f t="shared" si="71"/>
        <v>0</v>
      </c>
      <c r="HK48" s="269"/>
      <c r="HL48" s="269"/>
      <c r="HM48" s="269"/>
      <c r="HN48" s="277">
        <f t="shared" si="72"/>
        <v>0</v>
      </c>
      <c r="HO48" s="269"/>
      <c r="HP48" s="269"/>
      <c r="HQ48" s="269"/>
      <c r="HR48" s="277">
        <f t="shared" si="73"/>
        <v>0</v>
      </c>
      <c r="HS48" s="269"/>
      <c r="HT48" s="269"/>
      <c r="HU48" s="269"/>
      <c r="HV48" s="277">
        <f t="shared" si="74"/>
        <v>0</v>
      </c>
      <c r="HW48" s="269"/>
      <c r="HX48" s="269"/>
      <c r="HY48" s="269"/>
      <c r="HZ48" s="277">
        <f t="shared" si="75"/>
        <v>0</v>
      </c>
      <c r="IA48" s="269"/>
      <c r="IB48" s="269"/>
      <c r="IC48" s="269"/>
      <c r="ID48" s="277">
        <f t="shared" si="76"/>
        <v>0</v>
      </c>
      <c r="IE48" s="269"/>
      <c r="IF48" s="269"/>
      <c r="IG48" s="269"/>
      <c r="IH48" s="277">
        <f t="shared" si="77"/>
        <v>0</v>
      </c>
      <c r="II48" s="269"/>
      <c r="IJ48" s="269"/>
      <c r="IK48" s="269"/>
      <c r="IL48" s="277">
        <f t="shared" si="78"/>
        <v>0</v>
      </c>
      <c r="IM48" s="269"/>
      <c r="IN48" s="269"/>
      <c r="IO48" s="269"/>
      <c r="IP48" s="277">
        <f t="shared" si="79"/>
        <v>0</v>
      </c>
      <c r="IQ48" s="277">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77">
        <f t="shared" si="81"/>
        <v>0</v>
      </c>
      <c r="IS48" s="277">
        <f t="shared" si="81"/>
        <v>0</v>
      </c>
      <c r="IT48" s="277">
        <f t="shared" si="81"/>
        <v>0</v>
      </c>
    </row>
    <row r="49" spans="1:254" ht="15" customHeight="1">
      <c r="A49" s="301">
        <v>384000</v>
      </c>
      <c r="B49" s="263" t="s">
        <v>1755</v>
      </c>
      <c r="C49" s="269"/>
      <c r="D49" s="269"/>
      <c r="E49" s="269"/>
      <c r="F49" s="277">
        <f t="shared" si="18"/>
        <v>0</v>
      </c>
      <c r="G49" s="269"/>
      <c r="H49" s="269"/>
      <c r="I49" s="269"/>
      <c r="J49" s="277">
        <f t="shared" si="19"/>
        <v>0</v>
      </c>
      <c r="K49" s="269"/>
      <c r="L49" s="269"/>
      <c r="M49" s="269"/>
      <c r="N49" s="277">
        <f t="shared" si="20"/>
        <v>0</v>
      </c>
      <c r="O49" s="269"/>
      <c r="P49" s="269"/>
      <c r="Q49" s="269"/>
      <c r="R49" s="277">
        <f t="shared" si="21"/>
        <v>0</v>
      </c>
      <c r="S49" s="269"/>
      <c r="T49" s="269"/>
      <c r="U49" s="269"/>
      <c r="V49" s="277">
        <f t="shared" si="22"/>
        <v>0</v>
      </c>
      <c r="W49" s="269"/>
      <c r="X49" s="269"/>
      <c r="Y49" s="269"/>
      <c r="Z49" s="277">
        <f t="shared" si="23"/>
        <v>0</v>
      </c>
      <c r="AA49" s="269"/>
      <c r="AB49" s="269"/>
      <c r="AC49" s="269"/>
      <c r="AD49" s="277">
        <f t="shared" si="24"/>
        <v>0</v>
      </c>
      <c r="AE49" s="269"/>
      <c r="AF49" s="269"/>
      <c r="AG49" s="269"/>
      <c r="AH49" s="277">
        <f t="shared" si="25"/>
        <v>0</v>
      </c>
      <c r="AI49" s="269"/>
      <c r="AJ49" s="269"/>
      <c r="AK49" s="269"/>
      <c r="AL49" s="277">
        <f t="shared" si="26"/>
        <v>0</v>
      </c>
      <c r="AM49" s="269"/>
      <c r="AN49" s="269"/>
      <c r="AO49" s="269"/>
      <c r="AP49" s="277">
        <f t="shared" si="27"/>
        <v>0</v>
      </c>
      <c r="AQ49" s="269"/>
      <c r="AR49" s="269"/>
      <c r="AS49" s="269"/>
      <c r="AT49" s="277">
        <f t="shared" si="28"/>
        <v>0</v>
      </c>
      <c r="AU49" s="269"/>
      <c r="AV49" s="269"/>
      <c r="AW49" s="269"/>
      <c r="AX49" s="277">
        <f t="shared" si="29"/>
        <v>0</v>
      </c>
      <c r="AY49" s="269"/>
      <c r="AZ49" s="269"/>
      <c r="BA49" s="269"/>
      <c r="BB49" s="277">
        <f t="shared" si="30"/>
        <v>0</v>
      </c>
      <c r="BC49" s="269"/>
      <c r="BD49" s="269"/>
      <c r="BE49" s="269"/>
      <c r="BF49" s="277">
        <f t="shared" si="31"/>
        <v>0</v>
      </c>
      <c r="BG49" s="269"/>
      <c r="BH49" s="269"/>
      <c r="BI49" s="269"/>
      <c r="BJ49" s="277">
        <f t="shared" si="32"/>
        <v>0</v>
      </c>
      <c r="BK49" s="269"/>
      <c r="BL49" s="269"/>
      <c r="BM49" s="269"/>
      <c r="BN49" s="277">
        <f t="shared" si="33"/>
        <v>0</v>
      </c>
      <c r="BO49" s="269"/>
      <c r="BP49" s="269"/>
      <c r="BQ49" s="269"/>
      <c r="BR49" s="277">
        <f t="shared" si="34"/>
        <v>0</v>
      </c>
      <c r="BS49" s="269"/>
      <c r="BT49" s="269"/>
      <c r="BU49" s="269"/>
      <c r="BV49" s="277">
        <f t="shared" si="35"/>
        <v>0</v>
      </c>
      <c r="BW49" s="269"/>
      <c r="BX49" s="269"/>
      <c r="BY49" s="269"/>
      <c r="BZ49" s="277">
        <f t="shared" si="36"/>
        <v>0</v>
      </c>
      <c r="CA49" s="269"/>
      <c r="CB49" s="269"/>
      <c r="CC49" s="269"/>
      <c r="CD49" s="277">
        <f t="shared" si="37"/>
        <v>0</v>
      </c>
      <c r="CE49" s="269"/>
      <c r="CF49" s="269"/>
      <c r="CG49" s="269"/>
      <c r="CH49" s="277">
        <f t="shared" si="38"/>
        <v>0</v>
      </c>
      <c r="CI49" s="269"/>
      <c r="CJ49" s="269"/>
      <c r="CK49" s="269"/>
      <c r="CL49" s="277">
        <f t="shared" si="39"/>
        <v>0</v>
      </c>
      <c r="CM49" s="269"/>
      <c r="CN49" s="269"/>
      <c r="CO49" s="269"/>
      <c r="CP49" s="277">
        <f t="shared" si="40"/>
        <v>0</v>
      </c>
      <c r="CQ49" s="269"/>
      <c r="CR49" s="269"/>
      <c r="CS49" s="269"/>
      <c r="CT49" s="277">
        <f t="shared" si="41"/>
        <v>0</v>
      </c>
      <c r="CU49" s="269"/>
      <c r="CV49" s="269"/>
      <c r="CW49" s="269"/>
      <c r="CX49" s="277">
        <f t="shared" si="42"/>
        <v>0</v>
      </c>
      <c r="CY49" s="269"/>
      <c r="CZ49" s="269"/>
      <c r="DA49" s="269"/>
      <c r="DB49" s="277">
        <f t="shared" si="43"/>
        <v>0</v>
      </c>
      <c r="DC49" s="269"/>
      <c r="DD49" s="269"/>
      <c r="DE49" s="269"/>
      <c r="DF49" s="277">
        <f t="shared" si="44"/>
        <v>0</v>
      </c>
      <c r="DG49" s="269"/>
      <c r="DH49" s="269"/>
      <c r="DI49" s="269"/>
      <c r="DJ49" s="277">
        <f t="shared" si="45"/>
        <v>0</v>
      </c>
      <c r="DK49" s="269"/>
      <c r="DL49" s="269"/>
      <c r="DM49" s="269"/>
      <c r="DN49" s="277">
        <f t="shared" si="46"/>
        <v>0</v>
      </c>
      <c r="DO49" s="269"/>
      <c r="DP49" s="269"/>
      <c r="DQ49" s="269"/>
      <c r="DR49" s="277">
        <f t="shared" si="47"/>
        <v>0</v>
      </c>
      <c r="DS49" s="269"/>
      <c r="DT49" s="269"/>
      <c r="DU49" s="269"/>
      <c r="DV49" s="277">
        <f t="shared" si="48"/>
        <v>0</v>
      </c>
      <c r="DW49" s="269"/>
      <c r="DX49" s="269"/>
      <c r="DY49" s="269"/>
      <c r="DZ49" s="277"/>
      <c r="EA49" s="269"/>
      <c r="EB49" s="269"/>
      <c r="EC49" s="269"/>
      <c r="ED49" s="277">
        <f t="shared" si="50"/>
        <v>0</v>
      </c>
      <c r="EE49" s="269"/>
      <c r="EF49" s="269"/>
      <c r="EG49" s="269"/>
      <c r="EH49" s="277">
        <f t="shared" si="51"/>
        <v>0</v>
      </c>
      <c r="EI49" s="269"/>
      <c r="EJ49" s="269"/>
      <c r="EK49" s="269"/>
      <c r="EL49" s="277">
        <f t="shared" si="52"/>
        <v>0</v>
      </c>
      <c r="EM49" s="269"/>
      <c r="EN49" s="269"/>
      <c r="EO49" s="269"/>
      <c r="EP49" s="277">
        <f t="shared" si="53"/>
        <v>0</v>
      </c>
      <c r="EQ49" s="269"/>
      <c r="ER49" s="269"/>
      <c r="ES49" s="269"/>
      <c r="ET49" s="277">
        <f t="shared" si="54"/>
        <v>0</v>
      </c>
      <c r="EU49" s="269"/>
      <c r="EV49" s="269"/>
      <c r="EW49" s="269"/>
      <c r="EX49" s="277">
        <f t="shared" si="55"/>
        <v>0</v>
      </c>
      <c r="EY49" s="269"/>
      <c r="EZ49" s="269"/>
      <c r="FA49" s="269"/>
      <c r="FB49" s="277">
        <f t="shared" si="56"/>
        <v>0</v>
      </c>
      <c r="FC49" s="269"/>
      <c r="FD49" s="269"/>
      <c r="FE49" s="269"/>
      <c r="FF49" s="277">
        <f t="shared" si="57"/>
        <v>0</v>
      </c>
      <c r="FG49" s="269"/>
      <c r="FH49" s="269"/>
      <c r="FI49" s="269"/>
      <c r="FJ49" s="277">
        <f t="shared" si="58"/>
        <v>0</v>
      </c>
      <c r="FK49" s="269"/>
      <c r="FL49" s="269"/>
      <c r="FM49" s="269"/>
      <c r="FN49" s="277">
        <f t="shared" si="59"/>
        <v>0</v>
      </c>
      <c r="FO49" s="269"/>
      <c r="FP49" s="269"/>
      <c r="FQ49" s="269"/>
      <c r="FR49" s="277">
        <f t="shared" si="60"/>
        <v>0</v>
      </c>
      <c r="FS49" s="269"/>
      <c r="FT49" s="269"/>
      <c r="FU49" s="269"/>
      <c r="FV49" s="277">
        <f t="shared" si="61"/>
        <v>0</v>
      </c>
      <c r="FW49" s="269"/>
      <c r="FX49" s="269"/>
      <c r="FY49" s="269"/>
      <c r="FZ49" s="277">
        <f t="shared" si="62"/>
        <v>0</v>
      </c>
      <c r="GA49" s="269"/>
      <c r="GB49" s="269"/>
      <c r="GC49" s="269"/>
      <c r="GD49" s="277">
        <f t="shared" si="63"/>
        <v>0</v>
      </c>
      <c r="GE49" s="269"/>
      <c r="GF49" s="269"/>
      <c r="GG49" s="269"/>
      <c r="GH49" s="277">
        <f t="shared" si="64"/>
        <v>0</v>
      </c>
      <c r="GI49" s="269"/>
      <c r="GJ49" s="269"/>
      <c r="GK49" s="269"/>
      <c r="GL49" s="277">
        <f t="shared" si="65"/>
        <v>0</v>
      </c>
      <c r="GM49" s="269"/>
      <c r="GN49" s="269"/>
      <c r="GO49" s="269"/>
      <c r="GP49" s="277">
        <f t="shared" si="66"/>
        <v>0</v>
      </c>
      <c r="GQ49" s="269"/>
      <c r="GR49" s="269"/>
      <c r="GS49" s="269"/>
      <c r="GT49" s="277">
        <f t="shared" si="67"/>
        <v>0</v>
      </c>
      <c r="GU49" s="269"/>
      <c r="GV49" s="269"/>
      <c r="GW49" s="269"/>
      <c r="GX49" s="277">
        <f t="shared" si="68"/>
        <v>0</v>
      </c>
      <c r="GY49" s="269"/>
      <c r="GZ49" s="269"/>
      <c r="HA49" s="269"/>
      <c r="HB49" s="277">
        <f t="shared" si="69"/>
        <v>0</v>
      </c>
      <c r="HC49" s="269"/>
      <c r="HD49" s="269"/>
      <c r="HE49" s="269"/>
      <c r="HF49" s="277">
        <f t="shared" si="70"/>
        <v>0</v>
      </c>
      <c r="HG49" s="269"/>
      <c r="HH49" s="269"/>
      <c r="HI49" s="269"/>
      <c r="HJ49" s="277">
        <f t="shared" si="71"/>
        <v>0</v>
      </c>
      <c r="HK49" s="269"/>
      <c r="HL49" s="269"/>
      <c r="HM49" s="269"/>
      <c r="HN49" s="277">
        <f t="shared" si="72"/>
        <v>0</v>
      </c>
      <c r="HO49" s="269"/>
      <c r="HP49" s="269"/>
      <c r="HQ49" s="269"/>
      <c r="HR49" s="277">
        <f t="shared" si="73"/>
        <v>0</v>
      </c>
      <c r="HS49" s="269"/>
      <c r="HT49" s="269"/>
      <c r="HU49" s="269"/>
      <c r="HV49" s="277">
        <f t="shared" si="74"/>
        <v>0</v>
      </c>
      <c r="HW49" s="269"/>
      <c r="HX49" s="269"/>
      <c r="HY49" s="269"/>
      <c r="HZ49" s="277">
        <f t="shared" si="75"/>
        <v>0</v>
      </c>
      <c r="IA49" s="269"/>
      <c r="IB49" s="269"/>
      <c r="IC49" s="269"/>
      <c r="ID49" s="277">
        <f t="shared" si="76"/>
        <v>0</v>
      </c>
      <c r="IE49" s="269"/>
      <c r="IF49" s="269"/>
      <c r="IG49" s="269"/>
      <c r="IH49" s="277">
        <f t="shared" si="77"/>
        <v>0</v>
      </c>
      <c r="II49" s="269"/>
      <c r="IJ49" s="269"/>
      <c r="IK49" s="269"/>
      <c r="IL49" s="277">
        <f t="shared" si="78"/>
        <v>0</v>
      </c>
      <c r="IM49" s="269"/>
      <c r="IN49" s="269"/>
      <c r="IO49" s="269"/>
      <c r="IP49" s="277">
        <f t="shared" si="79"/>
        <v>0</v>
      </c>
      <c r="IQ49" s="277">
        <f t="shared" si="81"/>
        <v>0</v>
      </c>
      <c r="IR49" s="277">
        <f t="shared" si="81"/>
        <v>0</v>
      </c>
      <c r="IS49" s="277">
        <f t="shared" si="81"/>
        <v>0</v>
      </c>
      <c r="IT49" s="277">
        <f t="shared" si="81"/>
        <v>0</v>
      </c>
    </row>
    <row r="50" spans="1:254" ht="15" customHeight="1">
      <c r="A50" s="301">
        <v>385000</v>
      </c>
      <c r="B50" s="263" t="s">
        <v>1751</v>
      </c>
      <c r="C50" s="269"/>
      <c r="D50" s="269"/>
      <c r="E50" s="269"/>
      <c r="F50" s="277">
        <f t="shared" si="18"/>
        <v>0</v>
      </c>
      <c r="G50" s="269"/>
      <c r="H50" s="269"/>
      <c r="I50" s="269"/>
      <c r="J50" s="277">
        <f t="shared" si="19"/>
        <v>0</v>
      </c>
      <c r="K50" s="269"/>
      <c r="L50" s="269"/>
      <c r="M50" s="269"/>
      <c r="N50" s="277">
        <f t="shared" si="20"/>
        <v>0</v>
      </c>
      <c r="O50" s="269"/>
      <c r="P50" s="269"/>
      <c r="Q50" s="269"/>
      <c r="R50" s="277">
        <f t="shared" si="21"/>
        <v>0</v>
      </c>
      <c r="S50" s="269"/>
      <c r="T50" s="269"/>
      <c r="U50" s="269"/>
      <c r="V50" s="277">
        <f t="shared" si="22"/>
        <v>0</v>
      </c>
      <c r="W50" s="269"/>
      <c r="X50" s="269"/>
      <c r="Y50" s="269"/>
      <c r="Z50" s="277">
        <f t="shared" si="23"/>
        <v>0</v>
      </c>
      <c r="AA50" s="269"/>
      <c r="AB50" s="269"/>
      <c r="AC50" s="269"/>
      <c r="AD50" s="277">
        <f t="shared" si="24"/>
        <v>0</v>
      </c>
      <c r="AE50" s="269"/>
      <c r="AF50" s="269"/>
      <c r="AG50" s="269"/>
      <c r="AH50" s="277">
        <f t="shared" si="25"/>
        <v>0</v>
      </c>
      <c r="AI50" s="269"/>
      <c r="AJ50" s="269"/>
      <c r="AK50" s="269"/>
      <c r="AL50" s="277">
        <f t="shared" si="26"/>
        <v>0</v>
      </c>
      <c r="AM50" s="269"/>
      <c r="AN50" s="269"/>
      <c r="AO50" s="269"/>
      <c r="AP50" s="277">
        <f t="shared" si="27"/>
        <v>0</v>
      </c>
      <c r="AQ50" s="269"/>
      <c r="AR50" s="269"/>
      <c r="AS50" s="269"/>
      <c r="AT50" s="277">
        <f t="shared" si="28"/>
        <v>0</v>
      </c>
      <c r="AU50" s="269"/>
      <c r="AV50" s="269"/>
      <c r="AW50" s="269"/>
      <c r="AX50" s="277">
        <f t="shared" si="29"/>
        <v>0</v>
      </c>
      <c r="AY50" s="269"/>
      <c r="AZ50" s="269"/>
      <c r="BA50" s="269"/>
      <c r="BB50" s="277">
        <f t="shared" si="30"/>
        <v>0</v>
      </c>
      <c r="BC50" s="269"/>
      <c r="BD50" s="269"/>
      <c r="BE50" s="269"/>
      <c r="BF50" s="277">
        <f t="shared" si="31"/>
        <v>0</v>
      </c>
      <c r="BG50" s="269"/>
      <c r="BH50" s="269"/>
      <c r="BI50" s="269"/>
      <c r="BJ50" s="277">
        <f t="shared" si="32"/>
        <v>0</v>
      </c>
      <c r="BK50" s="269"/>
      <c r="BL50" s="269"/>
      <c r="BM50" s="269"/>
      <c r="BN50" s="277">
        <f t="shared" si="33"/>
        <v>0</v>
      </c>
      <c r="BO50" s="269"/>
      <c r="BP50" s="269"/>
      <c r="BQ50" s="269"/>
      <c r="BR50" s="277">
        <f t="shared" si="34"/>
        <v>0</v>
      </c>
      <c r="BS50" s="269"/>
      <c r="BT50" s="269"/>
      <c r="BU50" s="269"/>
      <c r="BV50" s="277">
        <f t="shared" si="35"/>
        <v>0</v>
      </c>
      <c r="BW50" s="269"/>
      <c r="BX50" s="269"/>
      <c r="BY50" s="269"/>
      <c r="BZ50" s="277">
        <f t="shared" si="36"/>
        <v>0</v>
      </c>
      <c r="CA50" s="269"/>
      <c r="CB50" s="269"/>
      <c r="CC50" s="269"/>
      <c r="CD50" s="277">
        <f t="shared" si="37"/>
        <v>0</v>
      </c>
      <c r="CE50" s="269"/>
      <c r="CF50" s="269"/>
      <c r="CG50" s="269"/>
      <c r="CH50" s="277">
        <f t="shared" si="38"/>
        <v>0</v>
      </c>
      <c r="CI50" s="269"/>
      <c r="CJ50" s="269"/>
      <c r="CK50" s="269"/>
      <c r="CL50" s="277">
        <f t="shared" si="39"/>
        <v>0</v>
      </c>
      <c r="CM50" s="269"/>
      <c r="CN50" s="269"/>
      <c r="CO50" s="269"/>
      <c r="CP50" s="277">
        <f t="shared" si="40"/>
        <v>0</v>
      </c>
      <c r="CQ50" s="269"/>
      <c r="CR50" s="269"/>
      <c r="CS50" s="269"/>
      <c r="CT50" s="277">
        <f t="shared" si="41"/>
        <v>0</v>
      </c>
      <c r="CU50" s="269"/>
      <c r="CV50" s="269"/>
      <c r="CW50" s="269"/>
      <c r="CX50" s="277">
        <f t="shared" si="42"/>
        <v>0</v>
      </c>
      <c r="CY50" s="269"/>
      <c r="CZ50" s="269"/>
      <c r="DA50" s="269"/>
      <c r="DB50" s="277">
        <f t="shared" si="43"/>
        <v>0</v>
      </c>
      <c r="DC50" s="269"/>
      <c r="DD50" s="269"/>
      <c r="DE50" s="269"/>
      <c r="DF50" s="277">
        <f t="shared" si="44"/>
        <v>0</v>
      </c>
      <c r="DG50" s="269"/>
      <c r="DH50" s="269"/>
      <c r="DI50" s="269"/>
      <c r="DJ50" s="277">
        <f t="shared" si="45"/>
        <v>0</v>
      </c>
      <c r="DK50" s="269"/>
      <c r="DL50" s="269"/>
      <c r="DM50" s="269"/>
      <c r="DN50" s="277">
        <f t="shared" si="46"/>
        <v>0</v>
      </c>
      <c r="DO50" s="269"/>
      <c r="DP50" s="269"/>
      <c r="DQ50" s="269"/>
      <c r="DR50" s="277">
        <f t="shared" si="47"/>
        <v>0</v>
      </c>
      <c r="DS50" s="269"/>
      <c r="DT50" s="269"/>
      <c r="DU50" s="269"/>
      <c r="DV50" s="277">
        <f t="shared" si="48"/>
        <v>0</v>
      </c>
      <c r="DW50" s="269"/>
      <c r="DX50" s="269"/>
      <c r="DY50" s="269"/>
      <c r="DZ50" s="277"/>
      <c r="EA50" s="269"/>
      <c r="EB50" s="269"/>
      <c r="EC50" s="269"/>
      <c r="ED50" s="277">
        <f t="shared" si="50"/>
        <v>0</v>
      </c>
      <c r="EE50" s="269"/>
      <c r="EF50" s="269"/>
      <c r="EG50" s="269"/>
      <c r="EH50" s="277">
        <f t="shared" si="51"/>
        <v>0</v>
      </c>
      <c r="EI50" s="269"/>
      <c r="EJ50" s="269"/>
      <c r="EK50" s="269"/>
      <c r="EL50" s="277">
        <f t="shared" si="52"/>
        <v>0</v>
      </c>
      <c r="EM50" s="269"/>
      <c r="EN50" s="269"/>
      <c r="EO50" s="269"/>
      <c r="EP50" s="277">
        <f t="shared" si="53"/>
        <v>0</v>
      </c>
      <c r="EQ50" s="269"/>
      <c r="ER50" s="269"/>
      <c r="ES50" s="269"/>
      <c r="ET50" s="277">
        <f t="shared" si="54"/>
        <v>0</v>
      </c>
      <c r="EU50" s="269"/>
      <c r="EV50" s="269"/>
      <c r="EW50" s="269"/>
      <c r="EX50" s="277">
        <f t="shared" si="55"/>
        <v>0</v>
      </c>
      <c r="EY50" s="269"/>
      <c r="EZ50" s="269"/>
      <c r="FA50" s="269"/>
      <c r="FB50" s="277">
        <f t="shared" si="56"/>
        <v>0</v>
      </c>
      <c r="FC50" s="269"/>
      <c r="FD50" s="269"/>
      <c r="FE50" s="269"/>
      <c r="FF50" s="277">
        <f t="shared" si="57"/>
        <v>0</v>
      </c>
      <c r="FG50" s="269"/>
      <c r="FH50" s="269"/>
      <c r="FI50" s="269"/>
      <c r="FJ50" s="277">
        <f t="shared" si="58"/>
        <v>0</v>
      </c>
      <c r="FK50" s="269"/>
      <c r="FL50" s="269"/>
      <c r="FM50" s="269"/>
      <c r="FN50" s="277">
        <f t="shared" si="59"/>
        <v>0</v>
      </c>
      <c r="FO50" s="269"/>
      <c r="FP50" s="269"/>
      <c r="FQ50" s="269"/>
      <c r="FR50" s="277">
        <f t="shared" si="60"/>
        <v>0</v>
      </c>
      <c r="FS50" s="269"/>
      <c r="FT50" s="269"/>
      <c r="FU50" s="269"/>
      <c r="FV50" s="277">
        <f t="shared" si="61"/>
        <v>0</v>
      </c>
      <c r="FW50" s="269"/>
      <c r="FX50" s="269"/>
      <c r="FY50" s="269"/>
      <c r="FZ50" s="277">
        <f t="shared" si="62"/>
        <v>0</v>
      </c>
      <c r="GA50" s="269"/>
      <c r="GB50" s="269"/>
      <c r="GC50" s="269"/>
      <c r="GD50" s="277">
        <f t="shared" si="63"/>
        <v>0</v>
      </c>
      <c r="GE50" s="269"/>
      <c r="GF50" s="269"/>
      <c r="GG50" s="269"/>
      <c r="GH50" s="277">
        <f t="shared" si="64"/>
        <v>0</v>
      </c>
      <c r="GI50" s="269"/>
      <c r="GJ50" s="269"/>
      <c r="GK50" s="269"/>
      <c r="GL50" s="277">
        <f t="shared" si="65"/>
        <v>0</v>
      </c>
      <c r="GM50" s="269"/>
      <c r="GN50" s="269"/>
      <c r="GO50" s="269"/>
      <c r="GP50" s="277">
        <f t="shared" si="66"/>
        <v>0</v>
      </c>
      <c r="GQ50" s="269"/>
      <c r="GR50" s="269"/>
      <c r="GS50" s="269"/>
      <c r="GT50" s="277">
        <f t="shared" si="67"/>
        <v>0</v>
      </c>
      <c r="GU50" s="269"/>
      <c r="GV50" s="269"/>
      <c r="GW50" s="269"/>
      <c r="GX50" s="277">
        <f t="shared" si="68"/>
        <v>0</v>
      </c>
      <c r="GY50" s="269"/>
      <c r="GZ50" s="269"/>
      <c r="HA50" s="269"/>
      <c r="HB50" s="277">
        <f t="shared" si="69"/>
        <v>0</v>
      </c>
      <c r="HC50" s="269"/>
      <c r="HD50" s="269"/>
      <c r="HE50" s="269"/>
      <c r="HF50" s="277">
        <f t="shared" si="70"/>
        <v>0</v>
      </c>
      <c r="HG50" s="269"/>
      <c r="HH50" s="269"/>
      <c r="HI50" s="269"/>
      <c r="HJ50" s="277">
        <f t="shared" si="71"/>
        <v>0</v>
      </c>
      <c r="HK50" s="269"/>
      <c r="HL50" s="269"/>
      <c r="HM50" s="269"/>
      <c r="HN50" s="277">
        <f t="shared" si="72"/>
        <v>0</v>
      </c>
      <c r="HO50" s="269"/>
      <c r="HP50" s="269"/>
      <c r="HQ50" s="269"/>
      <c r="HR50" s="277">
        <f t="shared" si="73"/>
        <v>0</v>
      </c>
      <c r="HS50" s="269"/>
      <c r="HT50" s="269"/>
      <c r="HU50" s="269"/>
      <c r="HV50" s="277">
        <f t="shared" si="74"/>
        <v>0</v>
      </c>
      <c r="HW50" s="269"/>
      <c r="HX50" s="269"/>
      <c r="HY50" s="269"/>
      <c r="HZ50" s="277">
        <f t="shared" si="75"/>
        <v>0</v>
      </c>
      <c r="IA50" s="269"/>
      <c r="IB50" s="269"/>
      <c r="IC50" s="269"/>
      <c r="ID50" s="277">
        <f t="shared" si="76"/>
        <v>0</v>
      </c>
      <c r="IE50" s="269"/>
      <c r="IF50" s="269"/>
      <c r="IG50" s="269"/>
      <c r="IH50" s="277">
        <f t="shared" si="77"/>
        <v>0</v>
      </c>
      <c r="II50" s="269"/>
      <c r="IJ50" s="269"/>
      <c r="IK50" s="269"/>
      <c r="IL50" s="277">
        <f t="shared" si="78"/>
        <v>0</v>
      </c>
      <c r="IM50" s="269"/>
      <c r="IN50" s="269"/>
      <c r="IO50" s="269"/>
      <c r="IP50" s="277">
        <f t="shared" si="79"/>
        <v>0</v>
      </c>
      <c r="IQ50" s="277">
        <f t="shared" si="81"/>
        <v>0</v>
      </c>
      <c r="IR50" s="277">
        <f t="shared" si="81"/>
        <v>0</v>
      </c>
      <c r="IS50" s="277">
        <f t="shared" si="81"/>
        <v>0</v>
      </c>
      <c r="IT50" s="277">
        <f t="shared" si="81"/>
        <v>0</v>
      </c>
    </row>
    <row r="51" spans="1:254" ht="15" customHeight="1">
      <c r="A51" s="301">
        <v>524000</v>
      </c>
      <c r="B51" s="263" t="s">
        <v>1756</v>
      </c>
      <c r="C51" s="269"/>
      <c r="D51" s="269"/>
      <c r="E51" s="269"/>
      <c r="F51" s="277">
        <f t="shared" si="18"/>
        <v>0</v>
      </c>
      <c r="G51" s="269"/>
      <c r="H51" s="269"/>
      <c r="I51" s="269"/>
      <c r="J51" s="277">
        <f t="shared" si="19"/>
        <v>0</v>
      </c>
      <c r="K51" s="269"/>
      <c r="L51" s="269"/>
      <c r="M51" s="269"/>
      <c r="N51" s="277">
        <f t="shared" si="20"/>
        <v>0</v>
      </c>
      <c r="O51" s="269"/>
      <c r="P51" s="269"/>
      <c r="Q51" s="269"/>
      <c r="R51" s="277">
        <f t="shared" si="21"/>
        <v>0</v>
      </c>
      <c r="S51" s="269"/>
      <c r="T51" s="269"/>
      <c r="U51" s="269"/>
      <c r="V51" s="277">
        <f t="shared" si="22"/>
        <v>0</v>
      </c>
      <c r="W51" s="269"/>
      <c r="X51" s="269"/>
      <c r="Y51" s="269"/>
      <c r="Z51" s="277">
        <f t="shared" si="23"/>
        <v>0</v>
      </c>
      <c r="AA51" s="269"/>
      <c r="AB51" s="269"/>
      <c r="AC51" s="269"/>
      <c r="AD51" s="277">
        <f t="shared" si="24"/>
        <v>0</v>
      </c>
      <c r="AE51" s="269"/>
      <c r="AF51" s="269"/>
      <c r="AG51" s="269"/>
      <c r="AH51" s="277">
        <f t="shared" si="25"/>
        <v>0</v>
      </c>
      <c r="AI51" s="269"/>
      <c r="AJ51" s="269"/>
      <c r="AK51" s="269"/>
      <c r="AL51" s="277">
        <f t="shared" si="26"/>
        <v>0</v>
      </c>
      <c r="AM51" s="269"/>
      <c r="AN51" s="269"/>
      <c r="AO51" s="269"/>
      <c r="AP51" s="277">
        <f t="shared" si="27"/>
        <v>0</v>
      </c>
      <c r="AQ51" s="269"/>
      <c r="AR51" s="269"/>
      <c r="AS51" s="269"/>
      <c r="AT51" s="277">
        <f t="shared" si="28"/>
        <v>0</v>
      </c>
      <c r="AU51" s="269"/>
      <c r="AV51" s="269"/>
      <c r="AW51" s="269"/>
      <c r="AX51" s="277">
        <f t="shared" si="29"/>
        <v>0</v>
      </c>
      <c r="AY51" s="269"/>
      <c r="AZ51" s="269"/>
      <c r="BA51" s="269"/>
      <c r="BB51" s="277">
        <f t="shared" si="30"/>
        <v>0</v>
      </c>
      <c r="BC51" s="269"/>
      <c r="BD51" s="269"/>
      <c r="BE51" s="269"/>
      <c r="BF51" s="277">
        <f t="shared" si="31"/>
        <v>0</v>
      </c>
      <c r="BG51" s="269"/>
      <c r="BH51" s="269"/>
      <c r="BI51" s="269"/>
      <c r="BJ51" s="277">
        <f t="shared" si="32"/>
        <v>0</v>
      </c>
      <c r="BK51" s="269"/>
      <c r="BL51" s="269"/>
      <c r="BM51" s="269"/>
      <c r="BN51" s="277">
        <f t="shared" si="33"/>
        <v>0</v>
      </c>
      <c r="BO51" s="269"/>
      <c r="BP51" s="269"/>
      <c r="BQ51" s="269"/>
      <c r="BR51" s="277">
        <f t="shared" si="34"/>
        <v>0</v>
      </c>
      <c r="BS51" s="269"/>
      <c r="BT51" s="269"/>
      <c r="BU51" s="269"/>
      <c r="BV51" s="277">
        <f t="shared" si="35"/>
        <v>0</v>
      </c>
      <c r="BW51" s="269"/>
      <c r="BX51" s="269"/>
      <c r="BY51" s="269"/>
      <c r="BZ51" s="277">
        <f t="shared" si="36"/>
        <v>0</v>
      </c>
      <c r="CA51" s="269"/>
      <c r="CB51" s="269"/>
      <c r="CC51" s="269"/>
      <c r="CD51" s="277">
        <f t="shared" si="37"/>
        <v>0</v>
      </c>
      <c r="CE51" s="269"/>
      <c r="CF51" s="269"/>
      <c r="CG51" s="269"/>
      <c r="CH51" s="277">
        <f t="shared" si="38"/>
        <v>0</v>
      </c>
      <c r="CI51" s="269"/>
      <c r="CJ51" s="269"/>
      <c r="CK51" s="269"/>
      <c r="CL51" s="277">
        <f t="shared" si="39"/>
        <v>0</v>
      </c>
      <c r="CM51" s="269"/>
      <c r="CN51" s="269"/>
      <c r="CO51" s="269"/>
      <c r="CP51" s="277">
        <f t="shared" si="40"/>
        <v>0</v>
      </c>
      <c r="CQ51" s="269"/>
      <c r="CR51" s="269"/>
      <c r="CS51" s="269"/>
      <c r="CT51" s="277">
        <f t="shared" si="41"/>
        <v>0</v>
      </c>
      <c r="CU51" s="269"/>
      <c r="CV51" s="269"/>
      <c r="CW51" s="269"/>
      <c r="CX51" s="277">
        <f t="shared" si="42"/>
        <v>0</v>
      </c>
      <c r="CY51" s="269"/>
      <c r="CZ51" s="269"/>
      <c r="DA51" s="269"/>
      <c r="DB51" s="277">
        <f t="shared" si="43"/>
        <v>0</v>
      </c>
      <c r="DC51" s="269"/>
      <c r="DD51" s="269"/>
      <c r="DE51" s="269"/>
      <c r="DF51" s="277">
        <f t="shared" si="44"/>
        <v>0</v>
      </c>
      <c r="DG51" s="269"/>
      <c r="DH51" s="269"/>
      <c r="DI51" s="269"/>
      <c r="DJ51" s="277">
        <f t="shared" si="45"/>
        <v>0</v>
      </c>
      <c r="DK51" s="269"/>
      <c r="DL51" s="269"/>
      <c r="DM51" s="269"/>
      <c r="DN51" s="277">
        <f t="shared" si="46"/>
        <v>0</v>
      </c>
      <c r="DO51" s="269"/>
      <c r="DP51" s="269"/>
      <c r="DQ51" s="269"/>
      <c r="DR51" s="277">
        <f t="shared" si="47"/>
        <v>0</v>
      </c>
      <c r="DS51" s="269"/>
      <c r="DT51" s="269"/>
      <c r="DU51" s="269"/>
      <c r="DV51" s="277">
        <f t="shared" si="48"/>
        <v>0</v>
      </c>
      <c r="DW51" s="269"/>
      <c r="DX51" s="269"/>
      <c r="DY51" s="269"/>
      <c r="DZ51" s="277"/>
      <c r="EA51" s="269"/>
      <c r="EB51" s="269"/>
      <c r="EC51" s="269"/>
      <c r="ED51" s="277">
        <f t="shared" si="50"/>
        <v>0</v>
      </c>
      <c r="EE51" s="269"/>
      <c r="EF51" s="269"/>
      <c r="EG51" s="269"/>
      <c r="EH51" s="277">
        <f t="shared" si="51"/>
        <v>0</v>
      </c>
      <c r="EI51" s="269"/>
      <c r="EJ51" s="269"/>
      <c r="EK51" s="269"/>
      <c r="EL51" s="277">
        <f t="shared" si="52"/>
        <v>0</v>
      </c>
      <c r="EM51" s="269"/>
      <c r="EN51" s="269"/>
      <c r="EO51" s="269"/>
      <c r="EP51" s="277">
        <f t="shared" si="53"/>
        <v>0</v>
      </c>
      <c r="EQ51" s="269"/>
      <c r="ER51" s="269"/>
      <c r="ES51" s="269"/>
      <c r="ET51" s="277">
        <f t="shared" si="54"/>
        <v>0</v>
      </c>
      <c r="EU51" s="269"/>
      <c r="EV51" s="269"/>
      <c r="EW51" s="269"/>
      <c r="EX51" s="277">
        <f t="shared" si="55"/>
        <v>0</v>
      </c>
      <c r="EY51" s="269"/>
      <c r="EZ51" s="269"/>
      <c r="FA51" s="269"/>
      <c r="FB51" s="277">
        <f t="shared" si="56"/>
        <v>0</v>
      </c>
      <c r="FC51" s="269"/>
      <c r="FD51" s="269"/>
      <c r="FE51" s="269"/>
      <c r="FF51" s="277">
        <f t="shared" si="57"/>
        <v>0</v>
      </c>
      <c r="FG51" s="269"/>
      <c r="FH51" s="269"/>
      <c r="FI51" s="269"/>
      <c r="FJ51" s="277">
        <f t="shared" si="58"/>
        <v>0</v>
      </c>
      <c r="FK51" s="269"/>
      <c r="FL51" s="269"/>
      <c r="FM51" s="269"/>
      <c r="FN51" s="277">
        <f t="shared" si="59"/>
        <v>0</v>
      </c>
      <c r="FO51" s="269"/>
      <c r="FP51" s="269"/>
      <c r="FQ51" s="269"/>
      <c r="FR51" s="277">
        <f t="shared" si="60"/>
        <v>0</v>
      </c>
      <c r="FS51" s="269"/>
      <c r="FT51" s="269"/>
      <c r="FU51" s="269"/>
      <c r="FV51" s="277">
        <f t="shared" si="61"/>
        <v>0</v>
      </c>
      <c r="FW51" s="269"/>
      <c r="FX51" s="269"/>
      <c r="FY51" s="269"/>
      <c r="FZ51" s="277">
        <f t="shared" si="62"/>
        <v>0</v>
      </c>
      <c r="GA51" s="269"/>
      <c r="GB51" s="269"/>
      <c r="GC51" s="269"/>
      <c r="GD51" s="277">
        <f t="shared" si="63"/>
        <v>0</v>
      </c>
      <c r="GE51" s="269"/>
      <c r="GF51" s="269"/>
      <c r="GG51" s="269"/>
      <c r="GH51" s="277">
        <f t="shared" si="64"/>
        <v>0</v>
      </c>
      <c r="GI51" s="269"/>
      <c r="GJ51" s="269"/>
      <c r="GK51" s="269"/>
      <c r="GL51" s="277">
        <f t="shared" si="65"/>
        <v>0</v>
      </c>
      <c r="GM51" s="269"/>
      <c r="GN51" s="269"/>
      <c r="GO51" s="269"/>
      <c r="GP51" s="277">
        <f t="shared" si="66"/>
        <v>0</v>
      </c>
      <c r="GQ51" s="269"/>
      <c r="GR51" s="269"/>
      <c r="GS51" s="269"/>
      <c r="GT51" s="277">
        <f t="shared" si="67"/>
        <v>0</v>
      </c>
      <c r="GU51" s="269"/>
      <c r="GV51" s="269"/>
      <c r="GW51" s="269"/>
      <c r="GX51" s="277">
        <f t="shared" si="68"/>
        <v>0</v>
      </c>
      <c r="GY51" s="269"/>
      <c r="GZ51" s="269"/>
      <c r="HA51" s="269"/>
      <c r="HB51" s="277">
        <f t="shared" si="69"/>
        <v>0</v>
      </c>
      <c r="HC51" s="269"/>
      <c r="HD51" s="269"/>
      <c r="HE51" s="269"/>
      <c r="HF51" s="277">
        <f t="shared" si="70"/>
        <v>0</v>
      </c>
      <c r="HG51" s="269"/>
      <c r="HH51" s="269"/>
      <c r="HI51" s="269"/>
      <c r="HJ51" s="277">
        <f t="shared" si="71"/>
        <v>0</v>
      </c>
      <c r="HK51" s="269"/>
      <c r="HL51" s="269"/>
      <c r="HM51" s="269"/>
      <c r="HN51" s="277">
        <f t="shared" si="72"/>
        <v>0</v>
      </c>
      <c r="HO51" s="269"/>
      <c r="HP51" s="269"/>
      <c r="HQ51" s="269"/>
      <c r="HR51" s="277">
        <f t="shared" si="73"/>
        <v>0</v>
      </c>
      <c r="HS51" s="269"/>
      <c r="HT51" s="269"/>
      <c r="HU51" s="269"/>
      <c r="HV51" s="277">
        <f t="shared" si="74"/>
        <v>0</v>
      </c>
      <c r="HW51" s="269"/>
      <c r="HX51" s="269"/>
      <c r="HY51" s="269"/>
      <c r="HZ51" s="277">
        <f t="shared" si="75"/>
        <v>0</v>
      </c>
      <c r="IA51" s="269"/>
      <c r="IB51" s="269"/>
      <c r="IC51" s="269"/>
      <c r="ID51" s="277">
        <f t="shared" si="76"/>
        <v>0</v>
      </c>
      <c r="IE51" s="269"/>
      <c r="IF51" s="269"/>
      <c r="IG51" s="269"/>
      <c r="IH51" s="277">
        <f t="shared" si="77"/>
        <v>0</v>
      </c>
      <c r="II51" s="269"/>
      <c r="IJ51" s="269"/>
      <c r="IK51" s="269"/>
      <c r="IL51" s="277">
        <f t="shared" si="78"/>
        <v>0</v>
      </c>
      <c r="IM51" s="269"/>
      <c r="IN51" s="269"/>
      <c r="IO51" s="269"/>
      <c r="IP51" s="277">
        <f t="shared" si="79"/>
        <v>0</v>
      </c>
      <c r="IQ51" s="277">
        <f t="shared" si="81"/>
        <v>0</v>
      </c>
      <c r="IR51" s="277">
        <f t="shared" si="81"/>
        <v>0</v>
      </c>
      <c r="IS51" s="277">
        <f t="shared" si="81"/>
        <v>0</v>
      </c>
      <c r="IT51" s="277">
        <f t="shared" si="81"/>
        <v>0</v>
      </c>
    </row>
    <row r="52" spans="1:254" ht="15" customHeight="1" thickBot="1">
      <c r="A52" s="301">
        <v>525000</v>
      </c>
      <c r="B52" s="263" t="s">
        <v>1758</v>
      </c>
      <c r="C52" s="271"/>
      <c r="D52" s="271"/>
      <c r="E52" s="271"/>
      <c r="F52" s="278">
        <f>-D52+E52</f>
        <v>0</v>
      </c>
      <c r="G52" s="271"/>
      <c r="H52" s="271"/>
      <c r="I52" s="271"/>
      <c r="J52" s="278">
        <f>-H52+I52</f>
        <v>0</v>
      </c>
      <c r="K52" s="271"/>
      <c r="L52" s="271"/>
      <c r="M52" s="271"/>
      <c r="N52" s="278">
        <f>-L52+M52</f>
        <v>0</v>
      </c>
      <c r="O52" s="271"/>
      <c r="P52" s="271"/>
      <c r="Q52" s="271"/>
      <c r="R52" s="278">
        <f>-P52+Q52</f>
        <v>0</v>
      </c>
      <c r="S52" s="271"/>
      <c r="T52" s="271"/>
      <c r="U52" s="271"/>
      <c r="V52" s="278">
        <f>-T52+U52</f>
        <v>0</v>
      </c>
      <c r="W52" s="271"/>
      <c r="X52" s="271"/>
      <c r="Y52" s="271"/>
      <c r="Z52" s="278">
        <f>-X52+Y52</f>
        <v>0</v>
      </c>
      <c r="AA52" s="271"/>
      <c r="AB52" s="271"/>
      <c r="AC52" s="271"/>
      <c r="AD52" s="278">
        <f>-AB52+AC52</f>
        <v>0</v>
      </c>
      <c r="AE52" s="271"/>
      <c r="AF52" s="271"/>
      <c r="AG52" s="271"/>
      <c r="AH52" s="278">
        <f>-AF52+AG52</f>
        <v>0</v>
      </c>
      <c r="AI52" s="271"/>
      <c r="AJ52" s="271"/>
      <c r="AK52" s="271"/>
      <c r="AL52" s="278">
        <f>-AJ52+AK52</f>
        <v>0</v>
      </c>
      <c r="AM52" s="271"/>
      <c r="AN52" s="271"/>
      <c r="AO52" s="271"/>
      <c r="AP52" s="278">
        <f>-AN52+AO52</f>
        <v>0</v>
      </c>
      <c r="AQ52" s="271"/>
      <c r="AR52" s="271"/>
      <c r="AS52" s="271"/>
      <c r="AT52" s="278">
        <f>-AR52+AS52</f>
        <v>0</v>
      </c>
      <c r="AU52" s="271"/>
      <c r="AV52" s="271"/>
      <c r="AW52" s="271"/>
      <c r="AX52" s="278">
        <f>-AV52+AW52</f>
        <v>0</v>
      </c>
      <c r="AY52" s="271"/>
      <c r="AZ52" s="271"/>
      <c r="BA52" s="271"/>
      <c r="BB52" s="278">
        <f>-AZ52+BA52</f>
        <v>0</v>
      </c>
      <c r="BC52" s="271"/>
      <c r="BD52" s="271"/>
      <c r="BE52" s="271"/>
      <c r="BF52" s="278">
        <f>-BD52+BE52</f>
        <v>0</v>
      </c>
      <c r="BG52" s="271"/>
      <c r="BH52" s="271"/>
      <c r="BI52" s="271"/>
      <c r="BJ52" s="278">
        <f>-BH52+BI52</f>
        <v>0</v>
      </c>
      <c r="BK52" s="271"/>
      <c r="BL52" s="271"/>
      <c r="BM52" s="271"/>
      <c r="BN52" s="278">
        <f>-BL52+BM52</f>
        <v>0</v>
      </c>
      <c r="BO52" s="271"/>
      <c r="BP52" s="271"/>
      <c r="BQ52" s="271"/>
      <c r="BR52" s="278">
        <f>-BP52+BQ52</f>
        <v>0</v>
      </c>
      <c r="BS52" s="271"/>
      <c r="BT52" s="271"/>
      <c r="BU52" s="271"/>
      <c r="BV52" s="278">
        <f>-BT52+BU52</f>
        <v>0</v>
      </c>
      <c r="BW52" s="271"/>
      <c r="BX52" s="271"/>
      <c r="BY52" s="271"/>
      <c r="BZ52" s="278">
        <f>-BX52+BY52</f>
        <v>0</v>
      </c>
      <c r="CA52" s="271"/>
      <c r="CB52" s="271"/>
      <c r="CC52" s="271"/>
      <c r="CD52" s="278">
        <f>-CB52+CC52</f>
        <v>0</v>
      </c>
      <c r="CE52" s="271"/>
      <c r="CF52" s="271"/>
      <c r="CG52" s="271"/>
      <c r="CH52" s="278">
        <f>-CF52+CG52</f>
        <v>0</v>
      </c>
      <c r="CI52" s="271"/>
      <c r="CJ52" s="271"/>
      <c r="CK52" s="271"/>
      <c r="CL52" s="278">
        <f>-CJ52+CK52</f>
        <v>0</v>
      </c>
      <c r="CM52" s="271"/>
      <c r="CN52" s="271"/>
      <c r="CO52" s="271"/>
      <c r="CP52" s="278">
        <f>-CN52+CO52</f>
        <v>0</v>
      </c>
      <c r="CQ52" s="271"/>
      <c r="CR52" s="271"/>
      <c r="CS52" s="271"/>
      <c r="CT52" s="278">
        <f>-CR52+CS52</f>
        <v>0</v>
      </c>
      <c r="CU52" s="271"/>
      <c r="CV52" s="271"/>
      <c r="CW52" s="271"/>
      <c r="CX52" s="278">
        <f>-CV52+CW52</f>
        <v>0</v>
      </c>
      <c r="CY52" s="271"/>
      <c r="CZ52" s="271"/>
      <c r="DA52" s="271"/>
      <c r="DB52" s="278">
        <f>-CZ52+DA52</f>
        <v>0</v>
      </c>
      <c r="DC52" s="271"/>
      <c r="DD52" s="271"/>
      <c r="DE52" s="271"/>
      <c r="DF52" s="278">
        <f>-DD52+DE52</f>
        <v>0</v>
      </c>
      <c r="DG52" s="271"/>
      <c r="DH52" s="271"/>
      <c r="DI52" s="271"/>
      <c r="DJ52" s="278">
        <f>-DH52+DI52</f>
        <v>0</v>
      </c>
      <c r="DK52" s="271"/>
      <c r="DL52" s="271"/>
      <c r="DM52" s="271"/>
      <c r="DN52" s="278">
        <f>-DL52+DM52</f>
        <v>0</v>
      </c>
      <c r="DO52" s="271"/>
      <c r="DP52" s="271"/>
      <c r="DQ52" s="271"/>
      <c r="DR52" s="278">
        <f>-DP52+DQ52</f>
        <v>0</v>
      </c>
      <c r="DS52" s="271"/>
      <c r="DT52" s="271"/>
      <c r="DU52" s="271"/>
      <c r="DV52" s="278">
        <f>-DT52+DU52</f>
        <v>0</v>
      </c>
      <c r="DW52" s="271"/>
      <c r="DX52" s="271"/>
      <c r="DY52" s="271"/>
      <c r="DZ52" s="278">
        <f>-DX52+DY52</f>
        <v>0</v>
      </c>
      <c r="EA52" s="271"/>
      <c r="EB52" s="271"/>
      <c r="EC52" s="271"/>
      <c r="ED52" s="278">
        <f>-EB52+EC52</f>
        <v>0</v>
      </c>
      <c r="EE52" s="271"/>
      <c r="EF52" s="271"/>
      <c r="EG52" s="271"/>
      <c r="EH52" s="278">
        <f>-EF52+EG52</f>
        <v>0</v>
      </c>
      <c r="EI52" s="271"/>
      <c r="EJ52" s="271"/>
      <c r="EK52" s="271"/>
      <c r="EL52" s="278">
        <f>-EJ52+EK52</f>
        <v>0</v>
      </c>
      <c r="EM52" s="271"/>
      <c r="EN52" s="271"/>
      <c r="EO52" s="271"/>
      <c r="EP52" s="278">
        <f>-EN52+EO52</f>
        <v>0</v>
      </c>
      <c r="EQ52" s="271"/>
      <c r="ER52" s="271"/>
      <c r="ES52" s="271"/>
      <c r="ET52" s="278">
        <f>-ER52+ES52</f>
        <v>0</v>
      </c>
      <c r="EU52" s="271"/>
      <c r="EV52" s="271"/>
      <c r="EW52" s="271"/>
      <c r="EX52" s="278">
        <f>-EV52+EW52</f>
        <v>0</v>
      </c>
      <c r="EY52" s="271"/>
      <c r="EZ52" s="271"/>
      <c r="FA52" s="271"/>
      <c r="FB52" s="278">
        <f>-EZ52+FA52</f>
        <v>0</v>
      </c>
      <c r="FC52" s="271"/>
      <c r="FD52" s="271"/>
      <c r="FE52" s="271"/>
      <c r="FF52" s="278">
        <f>-FD52+FE52</f>
        <v>0</v>
      </c>
      <c r="FG52" s="271"/>
      <c r="FH52" s="271"/>
      <c r="FI52" s="271"/>
      <c r="FJ52" s="278">
        <f>-FH52+FI52</f>
        <v>0</v>
      </c>
      <c r="FK52" s="271"/>
      <c r="FL52" s="271"/>
      <c r="FM52" s="271"/>
      <c r="FN52" s="278">
        <f>-FL52+FM52</f>
        <v>0</v>
      </c>
      <c r="FO52" s="271"/>
      <c r="FP52" s="271"/>
      <c r="FQ52" s="271"/>
      <c r="FR52" s="278">
        <f>-FP52+FQ52</f>
        <v>0</v>
      </c>
      <c r="FS52" s="271"/>
      <c r="FT52" s="271"/>
      <c r="FU52" s="271"/>
      <c r="FV52" s="278">
        <f>-FT52+FU52</f>
        <v>0</v>
      </c>
      <c r="FW52" s="271"/>
      <c r="FX52" s="271"/>
      <c r="FY52" s="271"/>
      <c r="FZ52" s="278">
        <f>-FX52+FY52</f>
        <v>0</v>
      </c>
      <c r="GA52" s="271"/>
      <c r="GB52" s="271"/>
      <c r="GC52" s="271"/>
      <c r="GD52" s="278">
        <f>-GB52+GC52</f>
        <v>0</v>
      </c>
      <c r="GE52" s="271"/>
      <c r="GF52" s="271"/>
      <c r="GG52" s="271"/>
      <c r="GH52" s="278">
        <f>-GF52+GG52</f>
        <v>0</v>
      </c>
      <c r="GI52" s="271"/>
      <c r="GJ52" s="271"/>
      <c r="GK52" s="271"/>
      <c r="GL52" s="278">
        <f>-GJ52+GK52</f>
        <v>0</v>
      </c>
      <c r="GM52" s="271"/>
      <c r="GN52" s="271"/>
      <c r="GO52" s="271"/>
      <c r="GP52" s="278">
        <f>-GN52+GO52</f>
        <v>0</v>
      </c>
      <c r="GQ52" s="271"/>
      <c r="GR52" s="271"/>
      <c r="GS52" s="271"/>
      <c r="GT52" s="278">
        <f>-GR52+GS52</f>
        <v>0</v>
      </c>
      <c r="GU52" s="271"/>
      <c r="GV52" s="271"/>
      <c r="GW52" s="271"/>
      <c r="GX52" s="278">
        <f>-GV52+GW52</f>
        <v>0</v>
      </c>
      <c r="GY52" s="271"/>
      <c r="GZ52" s="271"/>
      <c r="HA52" s="271"/>
      <c r="HB52" s="278">
        <f>-GZ52+HA52</f>
        <v>0</v>
      </c>
      <c r="HC52" s="271"/>
      <c r="HD52" s="271"/>
      <c r="HE52" s="271"/>
      <c r="HF52" s="278">
        <f>-HD52+HE52</f>
        <v>0</v>
      </c>
      <c r="HG52" s="271"/>
      <c r="HH52" s="271"/>
      <c r="HI52" s="271"/>
      <c r="HJ52" s="278">
        <f>-HH52+HI52</f>
        <v>0</v>
      </c>
      <c r="HK52" s="271"/>
      <c r="HL52" s="271"/>
      <c r="HM52" s="271"/>
      <c r="HN52" s="278">
        <f>-HL52+HM52</f>
        <v>0</v>
      </c>
      <c r="HO52" s="271"/>
      <c r="HP52" s="271"/>
      <c r="HQ52" s="271"/>
      <c r="HR52" s="278">
        <f>-HP52+HQ52</f>
        <v>0</v>
      </c>
      <c r="HS52" s="271"/>
      <c r="HT52" s="271"/>
      <c r="HU52" s="271"/>
      <c r="HV52" s="278">
        <f>-HT52+HU52</f>
        <v>0</v>
      </c>
      <c r="HW52" s="271"/>
      <c r="HX52" s="271"/>
      <c r="HY52" s="271"/>
      <c r="HZ52" s="278">
        <f>-HX52+HY52</f>
        <v>0</v>
      </c>
      <c r="IA52" s="271"/>
      <c r="IB52" s="271"/>
      <c r="IC52" s="271"/>
      <c r="ID52" s="278">
        <f>-IB52+IC52</f>
        <v>0</v>
      </c>
      <c r="IE52" s="271"/>
      <c r="IF52" s="271"/>
      <c r="IG52" s="271"/>
      <c r="IH52" s="278">
        <f>-IF52+IG52</f>
        <v>0</v>
      </c>
      <c r="II52" s="271"/>
      <c r="IJ52" s="271"/>
      <c r="IK52" s="271"/>
      <c r="IL52" s="278">
        <f>-IJ52+IK52</f>
        <v>0</v>
      </c>
      <c r="IM52" s="271"/>
      <c r="IN52" s="271"/>
      <c r="IO52" s="271"/>
      <c r="IP52" s="278">
        <f>-IN52+IO52</f>
        <v>0</v>
      </c>
      <c r="IQ52" s="278">
        <f t="shared" si="80"/>
        <v>0</v>
      </c>
      <c r="IR52" s="278">
        <f t="shared" si="80"/>
        <v>0</v>
      </c>
      <c r="IS52" s="278">
        <f t="shared" si="80"/>
        <v>0</v>
      </c>
      <c r="IT52" s="278">
        <f t="shared" si="80"/>
        <v>0</v>
      </c>
    </row>
    <row r="53" spans="1:254" ht="15" customHeight="1">
      <c r="A53" s="429"/>
      <c r="B53" s="411"/>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c r="BX53" s="277"/>
      <c r="BY53" s="277"/>
      <c r="BZ53" s="277"/>
      <c r="CA53" s="277"/>
      <c r="CB53" s="277"/>
      <c r="CC53" s="277"/>
      <c r="CD53" s="277"/>
      <c r="CE53" s="277"/>
      <c r="CF53" s="277"/>
      <c r="CG53" s="277"/>
      <c r="CH53" s="277"/>
      <c r="CI53" s="277"/>
      <c r="CJ53" s="277"/>
      <c r="CK53" s="277"/>
      <c r="CL53" s="277"/>
      <c r="CM53" s="277"/>
      <c r="CN53" s="277"/>
      <c r="CO53" s="277"/>
      <c r="CP53" s="277"/>
      <c r="CQ53" s="277"/>
      <c r="CR53" s="277"/>
      <c r="CS53" s="277"/>
      <c r="CT53" s="277"/>
      <c r="CU53" s="277"/>
      <c r="CV53" s="277"/>
      <c r="CW53" s="277"/>
      <c r="CX53" s="277"/>
      <c r="CY53" s="277"/>
      <c r="CZ53" s="277"/>
      <c r="DA53" s="277"/>
      <c r="DB53" s="277"/>
      <c r="DC53" s="277"/>
      <c r="DD53" s="277"/>
      <c r="DE53" s="277"/>
      <c r="DF53" s="277"/>
      <c r="DG53" s="277"/>
      <c r="DH53" s="277"/>
      <c r="DI53" s="277"/>
      <c r="DJ53" s="277"/>
      <c r="DK53" s="277"/>
      <c r="DL53" s="277"/>
      <c r="DM53" s="277"/>
      <c r="DN53" s="277"/>
      <c r="DO53" s="277"/>
      <c r="DP53" s="277"/>
      <c r="DQ53" s="277"/>
      <c r="DR53" s="277"/>
      <c r="DS53" s="277"/>
      <c r="DT53" s="277"/>
      <c r="DU53" s="277"/>
      <c r="DV53" s="277"/>
      <c r="DW53" s="277"/>
      <c r="DX53" s="277"/>
      <c r="DY53" s="277"/>
      <c r="DZ53" s="277"/>
      <c r="EA53" s="277"/>
      <c r="EB53" s="277"/>
      <c r="EC53" s="277"/>
      <c r="ED53" s="277"/>
      <c r="EE53" s="277"/>
      <c r="EF53" s="277"/>
      <c r="EG53" s="277"/>
      <c r="EH53" s="277"/>
      <c r="EI53" s="277"/>
      <c r="EJ53" s="277"/>
      <c r="EK53" s="277"/>
      <c r="EL53" s="277"/>
      <c r="EM53" s="277"/>
      <c r="EN53" s="277"/>
      <c r="EO53" s="277"/>
      <c r="EP53" s="277"/>
      <c r="EQ53" s="277"/>
      <c r="ER53" s="277"/>
      <c r="ES53" s="277"/>
      <c r="ET53" s="277"/>
      <c r="EU53" s="277"/>
      <c r="EV53" s="277"/>
      <c r="EW53" s="277"/>
      <c r="EX53" s="277"/>
      <c r="EY53" s="277"/>
      <c r="EZ53" s="277"/>
      <c r="FA53" s="277"/>
      <c r="FB53" s="277"/>
      <c r="FC53" s="277"/>
      <c r="FD53" s="277"/>
      <c r="FE53" s="277"/>
      <c r="FF53" s="277"/>
      <c r="FG53" s="277"/>
      <c r="FH53" s="277"/>
      <c r="FI53" s="277"/>
      <c r="FJ53" s="277"/>
      <c r="FK53" s="277"/>
      <c r="FL53" s="277"/>
      <c r="FM53" s="277"/>
      <c r="FN53" s="277"/>
      <c r="FO53" s="277"/>
      <c r="FP53" s="277"/>
      <c r="FQ53" s="277"/>
      <c r="FR53" s="277"/>
      <c r="FS53" s="277"/>
      <c r="FT53" s="277"/>
      <c r="FU53" s="277"/>
      <c r="FV53" s="277"/>
      <c r="FW53" s="277"/>
      <c r="FX53" s="277"/>
      <c r="FY53" s="277"/>
      <c r="FZ53" s="277"/>
      <c r="GA53" s="277"/>
      <c r="GB53" s="277"/>
      <c r="GC53" s="277"/>
      <c r="GD53" s="277"/>
      <c r="GE53" s="277"/>
      <c r="GF53" s="277"/>
      <c r="GG53" s="277"/>
      <c r="GH53" s="277"/>
      <c r="GI53" s="277"/>
      <c r="GJ53" s="277"/>
      <c r="GK53" s="277"/>
      <c r="GL53" s="277"/>
      <c r="GM53" s="277"/>
      <c r="GN53" s="277"/>
      <c r="GO53" s="277"/>
      <c r="GP53" s="277"/>
      <c r="GQ53" s="277"/>
      <c r="GR53" s="277"/>
      <c r="GS53" s="277"/>
      <c r="GT53" s="277"/>
      <c r="GU53" s="277"/>
      <c r="GV53" s="277"/>
      <c r="GW53" s="277"/>
      <c r="GX53" s="277"/>
      <c r="GY53" s="277"/>
      <c r="GZ53" s="277"/>
      <c r="HA53" s="277"/>
      <c r="HB53" s="277"/>
      <c r="HC53" s="277"/>
      <c r="HD53" s="277"/>
      <c r="HE53" s="277"/>
      <c r="HF53" s="277"/>
      <c r="HG53" s="277"/>
      <c r="HH53" s="277"/>
      <c r="HI53" s="277"/>
      <c r="HJ53" s="277"/>
      <c r="HK53" s="277"/>
      <c r="HL53" s="277"/>
      <c r="HM53" s="277"/>
      <c r="HN53" s="277"/>
      <c r="HO53" s="277"/>
      <c r="HP53" s="277"/>
      <c r="HQ53" s="277"/>
      <c r="HR53" s="277"/>
      <c r="HS53" s="277"/>
      <c r="HT53" s="277"/>
      <c r="HU53" s="277"/>
      <c r="HV53" s="277"/>
      <c r="HW53" s="277"/>
      <c r="HX53" s="277"/>
      <c r="HY53" s="277"/>
      <c r="HZ53" s="277"/>
      <c r="IA53" s="277"/>
      <c r="IB53" s="277"/>
      <c r="IC53" s="277"/>
      <c r="ID53" s="277"/>
      <c r="IE53" s="277"/>
      <c r="IF53" s="277"/>
      <c r="IG53" s="277"/>
      <c r="IH53" s="277"/>
      <c r="II53" s="277"/>
      <c r="IJ53" s="277"/>
      <c r="IK53" s="277"/>
      <c r="IL53" s="277"/>
      <c r="IM53" s="277"/>
      <c r="IN53" s="277"/>
      <c r="IO53" s="277"/>
      <c r="IP53" s="277"/>
      <c r="IQ53" s="277"/>
      <c r="IR53" s="277"/>
      <c r="IS53" s="277"/>
      <c r="IT53" s="277"/>
    </row>
    <row r="54" spans="1:254" ht="15" customHeight="1" thickBot="1">
      <c r="A54" s="429"/>
      <c r="B54" s="430" t="s">
        <v>237</v>
      </c>
      <c r="C54" s="278">
        <f t="shared" ref="C54:AH54" si="82">SUM(C42:C53)</f>
        <v>0</v>
      </c>
      <c r="D54" s="278">
        <f t="shared" si="82"/>
        <v>0</v>
      </c>
      <c r="E54" s="278">
        <f t="shared" si="82"/>
        <v>0</v>
      </c>
      <c r="F54" s="278">
        <f t="shared" si="82"/>
        <v>0</v>
      </c>
      <c r="G54" s="278">
        <f t="shared" si="82"/>
        <v>0</v>
      </c>
      <c r="H54" s="278">
        <f t="shared" si="82"/>
        <v>0</v>
      </c>
      <c r="I54" s="278">
        <f t="shared" si="82"/>
        <v>0</v>
      </c>
      <c r="J54" s="278">
        <f t="shared" si="82"/>
        <v>0</v>
      </c>
      <c r="K54" s="278">
        <f t="shared" si="82"/>
        <v>0</v>
      </c>
      <c r="L54" s="278">
        <f t="shared" si="82"/>
        <v>0</v>
      </c>
      <c r="M54" s="278">
        <f t="shared" si="82"/>
        <v>0</v>
      </c>
      <c r="N54" s="278">
        <f t="shared" si="82"/>
        <v>0</v>
      </c>
      <c r="O54" s="278">
        <f t="shared" si="82"/>
        <v>0</v>
      </c>
      <c r="P54" s="278">
        <f t="shared" si="82"/>
        <v>0</v>
      </c>
      <c r="Q54" s="278">
        <f t="shared" si="82"/>
        <v>0</v>
      </c>
      <c r="R54" s="278">
        <f t="shared" si="82"/>
        <v>0</v>
      </c>
      <c r="S54" s="278">
        <f t="shared" si="82"/>
        <v>0</v>
      </c>
      <c r="T54" s="278">
        <f t="shared" si="82"/>
        <v>0</v>
      </c>
      <c r="U54" s="278">
        <f t="shared" si="82"/>
        <v>0</v>
      </c>
      <c r="V54" s="278">
        <f t="shared" si="82"/>
        <v>0</v>
      </c>
      <c r="W54" s="278">
        <f t="shared" si="82"/>
        <v>0</v>
      </c>
      <c r="X54" s="278">
        <f t="shared" si="82"/>
        <v>0</v>
      </c>
      <c r="Y54" s="278">
        <f t="shared" si="82"/>
        <v>0</v>
      </c>
      <c r="Z54" s="278">
        <f t="shared" si="82"/>
        <v>0</v>
      </c>
      <c r="AA54" s="278">
        <f t="shared" si="82"/>
        <v>0</v>
      </c>
      <c r="AB54" s="278">
        <f t="shared" si="82"/>
        <v>0</v>
      </c>
      <c r="AC54" s="278">
        <f t="shared" si="82"/>
        <v>0</v>
      </c>
      <c r="AD54" s="278">
        <f t="shared" si="82"/>
        <v>0</v>
      </c>
      <c r="AE54" s="278">
        <f t="shared" si="82"/>
        <v>0</v>
      </c>
      <c r="AF54" s="278">
        <f t="shared" si="82"/>
        <v>0</v>
      </c>
      <c r="AG54" s="278">
        <f t="shared" si="82"/>
        <v>0</v>
      </c>
      <c r="AH54" s="278">
        <f t="shared" si="82"/>
        <v>0</v>
      </c>
      <c r="AI54" s="278">
        <f t="shared" ref="AI54:BN54" si="83">SUM(AI42:AI53)</f>
        <v>0</v>
      </c>
      <c r="AJ54" s="278">
        <f t="shared" si="83"/>
        <v>0</v>
      </c>
      <c r="AK54" s="278">
        <f t="shared" si="83"/>
        <v>0</v>
      </c>
      <c r="AL54" s="278">
        <f t="shared" si="83"/>
        <v>0</v>
      </c>
      <c r="AM54" s="278">
        <f t="shared" si="83"/>
        <v>0</v>
      </c>
      <c r="AN54" s="278">
        <f t="shared" si="83"/>
        <v>0</v>
      </c>
      <c r="AO54" s="278">
        <f t="shared" si="83"/>
        <v>0</v>
      </c>
      <c r="AP54" s="278">
        <f t="shared" si="83"/>
        <v>0</v>
      </c>
      <c r="AQ54" s="278">
        <f t="shared" si="83"/>
        <v>0</v>
      </c>
      <c r="AR54" s="278">
        <f t="shared" si="83"/>
        <v>0</v>
      </c>
      <c r="AS54" s="278">
        <f t="shared" si="83"/>
        <v>0</v>
      </c>
      <c r="AT54" s="278">
        <f t="shared" si="83"/>
        <v>0</v>
      </c>
      <c r="AU54" s="278">
        <f t="shared" si="83"/>
        <v>0</v>
      </c>
      <c r="AV54" s="278">
        <f t="shared" si="83"/>
        <v>0</v>
      </c>
      <c r="AW54" s="278">
        <f t="shared" si="83"/>
        <v>0</v>
      </c>
      <c r="AX54" s="278">
        <f t="shared" si="83"/>
        <v>0</v>
      </c>
      <c r="AY54" s="278">
        <f t="shared" si="83"/>
        <v>0</v>
      </c>
      <c r="AZ54" s="278">
        <f t="shared" si="83"/>
        <v>0</v>
      </c>
      <c r="BA54" s="278">
        <f t="shared" si="83"/>
        <v>0</v>
      </c>
      <c r="BB54" s="278">
        <f t="shared" si="83"/>
        <v>0</v>
      </c>
      <c r="BC54" s="278">
        <f t="shared" si="83"/>
        <v>0</v>
      </c>
      <c r="BD54" s="278">
        <f t="shared" si="83"/>
        <v>0</v>
      </c>
      <c r="BE54" s="278">
        <f t="shared" si="83"/>
        <v>0</v>
      </c>
      <c r="BF54" s="278">
        <f t="shared" si="83"/>
        <v>0</v>
      </c>
      <c r="BG54" s="278">
        <f t="shared" si="83"/>
        <v>0</v>
      </c>
      <c r="BH54" s="278">
        <f t="shared" si="83"/>
        <v>0</v>
      </c>
      <c r="BI54" s="278">
        <f t="shared" si="83"/>
        <v>0</v>
      </c>
      <c r="BJ54" s="278">
        <f t="shared" si="83"/>
        <v>0</v>
      </c>
      <c r="BK54" s="278">
        <f t="shared" si="83"/>
        <v>0</v>
      </c>
      <c r="BL54" s="278">
        <f t="shared" si="83"/>
        <v>0</v>
      </c>
      <c r="BM54" s="278">
        <f t="shared" si="83"/>
        <v>0</v>
      </c>
      <c r="BN54" s="278">
        <f t="shared" si="83"/>
        <v>0</v>
      </c>
      <c r="BO54" s="278">
        <f t="shared" ref="BO54:CT54" si="84">SUM(BO42:BO53)</f>
        <v>0</v>
      </c>
      <c r="BP54" s="278">
        <f t="shared" si="84"/>
        <v>0</v>
      </c>
      <c r="BQ54" s="278">
        <f t="shared" si="84"/>
        <v>0</v>
      </c>
      <c r="BR54" s="278">
        <f t="shared" si="84"/>
        <v>0</v>
      </c>
      <c r="BS54" s="278">
        <f t="shared" si="84"/>
        <v>0</v>
      </c>
      <c r="BT54" s="278">
        <f t="shared" si="84"/>
        <v>0</v>
      </c>
      <c r="BU54" s="278">
        <f t="shared" si="84"/>
        <v>0</v>
      </c>
      <c r="BV54" s="278">
        <f t="shared" si="84"/>
        <v>0</v>
      </c>
      <c r="BW54" s="278">
        <f t="shared" si="84"/>
        <v>0</v>
      </c>
      <c r="BX54" s="278">
        <f t="shared" si="84"/>
        <v>0</v>
      </c>
      <c r="BY54" s="278">
        <f t="shared" si="84"/>
        <v>0</v>
      </c>
      <c r="BZ54" s="278">
        <f t="shared" si="84"/>
        <v>0</v>
      </c>
      <c r="CA54" s="278">
        <f t="shared" si="84"/>
        <v>0</v>
      </c>
      <c r="CB54" s="278">
        <f t="shared" si="84"/>
        <v>0</v>
      </c>
      <c r="CC54" s="278">
        <f t="shared" si="84"/>
        <v>0</v>
      </c>
      <c r="CD54" s="278">
        <f t="shared" si="84"/>
        <v>0</v>
      </c>
      <c r="CE54" s="278">
        <f t="shared" si="84"/>
        <v>0</v>
      </c>
      <c r="CF54" s="278">
        <f t="shared" si="84"/>
        <v>0</v>
      </c>
      <c r="CG54" s="278">
        <f t="shared" si="84"/>
        <v>0</v>
      </c>
      <c r="CH54" s="278">
        <f t="shared" si="84"/>
        <v>0</v>
      </c>
      <c r="CI54" s="278">
        <f t="shared" si="84"/>
        <v>0</v>
      </c>
      <c r="CJ54" s="278">
        <f t="shared" si="84"/>
        <v>0</v>
      </c>
      <c r="CK54" s="278">
        <f t="shared" si="84"/>
        <v>0</v>
      </c>
      <c r="CL54" s="278">
        <f t="shared" si="84"/>
        <v>0</v>
      </c>
      <c r="CM54" s="278">
        <f t="shared" si="84"/>
        <v>0</v>
      </c>
      <c r="CN54" s="278">
        <f t="shared" si="84"/>
        <v>0</v>
      </c>
      <c r="CO54" s="278">
        <f t="shared" si="84"/>
        <v>0</v>
      </c>
      <c r="CP54" s="278">
        <f t="shared" si="84"/>
        <v>0</v>
      </c>
      <c r="CQ54" s="278">
        <f t="shared" si="84"/>
        <v>0</v>
      </c>
      <c r="CR54" s="278">
        <f t="shared" si="84"/>
        <v>0</v>
      </c>
      <c r="CS54" s="278">
        <f t="shared" si="84"/>
        <v>0</v>
      </c>
      <c r="CT54" s="278">
        <f t="shared" si="84"/>
        <v>0</v>
      </c>
      <c r="CU54" s="278">
        <f t="shared" ref="CU54:DZ54" si="85">SUM(CU42:CU53)</f>
        <v>0</v>
      </c>
      <c r="CV54" s="278">
        <f t="shared" si="85"/>
        <v>0</v>
      </c>
      <c r="CW54" s="278">
        <f t="shared" si="85"/>
        <v>0</v>
      </c>
      <c r="CX54" s="278">
        <f t="shared" si="85"/>
        <v>0</v>
      </c>
      <c r="CY54" s="278">
        <f t="shared" si="85"/>
        <v>0</v>
      </c>
      <c r="CZ54" s="278">
        <f t="shared" si="85"/>
        <v>0</v>
      </c>
      <c r="DA54" s="278">
        <f t="shared" si="85"/>
        <v>0</v>
      </c>
      <c r="DB54" s="278">
        <f t="shared" si="85"/>
        <v>0</v>
      </c>
      <c r="DC54" s="278">
        <f t="shared" si="85"/>
        <v>0</v>
      </c>
      <c r="DD54" s="278">
        <f t="shared" si="85"/>
        <v>0</v>
      </c>
      <c r="DE54" s="278">
        <f t="shared" si="85"/>
        <v>0</v>
      </c>
      <c r="DF54" s="278">
        <f t="shared" si="85"/>
        <v>0</v>
      </c>
      <c r="DG54" s="278">
        <f t="shared" si="85"/>
        <v>0</v>
      </c>
      <c r="DH54" s="278">
        <f t="shared" si="85"/>
        <v>0</v>
      </c>
      <c r="DI54" s="278">
        <f t="shared" si="85"/>
        <v>0</v>
      </c>
      <c r="DJ54" s="278">
        <f t="shared" si="85"/>
        <v>0</v>
      </c>
      <c r="DK54" s="278">
        <f t="shared" si="85"/>
        <v>0</v>
      </c>
      <c r="DL54" s="278">
        <f t="shared" si="85"/>
        <v>0</v>
      </c>
      <c r="DM54" s="278">
        <f t="shared" si="85"/>
        <v>0</v>
      </c>
      <c r="DN54" s="278">
        <f t="shared" si="85"/>
        <v>0</v>
      </c>
      <c r="DO54" s="278">
        <f t="shared" si="85"/>
        <v>0</v>
      </c>
      <c r="DP54" s="278">
        <f t="shared" si="85"/>
        <v>0</v>
      </c>
      <c r="DQ54" s="278">
        <f t="shared" si="85"/>
        <v>0</v>
      </c>
      <c r="DR54" s="278">
        <f t="shared" si="85"/>
        <v>0</v>
      </c>
      <c r="DS54" s="278">
        <f t="shared" si="85"/>
        <v>0</v>
      </c>
      <c r="DT54" s="278">
        <f t="shared" si="85"/>
        <v>0</v>
      </c>
      <c r="DU54" s="278">
        <f t="shared" si="85"/>
        <v>0</v>
      </c>
      <c r="DV54" s="278">
        <f t="shared" si="85"/>
        <v>0</v>
      </c>
      <c r="DW54" s="278">
        <f t="shared" si="85"/>
        <v>0</v>
      </c>
      <c r="DX54" s="278">
        <f t="shared" si="85"/>
        <v>0</v>
      </c>
      <c r="DY54" s="278">
        <f t="shared" si="85"/>
        <v>0</v>
      </c>
      <c r="DZ54" s="278">
        <f t="shared" si="85"/>
        <v>0</v>
      </c>
      <c r="EA54" s="278">
        <f t="shared" ref="EA54:FF54" si="86">SUM(EA42:EA53)</f>
        <v>0</v>
      </c>
      <c r="EB54" s="278">
        <f t="shared" si="86"/>
        <v>0</v>
      </c>
      <c r="EC54" s="278">
        <f t="shared" si="86"/>
        <v>0</v>
      </c>
      <c r="ED54" s="278">
        <f t="shared" si="86"/>
        <v>0</v>
      </c>
      <c r="EE54" s="278">
        <f t="shared" si="86"/>
        <v>0</v>
      </c>
      <c r="EF54" s="278">
        <f t="shared" si="86"/>
        <v>0</v>
      </c>
      <c r="EG54" s="278">
        <f t="shared" si="86"/>
        <v>0</v>
      </c>
      <c r="EH54" s="278">
        <f t="shared" si="86"/>
        <v>0</v>
      </c>
      <c r="EI54" s="278">
        <f t="shared" si="86"/>
        <v>0</v>
      </c>
      <c r="EJ54" s="278">
        <f t="shared" si="86"/>
        <v>0</v>
      </c>
      <c r="EK54" s="278">
        <f t="shared" si="86"/>
        <v>0</v>
      </c>
      <c r="EL54" s="278">
        <f t="shared" si="86"/>
        <v>0</v>
      </c>
      <c r="EM54" s="278">
        <f t="shared" si="86"/>
        <v>0</v>
      </c>
      <c r="EN54" s="278">
        <f t="shared" si="86"/>
        <v>0</v>
      </c>
      <c r="EO54" s="278">
        <f t="shared" si="86"/>
        <v>0</v>
      </c>
      <c r="EP54" s="278">
        <f t="shared" si="86"/>
        <v>0</v>
      </c>
      <c r="EQ54" s="278">
        <f t="shared" si="86"/>
        <v>0</v>
      </c>
      <c r="ER54" s="278">
        <f t="shared" si="86"/>
        <v>0</v>
      </c>
      <c r="ES54" s="278">
        <f t="shared" si="86"/>
        <v>0</v>
      </c>
      <c r="ET54" s="278">
        <f t="shared" si="86"/>
        <v>0</v>
      </c>
      <c r="EU54" s="278">
        <f t="shared" si="86"/>
        <v>0</v>
      </c>
      <c r="EV54" s="278">
        <f t="shared" si="86"/>
        <v>0</v>
      </c>
      <c r="EW54" s="278">
        <f t="shared" si="86"/>
        <v>0</v>
      </c>
      <c r="EX54" s="278">
        <f t="shared" si="86"/>
        <v>0</v>
      </c>
      <c r="EY54" s="278">
        <f t="shared" si="86"/>
        <v>0</v>
      </c>
      <c r="EZ54" s="278">
        <f t="shared" si="86"/>
        <v>0</v>
      </c>
      <c r="FA54" s="278">
        <f t="shared" si="86"/>
        <v>0</v>
      </c>
      <c r="FB54" s="278">
        <f t="shared" si="86"/>
        <v>0</v>
      </c>
      <c r="FC54" s="278">
        <f t="shared" si="86"/>
        <v>0</v>
      </c>
      <c r="FD54" s="278">
        <f t="shared" si="86"/>
        <v>0</v>
      </c>
      <c r="FE54" s="278">
        <f t="shared" si="86"/>
        <v>0</v>
      </c>
      <c r="FF54" s="278">
        <f t="shared" si="86"/>
        <v>0</v>
      </c>
      <c r="FG54" s="278">
        <f t="shared" ref="FG54:GL54" si="87">SUM(FG42:FG53)</f>
        <v>0</v>
      </c>
      <c r="FH54" s="278">
        <f t="shared" si="87"/>
        <v>0</v>
      </c>
      <c r="FI54" s="278">
        <f t="shared" si="87"/>
        <v>0</v>
      </c>
      <c r="FJ54" s="278">
        <f t="shared" si="87"/>
        <v>0</v>
      </c>
      <c r="FK54" s="278">
        <f t="shared" si="87"/>
        <v>0</v>
      </c>
      <c r="FL54" s="278">
        <f t="shared" si="87"/>
        <v>0</v>
      </c>
      <c r="FM54" s="278">
        <f t="shared" si="87"/>
        <v>0</v>
      </c>
      <c r="FN54" s="278">
        <f t="shared" si="87"/>
        <v>0</v>
      </c>
      <c r="FO54" s="278">
        <f t="shared" si="87"/>
        <v>0</v>
      </c>
      <c r="FP54" s="278">
        <f t="shared" si="87"/>
        <v>0</v>
      </c>
      <c r="FQ54" s="278">
        <f t="shared" si="87"/>
        <v>0</v>
      </c>
      <c r="FR54" s="278">
        <f t="shared" si="87"/>
        <v>0</v>
      </c>
      <c r="FS54" s="278">
        <f t="shared" si="87"/>
        <v>0</v>
      </c>
      <c r="FT54" s="278">
        <f t="shared" si="87"/>
        <v>0</v>
      </c>
      <c r="FU54" s="278">
        <f t="shared" si="87"/>
        <v>0</v>
      </c>
      <c r="FV54" s="278">
        <f t="shared" si="87"/>
        <v>0</v>
      </c>
      <c r="FW54" s="278">
        <f t="shared" si="87"/>
        <v>0</v>
      </c>
      <c r="FX54" s="278">
        <f t="shared" si="87"/>
        <v>0</v>
      </c>
      <c r="FY54" s="278">
        <f t="shared" si="87"/>
        <v>0</v>
      </c>
      <c r="FZ54" s="278">
        <f t="shared" si="87"/>
        <v>0</v>
      </c>
      <c r="GA54" s="278">
        <f t="shared" si="87"/>
        <v>0</v>
      </c>
      <c r="GB54" s="278">
        <f t="shared" si="87"/>
        <v>0</v>
      </c>
      <c r="GC54" s="278">
        <f t="shared" si="87"/>
        <v>0</v>
      </c>
      <c r="GD54" s="278">
        <f t="shared" si="87"/>
        <v>0</v>
      </c>
      <c r="GE54" s="278">
        <f t="shared" si="87"/>
        <v>0</v>
      </c>
      <c r="GF54" s="278">
        <f t="shared" si="87"/>
        <v>0</v>
      </c>
      <c r="GG54" s="278">
        <f t="shared" si="87"/>
        <v>0</v>
      </c>
      <c r="GH54" s="278">
        <f t="shared" si="87"/>
        <v>0</v>
      </c>
      <c r="GI54" s="278">
        <f t="shared" si="87"/>
        <v>0</v>
      </c>
      <c r="GJ54" s="278">
        <f t="shared" si="87"/>
        <v>0</v>
      </c>
      <c r="GK54" s="278">
        <f t="shared" si="87"/>
        <v>0</v>
      </c>
      <c r="GL54" s="278">
        <f t="shared" si="87"/>
        <v>0</v>
      </c>
      <c r="GM54" s="278">
        <f t="shared" ref="GM54:HR54" si="88">SUM(GM42:GM53)</f>
        <v>0</v>
      </c>
      <c r="GN54" s="278">
        <f t="shared" si="88"/>
        <v>0</v>
      </c>
      <c r="GO54" s="278">
        <f t="shared" si="88"/>
        <v>0</v>
      </c>
      <c r="GP54" s="278">
        <f t="shared" si="88"/>
        <v>0</v>
      </c>
      <c r="GQ54" s="278">
        <f t="shared" si="88"/>
        <v>0</v>
      </c>
      <c r="GR54" s="278">
        <f t="shared" si="88"/>
        <v>0</v>
      </c>
      <c r="GS54" s="278">
        <f t="shared" si="88"/>
        <v>0</v>
      </c>
      <c r="GT54" s="278">
        <f t="shared" si="88"/>
        <v>0</v>
      </c>
      <c r="GU54" s="278">
        <f t="shared" si="88"/>
        <v>0</v>
      </c>
      <c r="GV54" s="278">
        <f t="shared" si="88"/>
        <v>0</v>
      </c>
      <c r="GW54" s="278">
        <f t="shared" si="88"/>
        <v>0</v>
      </c>
      <c r="GX54" s="278">
        <f t="shared" si="88"/>
        <v>0</v>
      </c>
      <c r="GY54" s="278">
        <f t="shared" si="88"/>
        <v>0</v>
      </c>
      <c r="GZ54" s="278">
        <f t="shared" si="88"/>
        <v>0</v>
      </c>
      <c r="HA54" s="278">
        <f t="shared" si="88"/>
        <v>0</v>
      </c>
      <c r="HB54" s="278">
        <f t="shared" si="88"/>
        <v>0</v>
      </c>
      <c r="HC54" s="278">
        <f t="shared" si="88"/>
        <v>0</v>
      </c>
      <c r="HD54" s="278">
        <f t="shared" si="88"/>
        <v>0</v>
      </c>
      <c r="HE54" s="278">
        <f t="shared" si="88"/>
        <v>0</v>
      </c>
      <c r="HF54" s="278">
        <f t="shared" si="88"/>
        <v>0</v>
      </c>
      <c r="HG54" s="278">
        <f t="shared" si="88"/>
        <v>0</v>
      </c>
      <c r="HH54" s="278">
        <f t="shared" si="88"/>
        <v>0</v>
      </c>
      <c r="HI54" s="278">
        <f t="shared" si="88"/>
        <v>0</v>
      </c>
      <c r="HJ54" s="278">
        <f t="shared" si="88"/>
        <v>0</v>
      </c>
      <c r="HK54" s="278">
        <f t="shared" si="88"/>
        <v>0</v>
      </c>
      <c r="HL54" s="278">
        <f t="shared" si="88"/>
        <v>0</v>
      </c>
      <c r="HM54" s="278">
        <f t="shared" si="88"/>
        <v>0</v>
      </c>
      <c r="HN54" s="278">
        <f t="shared" si="88"/>
        <v>0</v>
      </c>
      <c r="HO54" s="278">
        <f t="shared" si="88"/>
        <v>0</v>
      </c>
      <c r="HP54" s="278">
        <f t="shared" si="88"/>
        <v>0</v>
      </c>
      <c r="HQ54" s="278">
        <f t="shared" si="88"/>
        <v>0</v>
      </c>
      <c r="HR54" s="278">
        <f t="shared" si="88"/>
        <v>0</v>
      </c>
      <c r="HS54" s="278">
        <f t="shared" ref="HS54:IP54" si="89">SUM(HS42:HS53)</f>
        <v>0</v>
      </c>
      <c r="HT54" s="278">
        <f t="shared" si="89"/>
        <v>0</v>
      </c>
      <c r="HU54" s="278">
        <f t="shared" si="89"/>
        <v>0</v>
      </c>
      <c r="HV54" s="278">
        <f t="shared" si="89"/>
        <v>0</v>
      </c>
      <c r="HW54" s="278">
        <f t="shared" si="89"/>
        <v>0</v>
      </c>
      <c r="HX54" s="278">
        <f t="shared" si="89"/>
        <v>0</v>
      </c>
      <c r="HY54" s="278">
        <f t="shared" si="89"/>
        <v>0</v>
      </c>
      <c r="HZ54" s="278">
        <f t="shared" si="89"/>
        <v>0</v>
      </c>
      <c r="IA54" s="278">
        <f t="shared" si="89"/>
        <v>0</v>
      </c>
      <c r="IB54" s="278">
        <f t="shared" si="89"/>
        <v>0</v>
      </c>
      <c r="IC54" s="278">
        <f t="shared" si="89"/>
        <v>0</v>
      </c>
      <c r="ID54" s="278">
        <f t="shared" si="89"/>
        <v>0</v>
      </c>
      <c r="IE54" s="278">
        <f t="shared" si="89"/>
        <v>0</v>
      </c>
      <c r="IF54" s="278">
        <f t="shared" si="89"/>
        <v>0</v>
      </c>
      <c r="IG54" s="278">
        <f t="shared" si="89"/>
        <v>0</v>
      </c>
      <c r="IH54" s="278">
        <f t="shared" si="89"/>
        <v>0</v>
      </c>
      <c r="II54" s="278">
        <f t="shared" si="89"/>
        <v>0</v>
      </c>
      <c r="IJ54" s="278">
        <f t="shared" si="89"/>
        <v>0</v>
      </c>
      <c r="IK54" s="278">
        <f t="shared" si="89"/>
        <v>0</v>
      </c>
      <c r="IL54" s="278">
        <f t="shared" si="89"/>
        <v>0</v>
      </c>
      <c r="IM54" s="278">
        <f t="shared" si="89"/>
        <v>0</v>
      </c>
      <c r="IN54" s="278">
        <f t="shared" si="89"/>
        <v>0</v>
      </c>
      <c r="IO54" s="278">
        <f t="shared" si="89"/>
        <v>0</v>
      </c>
      <c r="IP54" s="278">
        <f t="shared" si="89"/>
        <v>0</v>
      </c>
      <c r="IQ54" s="278">
        <f t="shared" si="80"/>
        <v>0</v>
      </c>
      <c r="IR54" s="278">
        <f t="shared" si="80"/>
        <v>0</v>
      </c>
      <c r="IS54" s="278">
        <f t="shared" si="80"/>
        <v>0</v>
      </c>
      <c r="IT54" s="278">
        <f t="shared" si="80"/>
        <v>0</v>
      </c>
    </row>
    <row r="55" spans="1:254" ht="15" customHeight="1">
      <c r="A55" s="429"/>
      <c r="B55" s="430" t="s">
        <v>175</v>
      </c>
      <c r="C55" s="277">
        <f>+C40+C54</f>
        <v>-1825</v>
      </c>
      <c r="D55" s="277">
        <f>+D40+D54</f>
        <v>-1825</v>
      </c>
      <c r="E55" s="277">
        <f>+E40+E54</f>
        <v>2610.2499999999991</v>
      </c>
      <c r="F55" s="277">
        <f>+F40+F54</f>
        <v>4435.2499999999991</v>
      </c>
      <c r="G55" s="277">
        <f t="shared" ref="G55:AT55" si="90">+G40+G54</f>
        <v>-6875</v>
      </c>
      <c r="H55" s="277">
        <f t="shared" si="90"/>
        <v>-6875</v>
      </c>
      <c r="I55" s="277">
        <f t="shared" si="90"/>
        <v>2044.2099999999991</v>
      </c>
      <c r="J55" s="277">
        <f t="shared" si="90"/>
        <v>8919.2099999999991</v>
      </c>
      <c r="K55" s="277">
        <f t="shared" si="90"/>
        <v>-6508</v>
      </c>
      <c r="L55" s="277">
        <f t="shared" si="90"/>
        <v>-6508</v>
      </c>
      <c r="M55" s="277">
        <f t="shared" si="90"/>
        <v>-2647.63</v>
      </c>
      <c r="N55" s="277">
        <f t="shared" si="90"/>
        <v>3860.3700000000003</v>
      </c>
      <c r="O55" s="277">
        <f t="shared" si="90"/>
        <v>0</v>
      </c>
      <c r="P55" s="277">
        <f t="shared" si="90"/>
        <v>0</v>
      </c>
      <c r="Q55" s="277">
        <f t="shared" si="90"/>
        <v>0</v>
      </c>
      <c r="R55" s="277">
        <f t="shared" si="90"/>
        <v>0</v>
      </c>
      <c r="S55" s="277">
        <f t="shared" si="90"/>
        <v>0</v>
      </c>
      <c r="T55" s="277">
        <f t="shared" si="90"/>
        <v>0</v>
      </c>
      <c r="U55" s="277">
        <f t="shared" si="90"/>
        <v>0</v>
      </c>
      <c r="V55" s="277">
        <f t="shared" si="90"/>
        <v>0</v>
      </c>
      <c r="W55" s="277">
        <f t="shared" si="90"/>
        <v>0</v>
      </c>
      <c r="X55" s="277">
        <f t="shared" si="90"/>
        <v>0</v>
      </c>
      <c r="Y55" s="277">
        <f t="shared" si="90"/>
        <v>0</v>
      </c>
      <c r="Z55" s="277">
        <f t="shared" si="90"/>
        <v>0</v>
      </c>
      <c r="AA55" s="277">
        <f t="shared" si="90"/>
        <v>0</v>
      </c>
      <c r="AB55" s="277">
        <f t="shared" si="90"/>
        <v>0</v>
      </c>
      <c r="AC55" s="277">
        <f t="shared" si="90"/>
        <v>0</v>
      </c>
      <c r="AD55" s="277">
        <f t="shared" si="90"/>
        <v>0</v>
      </c>
      <c r="AE55" s="277">
        <f t="shared" si="90"/>
        <v>0</v>
      </c>
      <c r="AF55" s="277">
        <f t="shared" si="90"/>
        <v>0</v>
      </c>
      <c r="AG55" s="277">
        <f t="shared" si="90"/>
        <v>0</v>
      </c>
      <c r="AH55" s="277">
        <f t="shared" si="90"/>
        <v>0</v>
      </c>
      <c r="AI55" s="277">
        <f t="shared" si="90"/>
        <v>0</v>
      </c>
      <c r="AJ55" s="277">
        <f t="shared" si="90"/>
        <v>0</v>
      </c>
      <c r="AK55" s="277">
        <f t="shared" si="90"/>
        <v>0</v>
      </c>
      <c r="AL55" s="277">
        <f t="shared" si="90"/>
        <v>0</v>
      </c>
      <c r="AM55" s="277">
        <f t="shared" si="90"/>
        <v>0</v>
      </c>
      <c r="AN55" s="277">
        <f t="shared" si="90"/>
        <v>0</v>
      </c>
      <c r="AO55" s="277">
        <f t="shared" si="90"/>
        <v>0</v>
      </c>
      <c r="AP55" s="277">
        <f t="shared" si="90"/>
        <v>0</v>
      </c>
      <c r="AQ55" s="277">
        <f t="shared" si="90"/>
        <v>0</v>
      </c>
      <c r="AR55" s="277">
        <f t="shared" si="90"/>
        <v>0</v>
      </c>
      <c r="AS55" s="277">
        <f t="shared" si="90"/>
        <v>0</v>
      </c>
      <c r="AT55" s="277">
        <f t="shared" si="90"/>
        <v>0</v>
      </c>
      <c r="AU55" s="277">
        <f t="shared" ref="AU55:BN55" si="91">+AU40+AU54</f>
        <v>0</v>
      </c>
      <c r="AV55" s="277">
        <f t="shared" si="91"/>
        <v>0</v>
      </c>
      <c r="AW55" s="277">
        <f t="shared" si="91"/>
        <v>0</v>
      </c>
      <c r="AX55" s="277">
        <f t="shared" si="91"/>
        <v>0</v>
      </c>
      <c r="AY55" s="277">
        <f t="shared" si="91"/>
        <v>0</v>
      </c>
      <c r="AZ55" s="277">
        <f t="shared" si="91"/>
        <v>0</v>
      </c>
      <c r="BA55" s="277">
        <f t="shared" si="91"/>
        <v>0</v>
      </c>
      <c r="BB55" s="277">
        <f t="shared" si="91"/>
        <v>0</v>
      </c>
      <c r="BC55" s="277">
        <f t="shared" si="91"/>
        <v>0</v>
      </c>
      <c r="BD55" s="277">
        <f t="shared" si="91"/>
        <v>0</v>
      </c>
      <c r="BE55" s="277">
        <f t="shared" si="91"/>
        <v>0</v>
      </c>
      <c r="BF55" s="277">
        <f t="shared" si="91"/>
        <v>0</v>
      </c>
      <c r="BG55" s="277">
        <f t="shared" si="91"/>
        <v>0</v>
      </c>
      <c r="BH55" s="277">
        <f t="shared" si="91"/>
        <v>0</v>
      </c>
      <c r="BI55" s="277">
        <f t="shared" si="91"/>
        <v>0</v>
      </c>
      <c r="BJ55" s="277">
        <f t="shared" si="91"/>
        <v>0</v>
      </c>
      <c r="BK55" s="277">
        <f t="shared" si="91"/>
        <v>0</v>
      </c>
      <c r="BL55" s="277">
        <f t="shared" si="91"/>
        <v>0</v>
      </c>
      <c r="BM55" s="277">
        <f t="shared" si="91"/>
        <v>0</v>
      </c>
      <c r="BN55" s="277">
        <f t="shared" si="91"/>
        <v>0</v>
      </c>
      <c r="BO55" s="277">
        <f t="shared" ref="BO55:CT55" si="92">+BO40+BO54</f>
        <v>0</v>
      </c>
      <c r="BP55" s="277">
        <f t="shared" si="92"/>
        <v>0</v>
      </c>
      <c r="BQ55" s="277">
        <f t="shared" si="92"/>
        <v>0</v>
      </c>
      <c r="BR55" s="277">
        <f t="shared" si="92"/>
        <v>0</v>
      </c>
      <c r="BS55" s="277">
        <f t="shared" si="92"/>
        <v>0</v>
      </c>
      <c r="BT55" s="277">
        <f t="shared" si="92"/>
        <v>0</v>
      </c>
      <c r="BU55" s="277">
        <f t="shared" si="92"/>
        <v>0</v>
      </c>
      <c r="BV55" s="277">
        <f t="shared" si="92"/>
        <v>0</v>
      </c>
      <c r="BW55" s="277">
        <f t="shared" si="92"/>
        <v>0</v>
      </c>
      <c r="BX55" s="277">
        <f t="shared" si="92"/>
        <v>0</v>
      </c>
      <c r="BY55" s="277">
        <f t="shared" si="92"/>
        <v>0</v>
      </c>
      <c r="BZ55" s="277">
        <f t="shared" si="92"/>
        <v>0</v>
      </c>
      <c r="CA55" s="277">
        <f t="shared" si="92"/>
        <v>0</v>
      </c>
      <c r="CB55" s="277">
        <f t="shared" si="92"/>
        <v>0</v>
      </c>
      <c r="CC55" s="277">
        <f t="shared" si="92"/>
        <v>0</v>
      </c>
      <c r="CD55" s="277">
        <f t="shared" si="92"/>
        <v>0</v>
      </c>
      <c r="CE55" s="277">
        <f t="shared" si="92"/>
        <v>0</v>
      </c>
      <c r="CF55" s="277">
        <f t="shared" si="92"/>
        <v>0</v>
      </c>
      <c r="CG55" s="277">
        <f t="shared" si="92"/>
        <v>0</v>
      </c>
      <c r="CH55" s="277">
        <f t="shared" si="92"/>
        <v>0</v>
      </c>
      <c r="CI55" s="277">
        <f t="shared" si="92"/>
        <v>0</v>
      </c>
      <c r="CJ55" s="277">
        <f t="shared" si="92"/>
        <v>0</v>
      </c>
      <c r="CK55" s="277">
        <f t="shared" si="92"/>
        <v>0</v>
      </c>
      <c r="CL55" s="277">
        <f t="shared" si="92"/>
        <v>0</v>
      </c>
      <c r="CM55" s="277">
        <f t="shared" si="92"/>
        <v>0</v>
      </c>
      <c r="CN55" s="277">
        <f t="shared" si="92"/>
        <v>0</v>
      </c>
      <c r="CO55" s="277">
        <f t="shared" si="92"/>
        <v>0</v>
      </c>
      <c r="CP55" s="277">
        <f t="shared" si="92"/>
        <v>0</v>
      </c>
      <c r="CQ55" s="277">
        <f t="shared" si="92"/>
        <v>0</v>
      </c>
      <c r="CR55" s="277">
        <f t="shared" si="92"/>
        <v>0</v>
      </c>
      <c r="CS55" s="277">
        <f t="shared" si="92"/>
        <v>0</v>
      </c>
      <c r="CT55" s="277">
        <f t="shared" si="92"/>
        <v>0</v>
      </c>
      <c r="CU55" s="277">
        <f t="shared" ref="CU55:DZ55" si="93">+CU40+CU54</f>
        <v>0</v>
      </c>
      <c r="CV55" s="277">
        <f t="shared" si="93"/>
        <v>0</v>
      </c>
      <c r="CW55" s="277">
        <f t="shared" si="93"/>
        <v>0</v>
      </c>
      <c r="CX55" s="277">
        <f t="shared" si="93"/>
        <v>0</v>
      </c>
      <c r="CY55" s="277">
        <f t="shared" si="93"/>
        <v>0</v>
      </c>
      <c r="CZ55" s="277">
        <f t="shared" si="93"/>
        <v>0</v>
      </c>
      <c r="DA55" s="277">
        <f t="shared" si="93"/>
        <v>0</v>
      </c>
      <c r="DB55" s="277">
        <f t="shared" si="93"/>
        <v>0</v>
      </c>
      <c r="DC55" s="277">
        <f t="shared" si="93"/>
        <v>0</v>
      </c>
      <c r="DD55" s="277">
        <f t="shared" si="93"/>
        <v>0</v>
      </c>
      <c r="DE55" s="277">
        <f t="shared" si="93"/>
        <v>0</v>
      </c>
      <c r="DF55" s="277">
        <f t="shared" si="93"/>
        <v>0</v>
      </c>
      <c r="DG55" s="277">
        <f t="shared" si="93"/>
        <v>0</v>
      </c>
      <c r="DH55" s="277">
        <f t="shared" si="93"/>
        <v>0</v>
      </c>
      <c r="DI55" s="277">
        <f t="shared" si="93"/>
        <v>0</v>
      </c>
      <c r="DJ55" s="277">
        <f t="shared" si="93"/>
        <v>0</v>
      </c>
      <c r="DK55" s="277">
        <f t="shared" si="93"/>
        <v>0</v>
      </c>
      <c r="DL55" s="277">
        <f t="shared" si="93"/>
        <v>0</v>
      </c>
      <c r="DM55" s="277">
        <f t="shared" si="93"/>
        <v>0</v>
      </c>
      <c r="DN55" s="277">
        <f t="shared" si="93"/>
        <v>0</v>
      </c>
      <c r="DO55" s="277">
        <f t="shared" si="93"/>
        <v>0</v>
      </c>
      <c r="DP55" s="277">
        <f t="shared" si="93"/>
        <v>0</v>
      </c>
      <c r="DQ55" s="277">
        <f t="shared" si="93"/>
        <v>0</v>
      </c>
      <c r="DR55" s="277">
        <f t="shared" si="93"/>
        <v>0</v>
      </c>
      <c r="DS55" s="277">
        <f t="shared" si="93"/>
        <v>0</v>
      </c>
      <c r="DT55" s="277">
        <f t="shared" si="93"/>
        <v>0</v>
      </c>
      <c r="DU55" s="277">
        <f t="shared" si="93"/>
        <v>0</v>
      </c>
      <c r="DV55" s="277">
        <f t="shared" si="93"/>
        <v>0</v>
      </c>
      <c r="DW55" s="277">
        <f t="shared" si="93"/>
        <v>0</v>
      </c>
      <c r="DX55" s="277">
        <f t="shared" si="93"/>
        <v>0</v>
      </c>
      <c r="DY55" s="277">
        <f t="shared" si="93"/>
        <v>0</v>
      </c>
      <c r="DZ55" s="277">
        <f t="shared" si="93"/>
        <v>0</v>
      </c>
      <c r="EA55" s="277">
        <f t="shared" ref="EA55:EH55" si="94">+EA40+EA54</f>
        <v>0</v>
      </c>
      <c r="EB55" s="277">
        <f t="shared" si="94"/>
        <v>0</v>
      </c>
      <c r="EC55" s="277">
        <f t="shared" si="94"/>
        <v>0</v>
      </c>
      <c r="ED55" s="277">
        <f t="shared" si="94"/>
        <v>0</v>
      </c>
      <c r="EE55" s="277">
        <f t="shared" si="94"/>
        <v>0</v>
      </c>
      <c r="EF55" s="277">
        <f t="shared" si="94"/>
        <v>0</v>
      </c>
      <c r="EG55" s="277">
        <f t="shared" si="94"/>
        <v>0</v>
      </c>
      <c r="EH55" s="277">
        <f t="shared" si="94"/>
        <v>0</v>
      </c>
      <c r="EI55" s="277">
        <f t="shared" ref="EI55:FN55" si="95">+EI40+EI54</f>
        <v>0</v>
      </c>
      <c r="EJ55" s="277">
        <f t="shared" si="95"/>
        <v>0</v>
      </c>
      <c r="EK55" s="277">
        <f t="shared" si="95"/>
        <v>0</v>
      </c>
      <c r="EL55" s="277">
        <f t="shared" si="95"/>
        <v>0</v>
      </c>
      <c r="EM55" s="277">
        <f t="shared" si="95"/>
        <v>0</v>
      </c>
      <c r="EN55" s="277">
        <f t="shared" si="95"/>
        <v>0</v>
      </c>
      <c r="EO55" s="277">
        <f t="shared" si="95"/>
        <v>0</v>
      </c>
      <c r="EP55" s="277">
        <f t="shared" si="95"/>
        <v>0</v>
      </c>
      <c r="EQ55" s="277">
        <f t="shared" si="95"/>
        <v>0</v>
      </c>
      <c r="ER55" s="277">
        <f t="shared" si="95"/>
        <v>0</v>
      </c>
      <c r="ES55" s="277">
        <f t="shared" si="95"/>
        <v>0</v>
      </c>
      <c r="ET55" s="277">
        <f t="shared" si="95"/>
        <v>0</v>
      </c>
      <c r="EU55" s="277">
        <f t="shared" si="95"/>
        <v>0</v>
      </c>
      <c r="EV55" s="277">
        <f t="shared" si="95"/>
        <v>0</v>
      </c>
      <c r="EW55" s="277">
        <f t="shared" si="95"/>
        <v>0</v>
      </c>
      <c r="EX55" s="277">
        <f t="shared" si="95"/>
        <v>0</v>
      </c>
      <c r="EY55" s="277">
        <f t="shared" si="95"/>
        <v>0</v>
      </c>
      <c r="EZ55" s="277">
        <f t="shared" si="95"/>
        <v>0</v>
      </c>
      <c r="FA55" s="277">
        <f t="shared" si="95"/>
        <v>0</v>
      </c>
      <c r="FB55" s="277">
        <f t="shared" si="95"/>
        <v>0</v>
      </c>
      <c r="FC55" s="277">
        <f t="shared" si="95"/>
        <v>0</v>
      </c>
      <c r="FD55" s="277">
        <f t="shared" si="95"/>
        <v>0</v>
      </c>
      <c r="FE55" s="277">
        <f t="shared" si="95"/>
        <v>0</v>
      </c>
      <c r="FF55" s="277">
        <f t="shared" si="95"/>
        <v>0</v>
      </c>
      <c r="FG55" s="277">
        <f t="shared" si="95"/>
        <v>0</v>
      </c>
      <c r="FH55" s="277">
        <f t="shared" si="95"/>
        <v>0</v>
      </c>
      <c r="FI55" s="277">
        <f t="shared" si="95"/>
        <v>0</v>
      </c>
      <c r="FJ55" s="277">
        <f t="shared" si="95"/>
        <v>0</v>
      </c>
      <c r="FK55" s="277">
        <f t="shared" si="95"/>
        <v>0</v>
      </c>
      <c r="FL55" s="277">
        <f t="shared" si="95"/>
        <v>0</v>
      </c>
      <c r="FM55" s="277">
        <f t="shared" si="95"/>
        <v>0</v>
      </c>
      <c r="FN55" s="277">
        <f t="shared" si="95"/>
        <v>0</v>
      </c>
      <c r="FO55" s="277">
        <f t="shared" ref="FO55:GT55" si="96">+FO40+FO54</f>
        <v>0</v>
      </c>
      <c r="FP55" s="277">
        <f t="shared" si="96"/>
        <v>0</v>
      </c>
      <c r="FQ55" s="277">
        <f t="shared" si="96"/>
        <v>0</v>
      </c>
      <c r="FR55" s="277">
        <f t="shared" si="96"/>
        <v>0</v>
      </c>
      <c r="FS55" s="277">
        <f t="shared" si="96"/>
        <v>0</v>
      </c>
      <c r="FT55" s="277">
        <f t="shared" si="96"/>
        <v>0</v>
      </c>
      <c r="FU55" s="277">
        <f t="shared" si="96"/>
        <v>0</v>
      </c>
      <c r="FV55" s="277">
        <f t="shared" si="96"/>
        <v>0</v>
      </c>
      <c r="FW55" s="277">
        <f t="shared" si="96"/>
        <v>0</v>
      </c>
      <c r="FX55" s="277">
        <f t="shared" si="96"/>
        <v>0</v>
      </c>
      <c r="FY55" s="277">
        <f t="shared" si="96"/>
        <v>0</v>
      </c>
      <c r="FZ55" s="277">
        <f t="shared" si="96"/>
        <v>0</v>
      </c>
      <c r="GA55" s="277">
        <f t="shared" si="96"/>
        <v>0</v>
      </c>
      <c r="GB55" s="277">
        <f t="shared" si="96"/>
        <v>0</v>
      </c>
      <c r="GC55" s="277">
        <f t="shared" si="96"/>
        <v>0</v>
      </c>
      <c r="GD55" s="277">
        <f t="shared" si="96"/>
        <v>0</v>
      </c>
      <c r="GE55" s="277">
        <f t="shared" si="96"/>
        <v>0</v>
      </c>
      <c r="GF55" s="277">
        <f t="shared" si="96"/>
        <v>0</v>
      </c>
      <c r="GG55" s="277">
        <f t="shared" si="96"/>
        <v>0</v>
      </c>
      <c r="GH55" s="277">
        <f t="shared" si="96"/>
        <v>0</v>
      </c>
      <c r="GI55" s="277">
        <f t="shared" si="96"/>
        <v>0</v>
      </c>
      <c r="GJ55" s="277">
        <f t="shared" si="96"/>
        <v>0</v>
      </c>
      <c r="GK55" s="277">
        <f t="shared" si="96"/>
        <v>0</v>
      </c>
      <c r="GL55" s="277">
        <f t="shared" si="96"/>
        <v>0</v>
      </c>
      <c r="GM55" s="277">
        <f t="shared" si="96"/>
        <v>0</v>
      </c>
      <c r="GN55" s="277">
        <f t="shared" si="96"/>
        <v>0</v>
      </c>
      <c r="GO55" s="277">
        <f t="shared" si="96"/>
        <v>0</v>
      </c>
      <c r="GP55" s="277">
        <f t="shared" si="96"/>
        <v>0</v>
      </c>
      <c r="GQ55" s="277">
        <f t="shared" si="96"/>
        <v>0</v>
      </c>
      <c r="GR55" s="277">
        <f t="shared" si="96"/>
        <v>0</v>
      </c>
      <c r="GS55" s="277">
        <f t="shared" si="96"/>
        <v>0</v>
      </c>
      <c r="GT55" s="277">
        <f t="shared" si="96"/>
        <v>0</v>
      </c>
      <c r="GU55" s="277">
        <f t="shared" ref="GU55:IP55" si="97">+GU40+GU54</f>
        <v>0</v>
      </c>
      <c r="GV55" s="277">
        <f t="shared" si="97"/>
        <v>0</v>
      </c>
      <c r="GW55" s="277">
        <f t="shared" si="97"/>
        <v>0</v>
      </c>
      <c r="GX55" s="277">
        <f t="shared" si="97"/>
        <v>0</v>
      </c>
      <c r="GY55" s="277">
        <f t="shared" si="97"/>
        <v>0</v>
      </c>
      <c r="GZ55" s="277">
        <f t="shared" si="97"/>
        <v>0</v>
      </c>
      <c r="HA55" s="277">
        <f t="shared" si="97"/>
        <v>0</v>
      </c>
      <c r="HB55" s="277">
        <f t="shared" si="97"/>
        <v>0</v>
      </c>
      <c r="HC55" s="277">
        <f t="shared" si="97"/>
        <v>0</v>
      </c>
      <c r="HD55" s="277">
        <f t="shared" si="97"/>
        <v>0</v>
      </c>
      <c r="HE55" s="277">
        <f t="shared" si="97"/>
        <v>0</v>
      </c>
      <c r="HF55" s="277">
        <f t="shared" si="97"/>
        <v>0</v>
      </c>
      <c r="HG55" s="277">
        <f t="shared" si="97"/>
        <v>0</v>
      </c>
      <c r="HH55" s="277">
        <f t="shared" si="97"/>
        <v>0</v>
      </c>
      <c r="HI55" s="277">
        <f t="shared" si="97"/>
        <v>0</v>
      </c>
      <c r="HJ55" s="277">
        <f t="shared" si="97"/>
        <v>0</v>
      </c>
      <c r="HK55" s="277">
        <f t="shared" si="97"/>
        <v>0</v>
      </c>
      <c r="HL55" s="277">
        <f t="shared" si="97"/>
        <v>0</v>
      </c>
      <c r="HM55" s="277">
        <f t="shared" si="97"/>
        <v>0</v>
      </c>
      <c r="HN55" s="277">
        <f t="shared" si="97"/>
        <v>0</v>
      </c>
      <c r="HO55" s="277">
        <f t="shared" si="97"/>
        <v>0</v>
      </c>
      <c r="HP55" s="277">
        <f t="shared" si="97"/>
        <v>0</v>
      </c>
      <c r="HQ55" s="277">
        <f t="shared" si="97"/>
        <v>0</v>
      </c>
      <c r="HR55" s="277">
        <f t="shared" si="97"/>
        <v>0</v>
      </c>
      <c r="HS55" s="277">
        <f t="shared" si="97"/>
        <v>0</v>
      </c>
      <c r="HT55" s="277">
        <f t="shared" si="97"/>
        <v>0</v>
      </c>
      <c r="HU55" s="277">
        <f t="shared" si="97"/>
        <v>0</v>
      </c>
      <c r="HV55" s="277">
        <f t="shared" si="97"/>
        <v>0</v>
      </c>
      <c r="HW55" s="277">
        <f t="shared" si="97"/>
        <v>0</v>
      </c>
      <c r="HX55" s="277">
        <f t="shared" si="97"/>
        <v>0</v>
      </c>
      <c r="HY55" s="277">
        <f t="shared" si="97"/>
        <v>0</v>
      </c>
      <c r="HZ55" s="277">
        <f t="shared" si="97"/>
        <v>0</v>
      </c>
      <c r="IA55" s="277">
        <f t="shared" si="97"/>
        <v>0</v>
      </c>
      <c r="IB55" s="277">
        <f t="shared" si="97"/>
        <v>0</v>
      </c>
      <c r="IC55" s="277">
        <f t="shared" si="97"/>
        <v>0</v>
      </c>
      <c r="ID55" s="277">
        <f t="shared" si="97"/>
        <v>0</v>
      </c>
      <c r="IE55" s="277">
        <f t="shared" si="97"/>
        <v>0</v>
      </c>
      <c r="IF55" s="277">
        <f t="shared" si="97"/>
        <v>0</v>
      </c>
      <c r="IG55" s="277">
        <f t="shared" si="97"/>
        <v>0</v>
      </c>
      <c r="IH55" s="277">
        <f t="shared" si="97"/>
        <v>0</v>
      </c>
      <c r="II55" s="277">
        <f t="shared" si="97"/>
        <v>0</v>
      </c>
      <c r="IJ55" s="277">
        <f t="shared" si="97"/>
        <v>0</v>
      </c>
      <c r="IK55" s="277">
        <f t="shared" si="97"/>
        <v>0</v>
      </c>
      <c r="IL55" s="277">
        <f t="shared" si="97"/>
        <v>0</v>
      </c>
      <c r="IM55" s="277">
        <f t="shared" si="97"/>
        <v>0</v>
      </c>
      <c r="IN55" s="277">
        <f t="shared" si="97"/>
        <v>0</v>
      </c>
      <c r="IO55" s="277">
        <f t="shared" si="97"/>
        <v>0</v>
      </c>
      <c r="IP55" s="277">
        <f t="shared" si="97"/>
        <v>0</v>
      </c>
      <c r="IQ55" s="277">
        <f t="shared" si="80"/>
        <v>-15208</v>
      </c>
      <c r="IR55" s="277">
        <f t="shared" si="80"/>
        <v>-15208</v>
      </c>
      <c r="IS55" s="277">
        <f t="shared" si="80"/>
        <v>2006.8299999999981</v>
      </c>
      <c r="IT55" s="277">
        <f t="shared" si="80"/>
        <v>17214.829999999998</v>
      </c>
    </row>
    <row r="56" spans="1:254" ht="30" customHeight="1">
      <c r="A56" s="301"/>
      <c r="B56" s="324" t="str">
        <f>+'GENERAL FUND-OPERATING(48-53)'!B295</f>
        <v>Fund balances - July 1, 2016 as previously reported</v>
      </c>
      <c r="C56" s="303"/>
      <c r="D56" s="303"/>
      <c r="E56" s="269">
        <v>482.82</v>
      </c>
      <c r="F56" s="277"/>
      <c r="G56" s="307"/>
      <c r="H56" s="307"/>
      <c r="I56" s="269">
        <v>18822.240000000002</v>
      </c>
      <c r="J56" s="277"/>
      <c r="K56" s="307"/>
      <c r="L56" s="307"/>
      <c r="M56" s="269">
        <v>8710.4699999999993</v>
      </c>
      <c r="N56" s="277"/>
      <c r="O56" s="307"/>
      <c r="P56" s="307"/>
      <c r="Q56" s="269"/>
      <c r="R56" s="277"/>
      <c r="S56" s="307"/>
      <c r="T56" s="307"/>
      <c r="U56" s="269"/>
      <c r="V56" s="277"/>
      <c r="W56" s="307"/>
      <c r="X56" s="307"/>
      <c r="Y56" s="269"/>
      <c r="Z56" s="269"/>
      <c r="AA56" s="307"/>
      <c r="AB56" s="307"/>
      <c r="AC56" s="269"/>
      <c r="AD56" s="277"/>
      <c r="AE56" s="303"/>
      <c r="AF56" s="303"/>
      <c r="AG56" s="269"/>
      <c r="AH56" s="277"/>
      <c r="AI56" s="307"/>
      <c r="AJ56" s="307"/>
      <c r="AK56" s="269"/>
      <c r="AL56" s="277"/>
      <c r="AM56" s="307"/>
      <c r="AN56" s="307"/>
      <c r="AO56" s="269"/>
      <c r="AP56" s="277"/>
      <c r="AQ56" s="307"/>
      <c r="AR56" s="307"/>
      <c r="AS56" s="269"/>
      <c r="AT56" s="277"/>
      <c r="AU56" s="307"/>
      <c r="AV56" s="307"/>
      <c r="AW56" s="269"/>
      <c r="AX56" s="277"/>
      <c r="AY56" s="307"/>
      <c r="AZ56" s="307"/>
      <c r="BA56" s="269"/>
      <c r="BB56" s="277"/>
      <c r="BC56" s="307"/>
      <c r="BD56" s="307"/>
      <c r="BE56" s="269"/>
      <c r="BF56" s="277"/>
      <c r="BG56" s="307"/>
      <c r="BH56" s="307"/>
      <c r="BI56" s="269"/>
      <c r="BJ56" s="277"/>
      <c r="BK56" s="307"/>
      <c r="BL56" s="307"/>
      <c r="BM56" s="269"/>
      <c r="BN56" s="277"/>
      <c r="BO56" s="307"/>
      <c r="BP56" s="307"/>
      <c r="BQ56" s="269"/>
      <c r="BR56" s="277"/>
      <c r="BS56" s="307"/>
      <c r="BT56" s="307"/>
      <c r="BU56" s="269"/>
      <c r="BV56" s="277"/>
      <c r="BW56" s="307"/>
      <c r="BX56" s="307"/>
      <c r="BY56" s="269"/>
      <c r="BZ56" s="277"/>
      <c r="CA56" s="307"/>
      <c r="CB56" s="307"/>
      <c r="CC56" s="269"/>
      <c r="CD56" s="277"/>
      <c r="CE56" s="307"/>
      <c r="CF56" s="307"/>
      <c r="CG56" s="269"/>
      <c r="CH56" s="277"/>
      <c r="CI56" s="307"/>
      <c r="CJ56" s="307"/>
      <c r="CK56" s="269"/>
      <c r="CL56" s="277"/>
      <c r="CM56" s="307"/>
      <c r="CN56" s="307"/>
      <c r="CO56" s="269"/>
      <c r="CP56" s="277"/>
      <c r="CQ56" s="307"/>
      <c r="CR56" s="307"/>
      <c r="CS56" s="269"/>
      <c r="CT56" s="277"/>
      <c r="CU56" s="307"/>
      <c r="CV56" s="307"/>
      <c r="CW56" s="269"/>
      <c r="CX56" s="277"/>
      <c r="CY56" s="307"/>
      <c r="CZ56" s="307"/>
      <c r="DA56" s="269"/>
      <c r="DB56" s="277"/>
      <c r="DC56" s="307"/>
      <c r="DD56" s="307"/>
      <c r="DE56" s="269"/>
      <c r="DF56" s="277"/>
      <c r="DG56" s="307"/>
      <c r="DH56" s="307"/>
      <c r="DI56" s="269"/>
      <c r="DJ56" s="277"/>
      <c r="DK56" s="307"/>
      <c r="DL56" s="307"/>
      <c r="DM56" s="269"/>
      <c r="DN56" s="277"/>
      <c r="DO56" s="307"/>
      <c r="DP56" s="307"/>
      <c r="DQ56" s="269"/>
      <c r="DR56" s="277"/>
      <c r="DS56" s="307"/>
      <c r="DT56" s="307"/>
      <c r="DU56" s="269"/>
      <c r="DV56" s="277"/>
      <c r="DW56" s="307"/>
      <c r="DX56" s="307"/>
      <c r="DY56" s="269"/>
      <c r="DZ56" s="277"/>
      <c r="EA56" s="307"/>
      <c r="EB56" s="307"/>
      <c r="EC56" s="269"/>
      <c r="ED56" s="277"/>
      <c r="EE56" s="307"/>
      <c r="EF56" s="307"/>
      <c r="EG56" s="269"/>
      <c r="EH56" s="277"/>
      <c r="EI56" s="307"/>
      <c r="EJ56" s="307"/>
      <c r="EK56" s="269"/>
      <c r="EL56" s="277"/>
      <c r="EM56" s="307"/>
      <c r="EN56" s="307"/>
      <c r="EO56" s="269"/>
      <c r="EP56" s="277"/>
      <c r="EQ56" s="307"/>
      <c r="ER56" s="307"/>
      <c r="ES56" s="269"/>
      <c r="ET56" s="277"/>
      <c r="EU56" s="307"/>
      <c r="EV56" s="307"/>
      <c r="EW56" s="269"/>
      <c r="EX56" s="277"/>
      <c r="EY56" s="307"/>
      <c r="EZ56" s="307"/>
      <c r="FA56" s="269"/>
      <c r="FB56" s="277"/>
      <c r="FC56" s="307"/>
      <c r="FD56" s="307"/>
      <c r="FE56" s="269"/>
      <c r="FF56" s="277"/>
      <c r="FG56" s="307"/>
      <c r="FH56" s="307"/>
      <c r="FI56" s="269"/>
      <c r="FJ56" s="277"/>
      <c r="FK56" s="307"/>
      <c r="FL56" s="307"/>
      <c r="FM56" s="269"/>
      <c r="FN56" s="277"/>
      <c r="FO56" s="307"/>
      <c r="FP56" s="307"/>
      <c r="FQ56" s="269"/>
      <c r="FR56" s="277"/>
      <c r="FS56" s="307"/>
      <c r="FT56" s="307"/>
      <c r="FU56" s="269"/>
      <c r="FV56" s="277"/>
      <c r="FW56" s="307"/>
      <c r="FX56" s="307"/>
      <c r="FY56" s="269"/>
      <c r="FZ56" s="277"/>
      <c r="GA56" s="307"/>
      <c r="GB56" s="307"/>
      <c r="GC56" s="269"/>
      <c r="GD56" s="277"/>
      <c r="GE56" s="307"/>
      <c r="GF56" s="307"/>
      <c r="GG56" s="269"/>
      <c r="GH56" s="277"/>
      <c r="GI56" s="307"/>
      <c r="GJ56" s="307"/>
      <c r="GK56" s="269"/>
      <c r="GL56" s="277"/>
      <c r="GM56" s="307"/>
      <c r="GN56" s="307"/>
      <c r="GO56" s="269"/>
      <c r="GP56" s="277"/>
      <c r="GQ56" s="307"/>
      <c r="GR56" s="307"/>
      <c r="GS56" s="269"/>
      <c r="GT56" s="277"/>
      <c r="GU56" s="307"/>
      <c r="GV56" s="307"/>
      <c r="GW56" s="269"/>
      <c r="GX56" s="277"/>
      <c r="GY56" s="303"/>
      <c r="GZ56" s="303"/>
      <c r="HA56" s="269"/>
      <c r="HB56" s="277"/>
      <c r="HC56" s="307"/>
      <c r="HD56" s="307"/>
      <c r="HE56" s="269"/>
      <c r="HF56" s="277"/>
      <c r="HG56" s="307"/>
      <c r="HH56" s="307"/>
      <c r="HI56" s="269"/>
      <c r="HJ56" s="277"/>
      <c r="HK56" s="307"/>
      <c r="HL56" s="307"/>
      <c r="HM56" s="269"/>
      <c r="HN56" s="277"/>
      <c r="HO56" s="307"/>
      <c r="HP56" s="307"/>
      <c r="HQ56" s="269"/>
      <c r="HR56" s="277"/>
      <c r="HS56" s="307"/>
      <c r="HT56" s="307"/>
      <c r="HU56" s="269"/>
      <c r="HV56" s="277"/>
      <c r="HW56" s="307"/>
      <c r="HX56" s="307"/>
      <c r="HY56" s="269"/>
      <c r="HZ56" s="277"/>
      <c r="IA56" s="307"/>
      <c r="IB56" s="307"/>
      <c r="IC56" s="269"/>
      <c r="ID56" s="277"/>
      <c r="IE56" s="307"/>
      <c r="IF56" s="307"/>
      <c r="IG56" s="269"/>
      <c r="IH56" s="277"/>
      <c r="II56" s="307"/>
      <c r="IJ56" s="307"/>
      <c r="IK56" s="269"/>
      <c r="IL56" s="277"/>
      <c r="IM56" s="307"/>
      <c r="IN56" s="307"/>
      <c r="IO56" s="269"/>
      <c r="IP56" s="277"/>
      <c r="IQ56" s="277"/>
      <c r="IR56" s="277"/>
      <c r="IS56" s="277">
        <f t="shared" si="80"/>
        <v>28015.53</v>
      </c>
      <c r="IT56" s="277"/>
    </row>
    <row r="57" spans="1:254" ht="15" customHeight="1" thickBot="1">
      <c r="A57" s="301"/>
      <c r="B57" s="268" t="s">
        <v>699</v>
      </c>
      <c r="C57" s="303"/>
      <c r="D57" s="303"/>
      <c r="E57" s="271"/>
      <c r="F57" s="307"/>
      <c r="G57" s="307"/>
      <c r="H57" s="307"/>
      <c r="I57" s="271"/>
      <c r="J57" s="307"/>
      <c r="K57" s="307"/>
      <c r="L57" s="307"/>
      <c r="M57" s="271"/>
      <c r="N57" s="307"/>
      <c r="O57" s="307"/>
      <c r="P57" s="307"/>
      <c r="Q57" s="271"/>
      <c r="R57" s="307"/>
      <c r="S57" s="307"/>
      <c r="T57" s="307"/>
      <c r="U57" s="271"/>
      <c r="V57" s="307"/>
      <c r="W57" s="307"/>
      <c r="X57" s="307"/>
      <c r="Y57" s="271"/>
      <c r="Z57" s="303"/>
      <c r="AA57" s="307"/>
      <c r="AB57" s="307"/>
      <c r="AC57" s="271"/>
      <c r="AD57" s="307"/>
      <c r="AE57" s="303"/>
      <c r="AF57" s="303"/>
      <c r="AG57" s="271"/>
      <c r="AH57" s="307"/>
      <c r="AI57" s="307"/>
      <c r="AJ57" s="307"/>
      <c r="AK57" s="271"/>
      <c r="AL57" s="307"/>
      <c r="AM57" s="307"/>
      <c r="AN57" s="307"/>
      <c r="AO57" s="271"/>
      <c r="AP57" s="307"/>
      <c r="AQ57" s="307"/>
      <c r="AR57" s="307"/>
      <c r="AS57" s="271"/>
      <c r="AT57" s="307"/>
      <c r="AU57" s="307"/>
      <c r="AV57" s="307"/>
      <c r="AW57" s="271"/>
      <c r="AX57" s="307"/>
      <c r="AY57" s="307"/>
      <c r="AZ57" s="307"/>
      <c r="BA57" s="271"/>
      <c r="BB57" s="307"/>
      <c r="BC57" s="307"/>
      <c r="BD57" s="307"/>
      <c r="BE57" s="271"/>
      <c r="BF57" s="307"/>
      <c r="BG57" s="307"/>
      <c r="BH57" s="307"/>
      <c r="BI57" s="271"/>
      <c r="BJ57" s="307"/>
      <c r="BK57" s="307"/>
      <c r="BL57" s="307"/>
      <c r="BM57" s="271"/>
      <c r="BN57" s="307"/>
      <c r="BO57" s="307"/>
      <c r="BP57" s="307"/>
      <c r="BQ57" s="271"/>
      <c r="BR57" s="307"/>
      <c r="BS57" s="307"/>
      <c r="BT57" s="307"/>
      <c r="BU57" s="271"/>
      <c r="BV57" s="307"/>
      <c r="BW57" s="307"/>
      <c r="BX57" s="307"/>
      <c r="BY57" s="271"/>
      <c r="BZ57" s="307"/>
      <c r="CA57" s="307"/>
      <c r="CB57" s="307"/>
      <c r="CC57" s="271"/>
      <c r="CD57" s="307"/>
      <c r="CE57" s="307"/>
      <c r="CF57" s="307"/>
      <c r="CG57" s="271"/>
      <c r="CH57" s="307"/>
      <c r="CI57" s="307"/>
      <c r="CJ57" s="307"/>
      <c r="CK57" s="271"/>
      <c r="CL57" s="307"/>
      <c r="CM57" s="307"/>
      <c r="CN57" s="307"/>
      <c r="CO57" s="271"/>
      <c r="CP57" s="307"/>
      <c r="CQ57" s="307"/>
      <c r="CR57" s="307"/>
      <c r="CS57" s="271"/>
      <c r="CT57" s="307"/>
      <c r="CU57" s="307"/>
      <c r="CV57" s="307"/>
      <c r="CW57" s="271"/>
      <c r="CX57" s="307"/>
      <c r="CY57" s="307"/>
      <c r="CZ57" s="307"/>
      <c r="DA57" s="271"/>
      <c r="DB57" s="307"/>
      <c r="DC57" s="307"/>
      <c r="DD57" s="307"/>
      <c r="DE57" s="271"/>
      <c r="DF57" s="307"/>
      <c r="DG57" s="307"/>
      <c r="DH57" s="307"/>
      <c r="DI57" s="271"/>
      <c r="DJ57" s="307"/>
      <c r="DK57" s="307"/>
      <c r="DL57" s="307"/>
      <c r="DM57" s="271"/>
      <c r="DN57" s="307"/>
      <c r="DO57" s="307"/>
      <c r="DP57" s="307"/>
      <c r="DQ57" s="271"/>
      <c r="DR57" s="307"/>
      <c r="DS57" s="307"/>
      <c r="DT57" s="307"/>
      <c r="DU57" s="271"/>
      <c r="DV57" s="307"/>
      <c r="DW57" s="307"/>
      <c r="DX57" s="307"/>
      <c r="DY57" s="271"/>
      <c r="DZ57" s="307"/>
      <c r="EA57" s="307"/>
      <c r="EB57" s="307"/>
      <c r="EC57" s="271"/>
      <c r="ED57" s="307"/>
      <c r="EE57" s="307"/>
      <c r="EF57" s="307"/>
      <c r="EG57" s="271"/>
      <c r="EH57" s="307"/>
      <c r="EI57" s="307"/>
      <c r="EJ57" s="307"/>
      <c r="EK57" s="271"/>
      <c r="EL57" s="307"/>
      <c r="EM57" s="307"/>
      <c r="EN57" s="307"/>
      <c r="EO57" s="271"/>
      <c r="EP57" s="307"/>
      <c r="EQ57" s="307"/>
      <c r="ER57" s="307"/>
      <c r="ES57" s="271"/>
      <c r="ET57" s="307"/>
      <c r="EU57" s="307"/>
      <c r="EV57" s="307"/>
      <c r="EW57" s="271"/>
      <c r="EX57" s="307"/>
      <c r="EY57" s="307"/>
      <c r="EZ57" s="307"/>
      <c r="FA57" s="271"/>
      <c r="FB57" s="307"/>
      <c r="FC57" s="307"/>
      <c r="FD57" s="307"/>
      <c r="FE57" s="271"/>
      <c r="FF57" s="307"/>
      <c r="FG57" s="307"/>
      <c r="FH57" s="307"/>
      <c r="FI57" s="271"/>
      <c r="FJ57" s="307"/>
      <c r="FK57" s="307"/>
      <c r="FL57" s="307"/>
      <c r="FM57" s="271"/>
      <c r="FN57" s="307"/>
      <c r="FO57" s="307"/>
      <c r="FP57" s="307"/>
      <c r="FQ57" s="271"/>
      <c r="FR57" s="307"/>
      <c r="FS57" s="307"/>
      <c r="FT57" s="307"/>
      <c r="FU57" s="271"/>
      <c r="FV57" s="307"/>
      <c r="FW57" s="307"/>
      <c r="FX57" s="307"/>
      <c r="FY57" s="271"/>
      <c r="FZ57" s="307"/>
      <c r="GA57" s="307"/>
      <c r="GB57" s="307"/>
      <c r="GC57" s="271"/>
      <c r="GD57" s="307"/>
      <c r="GE57" s="307"/>
      <c r="GF57" s="307"/>
      <c r="GG57" s="271"/>
      <c r="GH57" s="307"/>
      <c r="GI57" s="307"/>
      <c r="GJ57" s="307"/>
      <c r="GK57" s="271"/>
      <c r="GL57" s="307"/>
      <c r="GM57" s="307"/>
      <c r="GN57" s="307"/>
      <c r="GO57" s="271"/>
      <c r="GP57" s="307"/>
      <c r="GQ57" s="307"/>
      <c r="GR57" s="307"/>
      <c r="GS57" s="271"/>
      <c r="GT57" s="307"/>
      <c r="GU57" s="307"/>
      <c r="GV57" s="307"/>
      <c r="GW57" s="271"/>
      <c r="GX57" s="307"/>
      <c r="GY57" s="303"/>
      <c r="GZ57" s="303"/>
      <c r="HA57" s="271"/>
      <c r="HB57" s="307"/>
      <c r="HC57" s="307"/>
      <c r="HD57" s="307"/>
      <c r="HE57" s="271"/>
      <c r="HF57" s="307"/>
      <c r="HG57" s="307"/>
      <c r="HH57" s="307"/>
      <c r="HI57" s="271"/>
      <c r="HJ57" s="307"/>
      <c r="HK57" s="307"/>
      <c r="HL57" s="307"/>
      <c r="HM57" s="271"/>
      <c r="HN57" s="307"/>
      <c r="HO57" s="307"/>
      <c r="HP57" s="307"/>
      <c r="HQ57" s="271"/>
      <c r="HR57" s="307"/>
      <c r="HS57" s="307"/>
      <c r="HT57" s="307"/>
      <c r="HU57" s="271"/>
      <c r="HV57" s="307"/>
      <c r="HW57" s="307"/>
      <c r="HX57" s="307"/>
      <c r="HY57" s="271"/>
      <c r="HZ57" s="307"/>
      <c r="IA57" s="307"/>
      <c r="IB57" s="307"/>
      <c r="IC57" s="271"/>
      <c r="ID57" s="307"/>
      <c r="IE57" s="307"/>
      <c r="IF57" s="307"/>
      <c r="IG57" s="271"/>
      <c r="IH57" s="307"/>
      <c r="II57" s="307"/>
      <c r="IJ57" s="307"/>
      <c r="IK57" s="271"/>
      <c r="IL57" s="307"/>
      <c r="IM57" s="307"/>
      <c r="IN57" s="307"/>
      <c r="IO57" s="271"/>
      <c r="IP57" s="307"/>
      <c r="IQ57" s="307"/>
      <c r="IR57" s="307"/>
      <c r="IS57" s="278">
        <f t="shared" si="80"/>
        <v>0</v>
      </c>
      <c r="IT57" s="307"/>
    </row>
    <row r="58" spans="1:254" ht="15" customHeight="1" thickBot="1">
      <c r="A58" s="263"/>
      <c r="B58" s="324" t="str">
        <f>+'GENERAL FUND-OPERATING(48-53)'!B297</f>
        <v>Fund balances - July 1, 2016 as restated</v>
      </c>
      <c r="C58" s="307"/>
      <c r="D58" s="307"/>
      <c r="E58" s="277">
        <f>+E56+E57</f>
        <v>482.82</v>
      </c>
      <c r="F58" s="307"/>
      <c r="G58" s="307"/>
      <c r="H58" s="307"/>
      <c r="I58" s="277">
        <f>+I56+I57</f>
        <v>18822.240000000002</v>
      </c>
      <c r="J58" s="307"/>
      <c r="K58" s="307"/>
      <c r="L58" s="307"/>
      <c r="M58" s="277">
        <f>+M56+M57</f>
        <v>8710.4699999999993</v>
      </c>
      <c r="N58" s="307"/>
      <c r="O58" s="307"/>
      <c r="P58" s="307"/>
      <c r="Q58" s="277">
        <f>+Q56+Q57</f>
        <v>0</v>
      </c>
      <c r="R58" s="307"/>
      <c r="S58" s="307"/>
      <c r="T58" s="307"/>
      <c r="U58" s="277">
        <f>+U56+U57</f>
        <v>0</v>
      </c>
      <c r="V58" s="307"/>
      <c r="W58" s="307"/>
      <c r="X58" s="307"/>
      <c r="Y58" s="277">
        <f>+Y56+Y57</f>
        <v>0</v>
      </c>
      <c r="Z58" s="307"/>
      <c r="AA58" s="307"/>
      <c r="AB58" s="307"/>
      <c r="AC58" s="277">
        <f>+AC56+AC57</f>
        <v>0</v>
      </c>
      <c r="AD58" s="307"/>
      <c r="AE58" s="307"/>
      <c r="AF58" s="307"/>
      <c r="AG58" s="277">
        <f>+AG56+AG57</f>
        <v>0</v>
      </c>
      <c r="AH58" s="307"/>
      <c r="AI58" s="307"/>
      <c r="AJ58" s="307"/>
      <c r="AK58" s="277">
        <f>+AK56+AK57</f>
        <v>0</v>
      </c>
      <c r="AL58" s="307"/>
      <c r="AM58" s="307"/>
      <c r="AN58" s="307"/>
      <c r="AO58" s="277">
        <f>+AO56+AO57</f>
        <v>0</v>
      </c>
      <c r="AP58" s="307"/>
      <c r="AQ58" s="307"/>
      <c r="AR58" s="307"/>
      <c r="AS58" s="277">
        <f>+AS56+AS57</f>
        <v>0</v>
      </c>
      <c r="AT58" s="307"/>
      <c r="AU58" s="307"/>
      <c r="AV58" s="307"/>
      <c r="AW58" s="277">
        <f>+AW56+AW57</f>
        <v>0</v>
      </c>
      <c r="AX58" s="307"/>
      <c r="AY58" s="307"/>
      <c r="AZ58" s="307"/>
      <c r="BA58" s="277">
        <f>+BA56+BA57</f>
        <v>0</v>
      </c>
      <c r="BB58" s="307"/>
      <c r="BC58" s="307"/>
      <c r="BD58" s="307"/>
      <c r="BE58" s="277">
        <f>+BE56+BE57</f>
        <v>0</v>
      </c>
      <c r="BF58" s="307"/>
      <c r="BG58" s="307"/>
      <c r="BH58" s="307"/>
      <c r="BI58" s="277">
        <f>+BI56+BI57</f>
        <v>0</v>
      </c>
      <c r="BJ58" s="307"/>
      <c r="BK58" s="307"/>
      <c r="BL58" s="307"/>
      <c r="BM58" s="277">
        <f>+BM56+BM57</f>
        <v>0</v>
      </c>
      <c r="BN58" s="307"/>
      <c r="BO58" s="307"/>
      <c r="BP58" s="307"/>
      <c r="BQ58" s="277">
        <f>+BQ56+BQ57</f>
        <v>0</v>
      </c>
      <c r="BR58" s="307"/>
      <c r="BS58" s="307"/>
      <c r="BT58" s="307"/>
      <c r="BU58" s="277">
        <f>+BU56+BU57</f>
        <v>0</v>
      </c>
      <c r="BV58" s="307"/>
      <c r="BW58" s="307"/>
      <c r="BX58" s="307"/>
      <c r="BY58" s="277">
        <f>+BY56+BY57</f>
        <v>0</v>
      </c>
      <c r="BZ58" s="307"/>
      <c r="CA58" s="307"/>
      <c r="CB58" s="307"/>
      <c r="CC58" s="277">
        <f>+CC56+CC57</f>
        <v>0</v>
      </c>
      <c r="CD58" s="307"/>
      <c r="CE58" s="307"/>
      <c r="CF58" s="307"/>
      <c r="CG58" s="277">
        <f>+CG56+CG57</f>
        <v>0</v>
      </c>
      <c r="CH58" s="307"/>
      <c r="CI58" s="307"/>
      <c r="CJ58" s="307"/>
      <c r="CK58" s="277">
        <f>+CK56+CK57</f>
        <v>0</v>
      </c>
      <c r="CL58" s="307"/>
      <c r="CM58" s="307"/>
      <c r="CN58" s="307"/>
      <c r="CO58" s="277">
        <f>+CO56+CO57</f>
        <v>0</v>
      </c>
      <c r="CP58" s="307"/>
      <c r="CQ58" s="307"/>
      <c r="CR58" s="307"/>
      <c r="CS58" s="277">
        <f>+CS56+CS57</f>
        <v>0</v>
      </c>
      <c r="CT58" s="307"/>
      <c r="CU58" s="307"/>
      <c r="CV58" s="307"/>
      <c r="CW58" s="277">
        <f>+CW56+CW57</f>
        <v>0</v>
      </c>
      <c r="CX58" s="307"/>
      <c r="CY58" s="307"/>
      <c r="CZ58" s="307"/>
      <c r="DA58" s="277">
        <f>+DA56+DA57</f>
        <v>0</v>
      </c>
      <c r="DB58" s="307"/>
      <c r="DC58" s="307"/>
      <c r="DD58" s="307"/>
      <c r="DE58" s="277">
        <f>+DE56+DE57</f>
        <v>0</v>
      </c>
      <c r="DF58" s="307"/>
      <c r="DG58" s="307"/>
      <c r="DH58" s="307"/>
      <c r="DI58" s="277">
        <f>+DI56+DI57</f>
        <v>0</v>
      </c>
      <c r="DJ58" s="307"/>
      <c r="DK58" s="307"/>
      <c r="DL58" s="307"/>
      <c r="DM58" s="277">
        <f>+DM56+DM57</f>
        <v>0</v>
      </c>
      <c r="DN58" s="307"/>
      <c r="DO58" s="307"/>
      <c r="DP58" s="307"/>
      <c r="DQ58" s="277">
        <f>+DQ56+DQ57</f>
        <v>0</v>
      </c>
      <c r="DR58" s="307"/>
      <c r="DS58" s="307"/>
      <c r="DT58" s="307"/>
      <c r="DU58" s="277">
        <f>+DU56+DU57</f>
        <v>0</v>
      </c>
      <c r="DV58" s="307"/>
      <c r="DW58" s="307"/>
      <c r="DX58" s="307"/>
      <c r="DY58" s="277">
        <f>+DY56+DY57</f>
        <v>0</v>
      </c>
      <c r="DZ58" s="307"/>
      <c r="EA58" s="307"/>
      <c r="EB58" s="307"/>
      <c r="EC58" s="277">
        <f>+EC56+EC57</f>
        <v>0</v>
      </c>
      <c r="ED58" s="307"/>
      <c r="EE58" s="307"/>
      <c r="EF58" s="307"/>
      <c r="EG58" s="277">
        <f>+EG56+EG57</f>
        <v>0</v>
      </c>
      <c r="EH58" s="307"/>
      <c r="EI58" s="307"/>
      <c r="EJ58" s="307"/>
      <c r="EK58" s="277">
        <f>+EK56+EK57</f>
        <v>0</v>
      </c>
      <c r="EL58" s="307"/>
      <c r="EM58" s="307"/>
      <c r="EN58" s="307"/>
      <c r="EO58" s="277">
        <f>+EO56+EO57</f>
        <v>0</v>
      </c>
      <c r="EP58" s="307"/>
      <c r="EQ58" s="307"/>
      <c r="ER58" s="307"/>
      <c r="ES58" s="277">
        <f>+ES56+ES57</f>
        <v>0</v>
      </c>
      <c r="ET58" s="307"/>
      <c r="EU58" s="307"/>
      <c r="EV58" s="307"/>
      <c r="EW58" s="277">
        <f>+EW56+EW57</f>
        <v>0</v>
      </c>
      <c r="EX58" s="307"/>
      <c r="EY58" s="307"/>
      <c r="EZ58" s="307"/>
      <c r="FA58" s="277">
        <f>+FA56+FA57</f>
        <v>0</v>
      </c>
      <c r="FB58" s="307"/>
      <c r="FC58" s="307"/>
      <c r="FD58" s="307"/>
      <c r="FE58" s="277">
        <f>+FE56+FE57</f>
        <v>0</v>
      </c>
      <c r="FF58" s="307"/>
      <c r="FG58" s="307"/>
      <c r="FH58" s="307"/>
      <c r="FI58" s="277">
        <f>+FI56+FI57</f>
        <v>0</v>
      </c>
      <c r="FJ58" s="307"/>
      <c r="FK58" s="307"/>
      <c r="FL58" s="307"/>
      <c r="FM58" s="277">
        <f>+FM56+FM57</f>
        <v>0</v>
      </c>
      <c r="FN58" s="307"/>
      <c r="FO58" s="307"/>
      <c r="FP58" s="307"/>
      <c r="FQ58" s="277">
        <f>+FQ56+FQ57</f>
        <v>0</v>
      </c>
      <c r="FR58" s="307"/>
      <c r="FS58" s="307"/>
      <c r="FT58" s="307"/>
      <c r="FU58" s="277">
        <f>+FU56+FU57</f>
        <v>0</v>
      </c>
      <c r="FV58" s="307"/>
      <c r="FW58" s="307"/>
      <c r="FX58" s="307"/>
      <c r="FY58" s="277">
        <f>+FY56+FY57</f>
        <v>0</v>
      </c>
      <c r="FZ58" s="307"/>
      <c r="GA58" s="307"/>
      <c r="GB58" s="307"/>
      <c r="GC58" s="277">
        <f>+GC56+GC57</f>
        <v>0</v>
      </c>
      <c r="GD58" s="307"/>
      <c r="GE58" s="307"/>
      <c r="GF58" s="307"/>
      <c r="GG58" s="277">
        <f>+GG56+GG57</f>
        <v>0</v>
      </c>
      <c r="GH58" s="307"/>
      <c r="GI58" s="307"/>
      <c r="GJ58" s="307"/>
      <c r="GK58" s="277">
        <f>+GK56+GK57</f>
        <v>0</v>
      </c>
      <c r="GL58" s="307"/>
      <c r="GM58" s="307"/>
      <c r="GN58" s="307"/>
      <c r="GO58" s="277">
        <f>+GO56+GO57</f>
        <v>0</v>
      </c>
      <c r="GP58" s="307"/>
      <c r="GQ58" s="307"/>
      <c r="GR58" s="307"/>
      <c r="GS58" s="277">
        <f>+GS56+GS57</f>
        <v>0</v>
      </c>
      <c r="GT58" s="307"/>
      <c r="GU58" s="307"/>
      <c r="GV58" s="307"/>
      <c r="GW58" s="277">
        <f>+GW56+GW57</f>
        <v>0</v>
      </c>
      <c r="GX58" s="307"/>
      <c r="GY58" s="307"/>
      <c r="GZ58" s="307"/>
      <c r="HA58" s="277">
        <f>+HA56+HA57</f>
        <v>0</v>
      </c>
      <c r="HB58" s="307"/>
      <c r="HC58" s="307"/>
      <c r="HD58" s="307"/>
      <c r="HE58" s="277">
        <f>+HE56+HE57</f>
        <v>0</v>
      </c>
      <c r="HF58" s="307"/>
      <c r="HG58" s="307"/>
      <c r="HH58" s="307"/>
      <c r="HI58" s="277">
        <f>+HI56+HI57</f>
        <v>0</v>
      </c>
      <c r="HJ58" s="307"/>
      <c r="HK58" s="307"/>
      <c r="HL58" s="307"/>
      <c r="HM58" s="277">
        <f>+HM56+HM57</f>
        <v>0</v>
      </c>
      <c r="HN58" s="307"/>
      <c r="HO58" s="307"/>
      <c r="HP58" s="307"/>
      <c r="HQ58" s="277">
        <f>+HQ56+HQ57</f>
        <v>0</v>
      </c>
      <c r="HR58" s="307"/>
      <c r="HS58" s="307"/>
      <c r="HT58" s="307"/>
      <c r="HU58" s="277">
        <f>+HU56+HU57</f>
        <v>0</v>
      </c>
      <c r="HV58" s="307"/>
      <c r="HW58" s="307"/>
      <c r="HX58" s="307"/>
      <c r="HY58" s="277">
        <f>+HY56+HY57</f>
        <v>0</v>
      </c>
      <c r="HZ58" s="307"/>
      <c r="IA58" s="307"/>
      <c r="IB58" s="307"/>
      <c r="IC58" s="277">
        <f>+IC56+IC57</f>
        <v>0</v>
      </c>
      <c r="ID58" s="307"/>
      <c r="IE58" s="307"/>
      <c r="IF58" s="307"/>
      <c r="IG58" s="277">
        <f>+IG56+IG57</f>
        <v>0</v>
      </c>
      <c r="IH58" s="307"/>
      <c r="II58" s="307"/>
      <c r="IJ58" s="307"/>
      <c r="IK58" s="277">
        <f>+IK56+IK57</f>
        <v>0</v>
      </c>
      <c r="IL58" s="307"/>
      <c r="IM58" s="307"/>
      <c r="IN58" s="307"/>
      <c r="IO58" s="277">
        <f>+IO56+IO57</f>
        <v>0</v>
      </c>
      <c r="IP58" s="307"/>
      <c r="IQ58" s="307"/>
      <c r="IR58" s="307"/>
      <c r="IS58" s="278">
        <f t="shared" si="80"/>
        <v>28015.53</v>
      </c>
      <c r="IT58" s="307"/>
    </row>
    <row r="59" spans="1:254" ht="15" customHeight="1" thickBot="1">
      <c r="A59" s="263"/>
      <c r="B59" s="268" t="str">
        <f>+'GENERAL FUND-OPERATING(48-53)'!B298</f>
        <v>Fund balances - June 30, 2017</v>
      </c>
      <c r="C59" s="307"/>
      <c r="D59" s="307"/>
      <c r="E59" s="280">
        <f>+E55+E58</f>
        <v>3093.0699999999993</v>
      </c>
      <c r="F59" s="307"/>
      <c r="G59" s="307"/>
      <c r="H59" s="307"/>
      <c r="I59" s="280">
        <f>+I55+I58</f>
        <v>20866.45</v>
      </c>
      <c r="J59" s="307"/>
      <c r="K59" s="307"/>
      <c r="L59" s="307"/>
      <c r="M59" s="280">
        <f>+M55+M58</f>
        <v>6062.8399999999992</v>
      </c>
      <c r="N59" s="307"/>
      <c r="O59" s="307"/>
      <c r="P59" s="307"/>
      <c r="Q59" s="280">
        <f>+Q55+Q58</f>
        <v>0</v>
      </c>
      <c r="R59" s="307"/>
      <c r="S59" s="307"/>
      <c r="T59" s="307"/>
      <c r="U59" s="280">
        <f>+U55+U58</f>
        <v>0</v>
      </c>
      <c r="V59" s="307"/>
      <c r="W59" s="307"/>
      <c r="X59" s="307"/>
      <c r="Y59" s="280">
        <f>+Y55+Y58</f>
        <v>0</v>
      </c>
      <c r="Z59" s="307"/>
      <c r="AA59" s="307"/>
      <c r="AB59" s="307"/>
      <c r="AC59" s="280">
        <f>+AC55+AC58</f>
        <v>0</v>
      </c>
      <c r="AD59" s="307"/>
      <c r="AE59" s="307"/>
      <c r="AF59" s="307"/>
      <c r="AG59" s="280">
        <f>+AG55+AG58</f>
        <v>0</v>
      </c>
      <c r="AH59" s="307"/>
      <c r="AI59" s="307"/>
      <c r="AJ59" s="307"/>
      <c r="AK59" s="280">
        <f>+AK55+AK58</f>
        <v>0</v>
      </c>
      <c r="AL59" s="307"/>
      <c r="AM59" s="307"/>
      <c r="AN59" s="307"/>
      <c r="AO59" s="280">
        <f>+AO55+AO58</f>
        <v>0</v>
      </c>
      <c r="AP59" s="307"/>
      <c r="AQ59" s="307"/>
      <c r="AR59" s="307"/>
      <c r="AS59" s="280">
        <f>+AS55+AS58</f>
        <v>0</v>
      </c>
      <c r="AT59" s="307"/>
      <c r="AU59" s="307"/>
      <c r="AV59" s="307"/>
      <c r="AW59" s="280">
        <f>+AW55+AW58</f>
        <v>0</v>
      </c>
      <c r="AX59" s="307"/>
      <c r="AY59" s="307"/>
      <c r="AZ59" s="307"/>
      <c r="BA59" s="280">
        <f>+BA55+BA58</f>
        <v>0</v>
      </c>
      <c r="BB59" s="307"/>
      <c r="BC59" s="307"/>
      <c r="BD59" s="307"/>
      <c r="BE59" s="280">
        <f>+BE55+BE58</f>
        <v>0</v>
      </c>
      <c r="BF59" s="307"/>
      <c r="BG59" s="307"/>
      <c r="BH59" s="307"/>
      <c r="BI59" s="280">
        <f>+BI55+BI58</f>
        <v>0</v>
      </c>
      <c r="BJ59" s="307"/>
      <c r="BK59" s="307"/>
      <c r="BL59" s="307"/>
      <c r="BM59" s="280">
        <f>+BM55+BM58</f>
        <v>0</v>
      </c>
      <c r="BN59" s="307"/>
      <c r="BO59" s="307"/>
      <c r="BP59" s="307"/>
      <c r="BQ59" s="280">
        <f>+BQ55+BQ58</f>
        <v>0</v>
      </c>
      <c r="BR59" s="307"/>
      <c r="BS59" s="307"/>
      <c r="BT59" s="307"/>
      <c r="BU59" s="280">
        <f>+BU55+BU58</f>
        <v>0</v>
      </c>
      <c r="BV59" s="307"/>
      <c r="BW59" s="307"/>
      <c r="BX59" s="307"/>
      <c r="BY59" s="280">
        <f>+BY55+BY58</f>
        <v>0</v>
      </c>
      <c r="BZ59" s="307"/>
      <c r="CA59" s="307"/>
      <c r="CB59" s="307"/>
      <c r="CC59" s="280">
        <f>+CC55+CC58</f>
        <v>0</v>
      </c>
      <c r="CD59" s="307"/>
      <c r="CE59" s="307"/>
      <c r="CF59" s="307"/>
      <c r="CG59" s="280">
        <f>+CG55+CG58</f>
        <v>0</v>
      </c>
      <c r="CH59" s="307"/>
      <c r="CI59" s="307"/>
      <c r="CJ59" s="307"/>
      <c r="CK59" s="280">
        <f>+CK55+CK58</f>
        <v>0</v>
      </c>
      <c r="CL59" s="307"/>
      <c r="CM59" s="307"/>
      <c r="CN59" s="307"/>
      <c r="CO59" s="280">
        <f>+CO55+CO58</f>
        <v>0</v>
      </c>
      <c r="CP59" s="307"/>
      <c r="CQ59" s="307"/>
      <c r="CR59" s="307"/>
      <c r="CS59" s="280">
        <f>+CS55+CS58</f>
        <v>0</v>
      </c>
      <c r="CT59" s="307"/>
      <c r="CU59" s="307"/>
      <c r="CV59" s="307"/>
      <c r="CW59" s="280">
        <f>+CW55+CW58</f>
        <v>0</v>
      </c>
      <c r="CX59" s="307"/>
      <c r="CY59" s="307"/>
      <c r="CZ59" s="307"/>
      <c r="DA59" s="280">
        <f>+DA55+DA58</f>
        <v>0</v>
      </c>
      <c r="DB59" s="307"/>
      <c r="DC59" s="307"/>
      <c r="DD59" s="307"/>
      <c r="DE59" s="280">
        <f>+DE55+DE58</f>
        <v>0</v>
      </c>
      <c r="DF59" s="307"/>
      <c r="DG59" s="307"/>
      <c r="DH59" s="307"/>
      <c r="DI59" s="280">
        <f>+DI55+DI58</f>
        <v>0</v>
      </c>
      <c r="DJ59" s="307"/>
      <c r="DK59" s="307"/>
      <c r="DL59" s="307"/>
      <c r="DM59" s="280">
        <f>+DM55+DM58</f>
        <v>0</v>
      </c>
      <c r="DN59" s="307"/>
      <c r="DO59" s="307"/>
      <c r="DP59" s="307"/>
      <c r="DQ59" s="280">
        <f>+DQ55+DQ58</f>
        <v>0</v>
      </c>
      <c r="DR59" s="307"/>
      <c r="DS59" s="307"/>
      <c r="DT59" s="307"/>
      <c r="DU59" s="280">
        <f>+DU55+DU58</f>
        <v>0</v>
      </c>
      <c r="DV59" s="307"/>
      <c r="DW59" s="307"/>
      <c r="DX59" s="307"/>
      <c r="DY59" s="280">
        <f>+DY55+DY58</f>
        <v>0</v>
      </c>
      <c r="DZ59" s="307"/>
      <c r="EA59" s="307"/>
      <c r="EB59" s="307"/>
      <c r="EC59" s="280">
        <f>+EC55+EC58</f>
        <v>0</v>
      </c>
      <c r="ED59" s="307"/>
      <c r="EE59" s="307"/>
      <c r="EF59" s="307"/>
      <c r="EG59" s="280">
        <f>+EG55+EG58</f>
        <v>0</v>
      </c>
      <c r="EH59" s="307"/>
      <c r="EI59" s="307"/>
      <c r="EJ59" s="307"/>
      <c r="EK59" s="280">
        <f>+EK55+EK58</f>
        <v>0</v>
      </c>
      <c r="EL59" s="307"/>
      <c r="EM59" s="307"/>
      <c r="EN59" s="307"/>
      <c r="EO59" s="280">
        <f>+EO55+EO58</f>
        <v>0</v>
      </c>
      <c r="EP59" s="307"/>
      <c r="EQ59" s="307"/>
      <c r="ER59" s="307"/>
      <c r="ES59" s="280">
        <f>+ES55+ES58</f>
        <v>0</v>
      </c>
      <c r="ET59" s="307"/>
      <c r="EU59" s="307"/>
      <c r="EV59" s="307"/>
      <c r="EW59" s="280">
        <f>+EW55+EW58</f>
        <v>0</v>
      </c>
      <c r="EX59" s="307"/>
      <c r="EY59" s="307"/>
      <c r="EZ59" s="307"/>
      <c r="FA59" s="280">
        <f>+FA55+FA58</f>
        <v>0</v>
      </c>
      <c r="FB59" s="307"/>
      <c r="FC59" s="307"/>
      <c r="FD59" s="307"/>
      <c r="FE59" s="280">
        <f>+FE55+FE58</f>
        <v>0</v>
      </c>
      <c r="FF59" s="307"/>
      <c r="FG59" s="307"/>
      <c r="FH59" s="307"/>
      <c r="FI59" s="280">
        <f>+FI55+FI58</f>
        <v>0</v>
      </c>
      <c r="FJ59" s="307"/>
      <c r="FK59" s="307"/>
      <c r="FL59" s="307"/>
      <c r="FM59" s="280">
        <f>+FM55+FM58</f>
        <v>0</v>
      </c>
      <c r="FN59" s="307"/>
      <c r="FO59" s="307"/>
      <c r="FP59" s="307"/>
      <c r="FQ59" s="280">
        <f>+FQ55+FQ58</f>
        <v>0</v>
      </c>
      <c r="FR59" s="307"/>
      <c r="FS59" s="307"/>
      <c r="FT59" s="307"/>
      <c r="FU59" s="280">
        <f>+FU55+FU58</f>
        <v>0</v>
      </c>
      <c r="FV59" s="307"/>
      <c r="FW59" s="307"/>
      <c r="FX59" s="307"/>
      <c r="FY59" s="280">
        <f>+FY55+FY58</f>
        <v>0</v>
      </c>
      <c r="FZ59" s="307"/>
      <c r="GA59" s="307"/>
      <c r="GB59" s="307"/>
      <c r="GC59" s="280">
        <f>+GC55+GC58</f>
        <v>0</v>
      </c>
      <c r="GD59" s="307"/>
      <c r="GE59" s="307"/>
      <c r="GF59" s="307"/>
      <c r="GG59" s="280">
        <f>+GG55+GG58</f>
        <v>0</v>
      </c>
      <c r="GH59" s="307"/>
      <c r="GI59" s="307"/>
      <c r="GJ59" s="307"/>
      <c r="GK59" s="280">
        <f>+GK55+GK58</f>
        <v>0</v>
      </c>
      <c r="GL59" s="307"/>
      <c r="GM59" s="307"/>
      <c r="GN59" s="307"/>
      <c r="GO59" s="280">
        <f>+GO55+GO58</f>
        <v>0</v>
      </c>
      <c r="GP59" s="307"/>
      <c r="GQ59" s="307"/>
      <c r="GR59" s="307"/>
      <c r="GS59" s="280">
        <f>+GS55+GS58</f>
        <v>0</v>
      </c>
      <c r="GT59" s="307"/>
      <c r="GU59" s="307"/>
      <c r="GV59" s="307"/>
      <c r="GW59" s="280">
        <f>+GW55+GW58</f>
        <v>0</v>
      </c>
      <c r="GX59" s="307"/>
      <c r="GY59" s="307"/>
      <c r="GZ59" s="307"/>
      <c r="HA59" s="280">
        <f>+HA55+HA58</f>
        <v>0</v>
      </c>
      <c r="HB59" s="307"/>
      <c r="HC59" s="307"/>
      <c r="HD59" s="307"/>
      <c r="HE59" s="280">
        <f>+HE55+HE58</f>
        <v>0</v>
      </c>
      <c r="HF59" s="307"/>
      <c r="HG59" s="307"/>
      <c r="HH59" s="307"/>
      <c r="HI59" s="280">
        <f>+HI55+HI58</f>
        <v>0</v>
      </c>
      <c r="HJ59" s="307"/>
      <c r="HK59" s="307"/>
      <c r="HL59" s="307"/>
      <c r="HM59" s="280">
        <f>+HM55+HM58</f>
        <v>0</v>
      </c>
      <c r="HN59" s="307"/>
      <c r="HO59" s="307"/>
      <c r="HP59" s="307"/>
      <c r="HQ59" s="280">
        <f>+HQ55+HQ58</f>
        <v>0</v>
      </c>
      <c r="HR59" s="307"/>
      <c r="HS59" s="307"/>
      <c r="HT59" s="307"/>
      <c r="HU59" s="280">
        <f>+HU55+HU58</f>
        <v>0</v>
      </c>
      <c r="HV59" s="307"/>
      <c r="HW59" s="307"/>
      <c r="HX59" s="307"/>
      <c r="HY59" s="280">
        <f>+HY55+HY58</f>
        <v>0</v>
      </c>
      <c r="HZ59" s="307"/>
      <c r="IA59" s="307"/>
      <c r="IB59" s="307"/>
      <c r="IC59" s="280">
        <f>+IC55+IC58</f>
        <v>0</v>
      </c>
      <c r="ID59" s="307"/>
      <c r="IE59" s="307"/>
      <c r="IF59" s="307"/>
      <c r="IG59" s="280">
        <f>+IG55+IG58</f>
        <v>0</v>
      </c>
      <c r="IH59" s="307"/>
      <c r="II59" s="307"/>
      <c r="IJ59" s="307"/>
      <c r="IK59" s="280">
        <f>+IK55+IK58</f>
        <v>0</v>
      </c>
      <c r="IL59" s="307"/>
      <c r="IM59" s="307"/>
      <c r="IN59" s="307"/>
      <c r="IO59" s="280">
        <f>+IO55+IO58</f>
        <v>0</v>
      </c>
      <c r="IP59" s="307"/>
      <c r="IQ59" s="307"/>
      <c r="IR59" s="307"/>
      <c r="IS59" s="280">
        <f t="shared" si="80"/>
        <v>30022.36</v>
      </c>
      <c r="IT59" s="307"/>
    </row>
    <row r="60" spans="1:254" ht="15.75" thickTop="1">
      <c r="A60" s="263"/>
      <c r="B60" s="263"/>
      <c r="C60" s="263"/>
      <c r="D60" s="263"/>
      <c r="E60" s="263"/>
      <c r="F60" s="263"/>
      <c r="G60" s="263"/>
      <c r="H60" s="263"/>
      <c r="I60" s="263"/>
      <c r="J60" s="263"/>
      <c r="K60" s="263"/>
      <c r="L60" s="263"/>
      <c r="M60" s="263"/>
      <c r="N60" s="411"/>
      <c r="O60" s="411"/>
      <c r="P60" s="411"/>
      <c r="Q60" s="263"/>
      <c r="R60" s="263"/>
      <c r="S60" s="263"/>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411"/>
      <c r="AQ60" s="263"/>
      <c r="AR60" s="263"/>
      <c r="AS60" s="263"/>
      <c r="AT60" s="411"/>
      <c r="AU60" s="263"/>
      <c r="AV60" s="263"/>
      <c r="AW60" s="263"/>
      <c r="AX60" s="411"/>
      <c r="AY60" s="263"/>
      <c r="AZ60" s="263"/>
      <c r="BA60" s="263"/>
      <c r="BB60" s="411"/>
      <c r="BC60" s="263"/>
      <c r="BD60" s="263"/>
      <c r="BE60" s="263"/>
      <c r="BF60" s="411"/>
      <c r="BG60" s="263"/>
      <c r="BH60" s="263"/>
      <c r="BI60" s="263"/>
      <c r="BJ60" s="263"/>
      <c r="BK60" s="263"/>
      <c r="BL60" s="263"/>
      <c r="BM60" s="263"/>
      <c r="BN60" s="411"/>
      <c r="BO60" s="263"/>
      <c r="BP60" s="263"/>
      <c r="BQ60" s="263"/>
      <c r="BR60" s="411"/>
      <c r="BS60" s="263"/>
      <c r="BT60" s="263"/>
      <c r="BU60" s="263"/>
      <c r="BV60" s="263"/>
      <c r="BW60" s="263"/>
      <c r="BX60" s="263"/>
      <c r="BY60" s="263"/>
      <c r="BZ60" s="411"/>
      <c r="CA60" s="263"/>
      <c r="CB60" s="263"/>
      <c r="CC60" s="263"/>
      <c r="CD60" s="411"/>
      <c r="CE60" s="263"/>
      <c r="CF60" s="263"/>
      <c r="CG60" s="263"/>
      <c r="CH60" s="411"/>
      <c r="CI60" s="263"/>
      <c r="CJ60" s="263"/>
      <c r="CL60" s="308"/>
      <c r="CP60" s="308"/>
      <c r="CT60" s="308"/>
      <c r="CX60" s="308"/>
      <c r="DB60" s="308"/>
      <c r="DF60" s="308"/>
      <c r="DJ60" s="308"/>
      <c r="DR60" s="308"/>
      <c r="DV60" s="308"/>
      <c r="ED60" s="308"/>
      <c r="EH60" s="308"/>
      <c r="EL60" s="308"/>
      <c r="EP60" s="308"/>
      <c r="ET60" s="308"/>
      <c r="EX60" s="308"/>
      <c r="FB60" s="308"/>
      <c r="FF60" s="308"/>
      <c r="FJ60" s="308"/>
      <c r="FN60" s="308"/>
      <c r="FR60" s="308"/>
      <c r="FV60" s="308"/>
      <c r="FZ60" s="308"/>
      <c r="GD60" s="308"/>
      <c r="GH60" s="308"/>
      <c r="GL60" s="308"/>
      <c r="GP60" s="308"/>
      <c r="GT60" s="308"/>
      <c r="GX60" s="308"/>
      <c r="HB60" s="308"/>
      <c r="HF60" s="308"/>
      <c r="HJ60" s="308"/>
      <c r="HN60" s="308"/>
      <c r="HR60" s="308"/>
      <c r="HV60" s="308"/>
      <c r="HZ60" s="308"/>
      <c r="ID60" s="308"/>
      <c r="IH60" s="308"/>
      <c r="IL60" s="308"/>
      <c r="IP60" s="308"/>
      <c r="IQ60" s="308"/>
      <c r="IR60" s="308"/>
      <c r="IS60" s="308"/>
      <c r="IT60" s="308"/>
    </row>
    <row r="61" spans="1:254" ht="15.75">
      <c r="A61" s="263"/>
      <c r="B61" s="263"/>
      <c r="C61" s="422" t="s">
        <v>468</v>
      </c>
      <c r="D61" s="427"/>
      <c r="E61" s="427"/>
      <c r="F61" s="427"/>
      <c r="G61" s="422" t="s">
        <v>468</v>
      </c>
      <c r="H61" s="427"/>
      <c r="I61" s="427"/>
      <c r="J61" s="427"/>
      <c r="K61" s="422" t="s">
        <v>468</v>
      </c>
      <c r="L61" s="427"/>
      <c r="M61" s="427"/>
      <c r="N61" s="427"/>
      <c r="O61" s="422" t="s">
        <v>468</v>
      </c>
      <c r="P61" s="427"/>
      <c r="Q61" s="427"/>
      <c r="R61" s="427"/>
      <c r="S61" s="422" t="s">
        <v>468</v>
      </c>
      <c r="T61" s="427"/>
      <c r="U61" s="427"/>
      <c r="V61" s="427"/>
      <c r="W61" s="422" t="s">
        <v>468</v>
      </c>
      <c r="X61" s="427"/>
      <c r="Y61" s="427"/>
      <c r="Z61" s="427"/>
      <c r="AA61" s="422" t="s">
        <v>468</v>
      </c>
      <c r="AB61" s="427"/>
      <c r="AC61" s="427"/>
      <c r="AD61" s="427"/>
      <c r="AE61" s="422" t="s">
        <v>468</v>
      </c>
      <c r="AF61" s="427"/>
      <c r="AG61" s="427"/>
      <c r="AH61" s="427"/>
      <c r="AI61" s="422" t="s">
        <v>468</v>
      </c>
      <c r="AJ61" s="427"/>
      <c r="AK61" s="427"/>
      <c r="AL61" s="427"/>
      <c r="AM61" s="422" t="s">
        <v>468</v>
      </c>
      <c r="AN61" s="427"/>
      <c r="AO61" s="427"/>
      <c r="AP61" s="917"/>
      <c r="AQ61" s="422" t="s">
        <v>468</v>
      </c>
      <c r="AR61" s="427"/>
      <c r="AS61" s="427"/>
      <c r="AT61" s="917"/>
      <c r="AU61" s="422" t="s">
        <v>468</v>
      </c>
      <c r="AV61" s="427"/>
      <c r="AW61" s="427"/>
      <c r="AX61" s="917"/>
      <c r="AY61" s="422" t="s">
        <v>468</v>
      </c>
      <c r="AZ61" s="427"/>
      <c r="BA61" s="427"/>
      <c r="BB61" s="427"/>
      <c r="BC61" s="422" t="s">
        <v>468</v>
      </c>
      <c r="BD61" s="427"/>
      <c r="BE61" s="427"/>
      <c r="BF61" s="917"/>
      <c r="BG61" s="422" t="s">
        <v>468</v>
      </c>
      <c r="BH61" s="427"/>
      <c r="BI61" s="427"/>
      <c r="BJ61" s="427"/>
      <c r="BK61" s="422" t="s">
        <v>468</v>
      </c>
      <c r="BL61" s="427"/>
      <c r="BM61" s="427"/>
      <c r="BN61" s="917"/>
      <c r="BO61" s="422" t="s">
        <v>468</v>
      </c>
      <c r="BP61" s="427"/>
      <c r="BQ61" s="427"/>
      <c r="BR61" s="917"/>
      <c r="BS61" s="422" t="s">
        <v>468</v>
      </c>
      <c r="BT61" s="427"/>
      <c r="BU61" s="427"/>
      <c r="BV61" s="427"/>
      <c r="BW61" s="422" t="s">
        <v>468</v>
      </c>
      <c r="BX61" s="427"/>
      <c r="BY61" s="427"/>
      <c r="BZ61" s="917"/>
      <c r="CA61" s="422" t="s">
        <v>468</v>
      </c>
      <c r="CB61" s="427"/>
      <c r="CC61" s="427"/>
      <c r="CD61" s="917"/>
      <c r="CE61" s="422" t="s">
        <v>468</v>
      </c>
      <c r="CF61" s="427"/>
      <c r="CG61" s="427"/>
      <c r="CH61" s="917"/>
      <c r="CI61" s="422" t="s">
        <v>468</v>
      </c>
      <c r="CJ61" s="427"/>
      <c r="CK61" s="427"/>
      <c r="CL61" s="917"/>
      <c r="CM61" s="422" t="s">
        <v>468</v>
      </c>
      <c r="CN61" s="427"/>
      <c r="CO61" s="427"/>
      <c r="CP61" s="917"/>
      <c r="CQ61" s="422" t="s">
        <v>468</v>
      </c>
      <c r="CR61" s="427"/>
      <c r="CS61" s="427"/>
      <c r="CT61" s="917"/>
      <c r="CU61" s="422" t="s">
        <v>468</v>
      </c>
      <c r="CV61" s="427"/>
      <c r="CW61" s="427"/>
      <c r="CX61" s="917"/>
      <c r="CY61" s="422" t="s">
        <v>468</v>
      </c>
      <c r="CZ61" s="427"/>
      <c r="DA61" s="427"/>
      <c r="DB61" s="917"/>
      <c r="DC61" s="422" t="s">
        <v>468</v>
      </c>
      <c r="DD61" s="427"/>
      <c r="DE61" s="427"/>
      <c r="DF61" s="917"/>
      <c r="DG61" s="422" t="s">
        <v>468</v>
      </c>
      <c r="DH61" s="427"/>
      <c r="DI61" s="427"/>
      <c r="DJ61" s="917"/>
      <c r="DK61" s="422" t="s">
        <v>468</v>
      </c>
      <c r="DL61" s="427"/>
      <c r="DM61" s="427"/>
      <c r="DN61" s="427"/>
      <c r="DO61" s="422" t="s">
        <v>468</v>
      </c>
      <c r="DP61" s="427"/>
      <c r="DQ61" s="427"/>
      <c r="DR61" s="917"/>
      <c r="DS61" s="422" t="s">
        <v>468</v>
      </c>
      <c r="DT61" s="427"/>
      <c r="DU61" s="427"/>
      <c r="DV61" s="917"/>
      <c r="DW61" s="422" t="s">
        <v>468</v>
      </c>
      <c r="DX61" s="427"/>
      <c r="DY61" s="427"/>
      <c r="DZ61" s="427"/>
      <c r="EA61" s="422" t="s">
        <v>468</v>
      </c>
      <c r="EB61" s="427"/>
      <c r="EC61" s="427"/>
      <c r="ED61" s="427"/>
      <c r="EE61" s="422" t="s">
        <v>468</v>
      </c>
      <c r="EF61" s="427"/>
      <c r="EG61" s="427"/>
      <c r="EH61" s="917"/>
      <c r="EI61" s="422" t="s">
        <v>468</v>
      </c>
      <c r="EJ61" s="427"/>
      <c r="EK61" s="427"/>
      <c r="EL61" s="917"/>
      <c r="EM61" s="422" t="s">
        <v>468</v>
      </c>
      <c r="EN61" s="427"/>
      <c r="EO61" s="427"/>
      <c r="EP61" s="917"/>
      <c r="EQ61" s="422" t="s">
        <v>468</v>
      </c>
      <c r="ER61" s="427"/>
      <c r="ES61" s="427"/>
      <c r="ET61" s="917"/>
      <c r="EU61" s="422" t="s">
        <v>468</v>
      </c>
      <c r="EV61" s="427"/>
      <c r="EW61" s="427"/>
      <c r="EX61" s="917"/>
      <c r="EY61" s="422" t="s">
        <v>468</v>
      </c>
      <c r="EZ61" s="427"/>
      <c r="FA61" s="427"/>
      <c r="FB61" s="917"/>
      <c r="FC61" s="422" t="s">
        <v>468</v>
      </c>
      <c r="FD61" s="427"/>
      <c r="FE61" s="427"/>
      <c r="FF61" s="917"/>
      <c r="FG61" s="422" t="s">
        <v>468</v>
      </c>
      <c r="FH61" s="427"/>
      <c r="FI61" s="427"/>
      <c r="FJ61" s="917"/>
      <c r="FK61" s="422" t="s">
        <v>468</v>
      </c>
      <c r="FL61" s="427"/>
      <c r="FM61" s="427"/>
      <c r="FN61" s="917"/>
      <c r="FO61" s="422" t="s">
        <v>468</v>
      </c>
      <c r="FP61" s="427"/>
      <c r="FQ61" s="427"/>
      <c r="FR61" s="917"/>
      <c r="FS61" s="422" t="s">
        <v>468</v>
      </c>
      <c r="FT61" s="427"/>
      <c r="FU61" s="427"/>
      <c r="FV61" s="917"/>
      <c r="FW61" s="422" t="s">
        <v>468</v>
      </c>
      <c r="FX61" s="427"/>
      <c r="FY61" s="427"/>
      <c r="FZ61" s="917"/>
      <c r="GA61" s="422" t="s">
        <v>468</v>
      </c>
      <c r="GB61" s="427"/>
      <c r="GC61" s="427"/>
      <c r="GD61" s="917"/>
      <c r="GE61" s="422" t="s">
        <v>468</v>
      </c>
      <c r="GF61" s="427"/>
      <c r="GG61" s="427"/>
      <c r="GH61" s="917"/>
      <c r="GI61" s="422" t="s">
        <v>468</v>
      </c>
      <c r="GJ61" s="427"/>
      <c r="GK61" s="427"/>
      <c r="GL61" s="917"/>
      <c r="GM61" s="422" t="s">
        <v>468</v>
      </c>
      <c r="GN61" s="427"/>
      <c r="GO61" s="427"/>
      <c r="GP61" s="917"/>
      <c r="GQ61" s="422" t="s">
        <v>468</v>
      </c>
      <c r="GR61" s="427"/>
      <c r="GS61" s="427"/>
      <c r="GT61" s="917"/>
      <c r="GU61" s="422" t="s">
        <v>468</v>
      </c>
      <c r="GV61" s="427"/>
      <c r="GW61" s="427"/>
      <c r="GX61" s="917"/>
      <c r="GY61" s="422" t="s">
        <v>468</v>
      </c>
      <c r="GZ61" s="427"/>
      <c r="HA61" s="427"/>
      <c r="HB61" s="917"/>
      <c r="HC61" s="422" t="s">
        <v>468</v>
      </c>
      <c r="HD61" s="427"/>
      <c r="HE61" s="427"/>
      <c r="HF61" s="917"/>
      <c r="HG61" s="422" t="s">
        <v>468</v>
      </c>
      <c r="HH61" s="427"/>
      <c r="HI61" s="427"/>
      <c r="HJ61" s="917"/>
      <c r="HK61" s="422" t="s">
        <v>468</v>
      </c>
      <c r="HL61" s="427"/>
      <c r="HM61" s="427"/>
      <c r="HN61" s="917"/>
      <c r="HO61" s="422" t="s">
        <v>468</v>
      </c>
      <c r="HP61" s="427"/>
      <c r="HQ61" s="427"/>
      <c r="HR61" s="917"/>
      <c r="HS61" s="422" t="s">
        <v>468</v>
      </c>
      <c r="HT61" s="427"/>
      <c r="HU61" s="427"/>
      <c r="HV61" s="917"/>
      <c r="HW61" s="422" t="s">
        <v>468</v>
      </c>
      <c r="HX61" s="427"/>
      <c r="HY61" s="427"/>
      <c r="HZ61" s="917"/>
      <c r="IA61" s="422" t="s">
        <v>468</v>
      </c>
      <c r="IB61" s="427"/>
      <c r="IC61" s="427"/>
      <c r="ID61" s="917"/>
      <c r="IE61" s="422" t="s">
        <v>468</v>
      </c>
      <c r="IF61" s="427"/>
      <c r="IG61" s="427"/>
      <c r="IH61" s="917"/>
      <c r="II61" s="422" t="s">
        <v>468</v>
      </c>
      <c r="IJ61" s="427"/>
      <c r="IK61" s="427"/>
      <c r="IL61" s="917"/>
      <c r="IM61" s="422" t="s">
        <v>468</v>
      </c>
      <c r="IN61" s="427"/>
      <c r="IO61" s="427"/>
      <c r="IP61" s="917"/>
      <c r="IQ61" s="719" t="s">
        <v>3128</v>
      </c>
      <c r="IR61" s="412"/>
      <c r="IS61" s="412"/>
      <c r="IT61" s="412"/>
    </row>
    <row r="62" spans="1:254" ht="15">
      <c r="A62" s="26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411"/>
      <c r="CA62" s="263"/>
      <c r="CB62" s="263"/>
      <c r="CC62" s="263"/>
      <c r="CD62" s="263"/>
      <c r="CE62" s="263"/>
      <c r="CF62" s="263"/>
      <c r="CG62" s="263"/>
      <c r="CH62" s="263"/>
      <c r="CI62" s="263"/>
      <c r="CJ62" s="263"/>
      <c r="CP62" s="308"/>
      <c r="CT62" s="308"/>
      <c r="CX62" s="308"/>
      <c r="DB62" s="308"/>
      <c r="DJ62" s="308"/>
      <c r="EL62" s="308"/>
      <c r="EP62" s="308"/>
      <c r="ET62" s="308"/>
      <c r="EX62" s="308"/>
      <c r="FB62" s="308"/>
      <c r="FV62" s="308"/>
      <c r="FZ62" s="308"/>
      <c r="GL62" s="308"/>
      <c r="HF62" s="308"/>
      <c r="HJ62" s="308"/>
      <c r="IH62" s="308"/>
    </row>
    <row r="63" spans="1:254" ht="15">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EP63" s="308"/>
    </row>
    <row r="64" spans="1:254" ht="15">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row>
    <row r="65" spans="1:88" ht="15">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row>
    <row r="66" spans="1:88" ht="15">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row>
    <row r="67" spans="1:88" ht="15">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row>
    <row r="68" spans="1:88" ht="15">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row>
    <row r="69" spans="1:88" ht="15">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row>
    <row r="70" spans="1:88" ht="15">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row>
    <row r="71" spans="1:88" ht="15">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row>
    <row r="72" spans="1:88" ht="15">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row>
    <row r="73" spans="1:88" ht="15">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row>
    <row r="74" spans="1:88" ht="15">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row>
    <row r="75" spans="1:88" ht="15">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row>
    <row r="76" spans="1:88" ht="15">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row>
    <row r="77" spans="1:88" ht="15">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row>
    <row r="78" spans="1:88" ht="15">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row>
    <row r="79" spans="1:88" ht="15">
      <c r="A79" s="263"/>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row>
    <row r="80" spans="1:88" ht="15">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row>
    <row r="81" spans="1:88" ht="15">
      <c r="A81" s="263"/>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row>
    <row r="82" spans="1:88" ht="15">
      <c r="A82" s="263"/>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row>
    <row r="83" spans="1:88" ht="15">
      <c r="A83" s="263"/>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row>
    <row r="84" spans="1:88" ht="15">
      <c r="A84" s="263"/>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row>
    <row r="85" spans="1:88" ht="15">
      <c r="A85" s="263"/>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row>
    <row r="86" spans="1:88" ht="15">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row>
    <row r="87" spans="1:88" ht="15">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row>
    <row r="88" spans="1:88" ht="15">
      <c r="A88" s="263"/>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row>
    <row r="89" spans="1:88" ht="15">
      <c r="A89" s="263"/>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row>
    <row r="90" spans="1:88" ht="15">
      <c r="A90" s="263"/>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row>
    <row r="91" spans="1:88" ht="15">
      <c r="A91" s="263"/>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row>
    <row r="92" spans="1:88" ht="15">
      <c r="A92" s="263"/>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row>
    <row r="93" spans="1:88" ht="15">
      <c r="A93" s="263"/>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row>
    <row r="94" spans="1:88" ht="15">
      <c r="A94" s="263"/>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row>
    <row r="95" spans="1:88" ht="15">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row>
    <row r="96" spans="1:88" ht="15">
      <c r="A96" s="263"/>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row>
    <row r="97" spans="1:88" ht="15">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row>
    <row r="98" spans="1:88" ht="15">
      <c r="A98" s="263"/>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row>
    <row r="99" spans="1:88" ht="15">
      <c r="A99" s="263"/>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row>
    <row r="100" spans="1:88" ht="15">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row>
    <row r="101" spans="1:88" ht="15">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row>
    <row r="102" spans="1:88" ht="15">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row>
    <row r="103" spans="1:88" ht="15">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row>
    <row r="104" spans="1:88" ht="15">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row>
    <row r="105" spans="1:88" ht="15">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row>
    <row r="106" spans="1:88" ht="15">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row>
    <row r="107" spans="1:88" ht="15">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row>
    <row r="108" spans="1:88" ht="15">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263"/>
      <c r="AS108" s="263"/>
      <c r="AT108" s="263"/>
      <c r="AU108" s="263"/>
      <c r="AV108" s="263"/>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row>
    <row r="109" spans="1:88" ht="15">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row>
    <row r="110" spans="1:88" ht="15">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row>
    <row r="111" spans="1:88" ht="15">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row>
    <row r="112" spans="1:88" ht="15">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row>
    <row r="113" spans="1:88" ht="15">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row>
    <row r="114" spans="1:88" ht="15">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row>
    <row r="115" spans="1:88" ht="15">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row>
    <row r="116" spans="1:88" ht="15">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row>
    <row r="117" spans="1:88" ht="15">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row>
    <row r="118" spans="1:88" ht="15">
      <c r="A118" s="263"/>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row>
    <row r="119" spans="1:88" ht="15">
      <c r="A119" s="263"/>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row>
    <row r="120" spans="1:88" ht="15">
      <c r="A120" s="263"/>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c r="BT120" s="263"/>
      <c r="BU120" s="263"/>
      <c r="BV120" s="263"/>
      <c r="BW120" s="263"/>
      <c r="BX120" s="263"/>
      <c r="BY120" s="263"/>
      <c r="BZ120" s="263"/>
      <c r="CA120" s="263"/>
      <c r="CB120" s="263"/>
      <c r="CC120" s="263"/>
      <c r="CD120" s="263"/>
      <c r="CE120" s="263"/>
      <c r="CF120" s="263"/>
      <c r="CG120" s="263"/>
      <c r="CH120" s="263"/>
      <c r="CI120" s="263"/>
      <c r="CJ120" s="263"/>
    </row>
    <row r="121" spans="1:88" ht="15">
      <c r="A121" s="263"/>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c r="BT121" s="263"/>
      <c r="BU121" s="263"/>
      <c r="BV121" s="263"/>
      <c r="BW121" s="263"/>
      <c r="BX121" s="263"/>
      <c r="BY121" s="263"/>
      <c r="BZ121" s="263"/>
      <c r="CA121" s="263"/>
      <c r="CB121" s="263"/>
      <c r="CC121" s="263"/>
      <c r="CD121" s="263"/>
      <c r="CE121" s="263"/>
      <c r="CF121" s="263"/>
      <c r="CG121" s="263"/>
      <c r="CH121" s="263"/>
      <c r="CI121" s="263"/>
      <c r="CJ121" s="263"/>
    </row>
    <row r="122" spans="1:88" ht="15">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c r="AU122" s="263"/>
      <c r="AV122" s="263"/>
      <c r="AW122" s="263"/>
      <c r="AX122" s="263"/>
      <c r="AY122" s="263"/>
      <c r="AZ122" s="263"/>
      <c r="BA122" s="263"/>
      <c r="BB122" s="263"/>
      <c r="BC122" s="263"/>
      <c r="BD122" s="263"/>
      <c r="BE122" s="263"/>
      <c r="BF122" s="263"/>
      <c r="BG122" s="263"/>
      <c r="BH122" s="263"/>
      <c r="BI122" s="263"/>
      <c r="BJ122" s="263"/>
      <c r="BK122" s="263"/>
      <c r="BL122" s="263"/>
      <c r="BM122" s="263"/>
      <c r="BN122" s="263"/>
      <c r="BO122" s="263"/>
      <c r="BP122" s="263"/>
      <c r="BQ122" s="263"/>
      <c r="BR122" s="263"/>
      <c r="BS122" s="263"/>
      <c r="BT122" s="263"/>
      <c r="BU122" s="263"/>
      <c r="BV122" s="263"/>
      <c r="BW122" s="263"/>
      <c r="BX122" s="263"/>
      <c r="BY122" s="263"/>
      <c r="BZ122" s="263"/>
      <c r="CA122" s="263"/>
      <c r="CB122" s="263"/>
      <c r="CC122" s="263"/>
      <c r="CD122" s="263"/>
      <c r="CE122" s="263"/>
      <c r="CF122" s="263"/>
      <c r="CG122" s="263"/>
      <c r="CH122" s="263"/>
      <c r="CI122" s="263"/>
      <c r="CJ122" s="263"/>
    </row>
  </sheetData>
  <sheetProtection password="D950" sheet="1" scenarios="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EI1:EL1"/>
    <mergeCell ref="EM1:EP1"/>
    <mergeCell ref="EQ1:ET1"/>
    <mergeCell ref="GA1:GD1"/>
    <mergeCell ref="FK1:FN1"/>
    <mergeCell ref="FO1:FR1"/>
    <mergeCell ref="EU1:EX1"/>
    <mergeCell ref="EY1:FB1"/>
    <mergeCell ref="FC1:FF1"/>
    <mergeCell ref="FG1:FJ1"/>
    <mergeCell ref="IE1:IH1"/>
    <mergeCell ref="II1:IL1"/>
    <mergeCell ref="IM1:IP1"/>
    <mergeCell ref="HK1:HN1"/>
    <mergeCell ref="HO1:HR1"/>
    <mergeCell ref="HS1:HV1"/>
    <mergeCell ref="HW1:HZ1"/>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O2:R2"/>
    <mergeCell ref="S2:V2"/>
    <mergeCell ref="W2:Z2"/>
    <mergeCell ref="AA2:AD2"/>
    <mergeCell ref="AE2:AH2"/>
    <mergeCell ref="AI2:AL2"/>
    <mergeCell ref="AM2:AP2"/>
    <mergeCell ref="AQ2:AT2"/>
    <mergeCell ref="AU2:AX2"/>
    <mergeCell ref="AY2:BB2"/>
    <mergeCell ref="BC2:BF2"/>
    <mergeCell ref="BG2:BJ2"/>
    <mergeCell ref="BK2:BN2"/>
    <mergeCell ref="BO2:BR2"/>
    <mergeCell ref="BS2:BV2"/>
    <mergeCell ref="BW2:BZ2"/>
    <mergeCell ref="CA2:CD2"/>
    <mergeCell ref="CE2:CH2"/>
    <mergeCell ref="CI2:CL2"/>
    <mergeCell ref="CM2:CP2"/>
    <mergeCell ref="CQ2:CT2"/>
    <mergeCell ref="CU2:CX2"/>
    <mergeCell ref="CY2:DB2"/>
    <mergeCell ref="DC2:DF2"/>
    <mergeCell ref="DG2:DJ2"/>
    <mergeCell ref="DK2:DN2"/>
    <mergeCell ref="DO2:DR2"/>
    <mergeCell ref="DS2:DV2"/>
    <mergeCell ref="DW2:DZ2"/>
    <mergeCell ref="EA2:ED2"/>
    <mergeCell ref="EE2:EH2"/>
    <mergeCell ref="EI2:EL2"/>
    <mergeCell ref="EM2:EP2"/>
    <mergeCell ref="EQ2:ET2"/>
    <mergeCell ref="EU2:EX2"/>
    <mergeCell ref="EY2:FB2"/>
    <mergeCell ref="FC2:FF2"/>
    <mergeCell ref="FG2:FJ2"/>
    <mergeCell ref="FK2:FN2"/>
    <mergeCell ref="FO2:FR2"/>
    <mergeCell ref="FS2:FV2"/>
    <mergeCell ref="FW2:FZ2"/>
    <mergeCell ref="GA2:GD2"/>
    <mergeCell ref="GE2:GH2"/>
    <mergeCell ref="GI2:GL2"/>
    <mergeCell ref="GM2:GP2"/>
    <mergeCell ref="GQ2:GT2"/>
    <mergeCell ref="GU2:GX2"/>
    <mergeCell ref="GY2:HB2"/>
    <mergeCell ref="HC2:HF2"/>
    <mergeCell ref="IA2:ID2"/>
    <mergeCell ref="IE2:IH2"/>
    <mergeCell ref="II2:IL2"/>
    <mergeCell ref="IM2:IP2"/>
    <mergeCell ref="HG2:HJ2"/>
    <mergeCell ref="HK2:HN2"/>
    <mergeCell ref="HO2:HR2"/>
    <mergeCell ref="HS2:HV2"/>
    <mergeCell ref="HW2:HZ2"/>
  </mergeCells>
  <phoneticPr fontId="0" type="noConversion"/>
  <printOptions horizontalCentered="1" verticalCentered="1" gridLines="1"/>
  <pageMargins left="0.5" right="0.5" top="1" bottom="0.75" header="0.36" footer="0.5"/>
  <pageSetup scale="70" orientation="portrait" horizontalDpi="360" verticalDpi="360" r:id="rId2"/>
  <headerFooter alignWithMargins="0">
    <oddHeader xml:space="preserve">&amp;C&amp;"Arial,Bold"&amp;14TOWN OF BROADUS
COMBINING STATEMENT OF REVENUES, EXPENDITURES, AND CHANGES IN FUND BALANCES
BUDGET AND ACTUAL
NONMAJOR SPECIAL REVENUE FUNDS
FISCAL YEAR ENDED JUNE 30, 2017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4"/>
  <sheetViews>
    <sheetView zoomScaleNormal="100" workbookViewId="0">
      <pane xSplit="2" ySplit="5" topLeftCell="C6" activePane="bottomRight" state="frozen"/>
      <selection pane="topRight" activeCell="C1" sqref="C1"/>
      <selection pane="bottomLeft" activeCell="A6" sqref="A6"/>
      <selection pane="bottomRight" activeCell="E6" sqref="E6"/>
    </sheetView>
  </sheetViews>
  <sheetFormatPr defaultColWidth="8.85546875" defaultRowHeight="12.75"/>
  <cols>
    <col min="1" max="1" width="13.7109375" style="261" customWidth="1"/>
    <col min="2" max="2" width="45.7109375" style="261" customWidth="1"/>
    <col min="3" max="7" width="18.7109375" style="261" customWidth="1"/>
    <col min="8" max="12" width="18.42578125" style="261" customWidth="1"/>
    <col min="13" max="13" width="18.7109375" style="261" customWidth="1"/>
    <col min="14" max="16384" width="8.85546875" style="261"/>
  </cols>
  <sheetData>
    <row r="1" spans="1:18" ht="18" customHeight="1">
      <c r="A1" s="282"/>
      <c r="B1" s="282"/>
      <c r="C1" s="266" t="s">
        <v>1016</v>
      </c>
      <c r="D1" s="266" t="s">
        <v>1016</v>
      </c>
      <c r="E1" s="266" t="s">
        <v>1016</v>
      </c>
      <c r="F1" s="266" t="s">
        <v>1016</v>
      </c>
      <c r="G1" s="266" t="s">
        <v>1016</v>
      </c>
      <c r="H1" s="266" t="s">
        <v>1016</v>
      </c>
      <c r="I1" s="777" t="s">
        <v>1016</v>
      </c>
      <c r="J1" s="777" t="s">
        <v>1016</v>
      </c>
      <c r="K1" s="777" t="s">
        <v>1016</v>
      </c>
      <c r="L1" s="777" t="s">
        <v>1016</v>
      </c>
      <c r="M1" s="430" t="s">
        <v>1031</v>
      </c>
      <c r="N1" s="266"/>
      <c r="O1" s="263"/>
      <c r="P1" s="263"/>
      <c r="Q1" s="263"/>
      <c r="R1" s="263"/>
    </row>
    <row r="2" spans="1:18" ht="18" customHeight="1">
      <c r="A2" s="263"/>
      <c r="B2" s="263"/>
      <c r="C2" s="1736" t="s">
        <v>1017</v>
      </c>
      <c r="D2" s="1736" t="s">
        <v>1017</v>
      </c>
      <c r="E2" s="1736" t="s">
        <v>1017</v>
      </c>
      <c r="F2" s="1736" t="s">
        <v>1017</v>
      </c>
      <c r="G2" s="1736" t="s">
        <v>1017</v>
      </c>
      <c r="H2" s="1736" t="s">
        <v>1017</v>
      </c>
      <c r="I2" s="1736" t="s">
        <v>1017</v>
      </c>
      <c r="J2" s="1736" t="s">
        <v>1017</v>
      </c>
      <c r="K2" s="1736" t="s">
        <v>1017</v>
      </c>
      <c r="L2" s="1736" t="s">
        <v>1017</v>
      </c>
      <c r="M2" s="430" t="s">
        <v>1035</v>
      </c>
      <c r="N2" s="266"/>
      <c r="O2" s="263"/>
      <c r="P2" s="263"/>
      <c r="Q2" s="263"/>
      <c r="R2" s="263"/>
    </row>
    <row r="3" spans="1:18" ht="18" customHeight="1">
      <c r="A3" s="430" t="s">
        <v>1013</v>
      </c>
      <c r="B3" s="430"/>
      <c r="C3" s="1736"/>
      <c r="D3" s="1736"/>
      <c r="E3" s="1736"/>
      <c r="F3" s="1736"/>
      <c r="G3" s="1736"/>
      <c r="H3" s="1736"/>
      <c r="I3" s="1736"/>
      <c r="J3" s="1736"/>
      <c r="K3" s="1736"/>
      <c r="L3" s="1736"/>
      <c r="M3" s="430" t="s">
        <v>1036</v>
      </c>
      <c r="N3" s="263"/>
      <c r="O3" s="263"/>
      <c r="P3" s="263"/>
      <c r="Q3" s="263"/>
      <c r="R3" s="263"/>
    </row>
    <row r="4" spans="1:18" ht="18" customHeight="1" thickBot="1">
      <c r="A4" s="676" t="s">
        <v>1014</v>
      </c>
      <c r="B4" s="676" t="s">
        <v>1015</v>
      </c>
      <c r="C4" s="1737"/>
      <c r="D4" s="1737"/>
      <c r="E4" s="1737"/>
      <c r="F4" s="1737"/>
      <c r="G4" s="1737"/>
      <c r="H4" s="1737"/>
      <c r="I4" s="1737"/>
      <c r="J4" s="1737"/>
      <c r="K4" s="1737"/>
      <c r="L4" s="1737"/>
      <c r="M4" s="676" t="s">
        <v>1032</v>
      </c>
      <c r="N4" s="263"/>
      <c r="O4" s="263"/>
      <c r="P4" s="263"/>
      <c r="Q4" s="263"/>
      <c r="R4" s="263"/>
    </row>
    <row r="5" spans="1:18" ht="18" customHeight="1">
      <c r="A5" s="428"/>
      <c r="B5" s="677" t="s">
        <v>1060</v>
      </c>
      <c r="C5" s="432"/>
      <c r="D5" s="432"/>
      <c r="E5" s="432"/>
      <c r="F5" s="432"/>
      <c r="G5" s="432"/>
      <c r="H5" s="432"/>
      <c r="I5" s="432"/>
      <c r="J5" s="432"/>
      <c r="K5" s="432"/>
      <c r="L5" s="432"/>
      <c r="M5" s="432"/>
      <c r="N5" s="263"/>
      <c r="O5" s="263"/>
      <c r="P5" s="263"/>
      <c r="Q5" s="263"/>
      <c r="R5" s="263"/>
    </row>
    <row r="6" spans="1:18" ht="18" customHeight="1">
      <c r="A6" s="428">
        <v>101000</v>
      </c>
      <c r="B6" s="411" t="s">
        <v>1061</v>
      </c>
      <c r="C6" s="269"/>
      <c r="D6" s="269"/>
      <c r="E6" s="269"/>
      <c r="F6" s="269"/>
      <c r="G6" s="269"/>
      <c r="H6" s="269"/>
      <c r="I6" s="269"/>
      <c r="J6" s="269"/>
      <c r="K6" s="269"/>
      <c r="L6" s="269"/>
      <c r="M6" s="277">
        <f>SUM(C6:L6)</f>
        <v>0</v>
      </c>
      <c r="N6" s="263"/>
      <c r="O6" s="263"/>
      <c r="P6" s="263"/>
      <c r="Q6" s="263"/>
      <c r="R6" s="263"/>
    </row>
    <row r="7" spans="1:18" ht="18" customHeight="1">
      <c r="A7" s="428">
        <v>103000</v>
      </c>
      <c r="B7" s="411" t="s">
        <v>1205</v>
      </c>
      <c r="C7" s="269"/>
      <c r="D7" s="269"/>
      <c r="E7" s="269"/>
      <c r="F7" s="269"/>
      <c r="G7" s="269"/>
      <c r="H7" s="269"/>
      <c r="I7" s="269"/>
      <c r="J7" s="269"/>
      <c r="K7" s="269"/>
      <c r="L7" s="269"/>
      <c r="M7" s="277">
        <f t="shared" ref="M7:M11" si="0">SUM(C7:L7)</f>
        <v>0</v>
      </c>
      <c r="N7" s="263"/>
      <c r="O7" s="263"/>
      <c r="P7" s="263"/>
      <c r="Q7" s="263"/>
      <c r="R7" s="263"/>
    </row>
    <row r="8" spans="1:18" ht="18" customHeight="1">
      <c r="A8" s="428">
        <v>101100</v>
      </c>
      <c r="B8" s="411" t="s">
        <v>1062</v>
      </c>
      <c r="C8" s="269"/>
      <c r="D8" s="269"/>
      <c r="E8" s="269"/>
      <c r="F8" s="269"/>
      <c r="G8" s="269"/>
      <c r="H8" s="269"/>
      <c r="I8" s="269"/>
      <c r="J8" s="269"/>
      <c r="K8" s="269"/>
      <c r="L8" s="269"/>
      <c r="M8" s="277">
        <f t="shared" si="0"/>
        <v>0</v>
      </c>
      <c r="N8" s="263"/>
      <c r="O8" s="263"/>
      <c r="P8" s="263"/>
      <c r="Q8" s="263"/>
      <c r="R8" s="263"/>
    </row>
    <row r="9" spans="1:18" ht="18" customHeight="1">
      <c r="A9" s="428">
        <v>102000</v>
      </c>
      <c r="B9" s="411" t="s">
        <v>1018</v>
      </c>
      <c r="C9" s="269"/>
      <c r="D9" s="269"/>
      <c r="E9" s="269"/>
      <c r="F9" s="269"/>
      <c r="G9" s="269"/>
      <c r="H9" s="269"/>
      <c r="I9" s="269"/>
      <c r="J9" s="269"/>
      <c r="K9" s="269"/>
      <c r="L9" s="269"/>
      <c r="M9" s="277">
        <f t="shared" si="0"/>
        <v>0</v>
      </c>
      <c r="N9" s="263"/>
      <c r="O9" s="263"/>
      <c r="P9" s="263"/>
      <c r="Q9" s="263"/>
      <c r="R9" s="263"/>
    </row>
    <row r="10" spans="1:18" ht="18" customHeight="1">
      <c r="A10" s="428">
        <v>102300</v>
      </c>
      <c r="B10" s="411" t="s">
        <v>1019</v>
      </c>
      <c r="C10" s="269"/>
      <c r="D10" s="269"/>
      <c r="E10" s="269"/>
      <c r="F10" s="269"/>
      <c r="G10" s="269"/>
      <c r="H10" s="269"/>
      <c r="I10" s="269"/>
      <c r="J10" s="269"/>
      <c r="K10" s="269"/>
      <c r="L10" s="269"/>
      <c r="M10" s="277">
        <f t="shared" si="0"/>
        <v>0</v>
      </c>
      <c r="N10" s="263"/>
      <c r="O10" s="263"/>
      <c r="P10" s="263"/>
      <c r="Q10" s="263"/>
      <c r="R10" s="263"/>
    </row>
    <row r="11" spans="1:18" ht="18" customHeight="1">
      <c r="A11" s="428">
        <v>106000</v>
      </c>
      <c r="B11" s="411" t="s">
        <v>1020</v>
      </c>
      <c r="C11" s="269"/>
      <c r="D11" s="269"/>
      <c r="E11" s="269"/>
      <c r="F11" s="269"/>
      <c r="G11" s="269"/>
      <c r="H11" s="269"/>
      <c r="I11" s="269"/>
      <c r="J11" s="269"/>
      <c r="K11" s="269"/>
      <c r="L11" s="269"/>
      <c r="M11" s="277">
        <f t="shared" si="0"/>
        <v>0</v>
      </c>
      <c r="N11" s="263"/>
      <c r="O11" s="263"/>
      <c r="P11" s="263"/>
      <c r="Q11" s="263"/>
      <c r="R11" s="263"/>
    </row>
    <row r="12" spans="1:18" s="308" customFormat="1" ht="18" customHeight="1">
      <c r="A12" s="428"/>
      <c r="B12" s="411" t="s">
        <v>1021</v>
      </c>
      <c r="C12" s="277"/>
      <c r="D12" s="277"/>
      <c r="E12" s="277"/>
      <c r="F12" s="277"/>
      <c r="G12" s="277"/>
      <c r="H12" s="277"/>
      <c r="I12" s="277"/>
      <c r="J12" s="277"/>
      <c r="K12" s="277"/>
      <c r="L12" s="277"/>
      <c r="M12" s="277"/>
      <c r="N12" s="411"/>
      <c r="O12" s="411"/>
      <c r="P12" s="411"/>
      <c r="Q12" s="411"/>
      <c r="R12" s="411"/>
    </row>
    <row r="13" spans="1:18" ht="18" customHeight="1">
      <c r="A13" s="428">
        <v>111000</v>
      </c>
      <c r="B13" s="411" t="s">
        <v>1022</v>
      </c>
      <c r="C13" s="269"/>
      <c r="D13" s="269"/>
      <c r="E13" s="269"/>
      <c r="F13" s="269"/>
      <c r="G13" s="269"/>
      <c r="H13" s="269"/>
      <c r="I13" s="269"/>
      <c r="J13" s="269"/>
      <c r="K13" s="269"/>
      <c r="L13" s="269"/>
      <c r="M13" s="277">
        <f t="shared" ref="M13:M25" si="1">SUM(C13:L13)</f>
        <v>0</v>
      </c>
      <c r="N13" s="263"/>
      <c r="O13" s="263"/>
      <c r="P13" s="263"/>
      <c r="Q13" s="263"/>
      <c r="R13" s="263"/>
    </row>
    <row r="14" spans="1:18" ht="18" customHeight="1">
      <c r="A14" s="428">
        <v>113000</v>
      </c>
      <c r="B14" s="411" t="s">
        <v>1023</v>
      </c>
      <c r="C14" s="269"/>
      <c r="D14" s="269"/>
      <c r="E14" s="269"/>
      <c r="F14" s="269"/>
      <c r="G14" s="269"/>
      <c r="H14" s="269"/>
      <c r="I14" s="269"/>
      <c r="J14" s="269"/>
      <c r="K14" s="269"/>
      <c r="L14" s="269"/>
      <c r="M14" s="277">
        <f t="shared" si="1"/>
        <v>0</v>
      </c>
      <c r="N14" s="263"/>
      <c r="O14" s="263"/>
      <c r="P14" s="263"/>
      <c r="Q14" s="263"/>
      <c r="R14" s="263"/>
    </row>
    <row r="15" spans="1:18" ht="18" customHeight="1">
      <c r="A15" s="428">
        <v>114000</v>
      </c>
      <c r="B15" s="411" t="s">
        <v>1024</v>
      </c>
      <c r="C15" s="269"/>
      <c r="D15" s="269"/>
      <c r="E15" s="269"/>
      <c r="F15" s="269"/>
      <c r="G15" s="269"/>
      <c r="H15" s="269"/>
      <c r="I15" s="269"/>
      <c r="J15" s="269"/>
      <c r="K15" s="269"/>
      <c r="L15" s="269"/>
      <c r="M15" s="277">
        <f t="shared" si="1"/>
        <v>0</v>
      </c>
      <c r="N15" s="263"/>
      <c r="O15" s="263"/>
      <c r="P15" s="263"/>
      <c r="Q15" s="263"/>
      <c r="R15" s="263"/>
    </row>
    <row r="16" spans="1:18" ht="18" customHeight="1">
      <c r="A16" s="428">
        <v>115000</v>
      </c>
      <c r="B16" s="411" t="s">
        <v>1025</v>
      </c>
      <c r="C16" s="269"/>
      <c r="D16" s="269"/>
      <c r="E16" s="269"/>
      <c r="F16" s="269"/>
      <c r="G16" s="269"/>
      <c r="H16" s="269"/>
      <c r="I16" s="269"/>
      <c r="J16" s="269"/>
      <c r="K16" s="269"/>
      <c r="L16" s="269"/>
      <c r="M16" s="277">
        <f t="shared" si="1"/>
        <v>0</v>
      </c>
      <c r="N16" s="263"/>
      <c r="O16" s="263"/>
      <c r="P16" s="263"/>
      <c r="Q16" s="263"/>
      <c r="R16" s="263"/>
    </row>
    <row r="17" spans="1:18" ht="18" customHeight="1">
      <c r="A17" s="428">
        <v>116000</v>
      </c>
      <c r="B17" s="411" t="s">
        <v>1026</v>
      </c>
      <c r="C17" s="269"/>
      <c r="D17" s="269"/>
      <c r="E17" s="269"/>
      <c r="F17" s="269"/>
      <c r="G17" s="269"/>
      <c r="H17" s="269"/>
      <c r="I17" s="269"/>
      <c r="J17" s="269"/>
      <c r="K17" s="269"/>
      <c r="L17" s="269"/>
      <c r="M17" s="277">
        <f t="shared" si="1"/>
        <v>0</v>
      </c>
      <c r="N17" s="263"/>
      <c r="O17" s="263"/>
      <c r="P17" s="263"/>
      <c r="Q17" s="263"/>
      <c r="R17" s="263"/>
    </row>
    <row r="18" spans="1:18" ht="18" customHeight="1">
      <c r="A18" s="428">
        <v>118000</v>
      </c>
      <c r="B18" s="411" t="s">
        <v>825</v>
      </c>
      <c r="C18" s="269"/>
      <c r="D18" s="269"/>
      <c r="E18" s="269"/>
      <c r="F18" s="269"/>
      <c r="G18" s="269"/>
      <c r="H18" s="269"/>
      <c r="I18" s="269"/>
      <c r="J18" s="269"/>
      <c r="K18" s="269"/>
      <c r="L18" s="269"/>
      <c r="M18" s="277">
        <f t="shared" si="1"/>
        <v>0</v>
      </c>
      <c r="N18" s="263"/>
      <c r="O18" s="263"/>
      <c r="P18" s="263"/>
      <c r="Q18" s="263"/>
      <c r="R18" s="263"/>
    </row>
    <row r="19" spans="1:18" ht="30" customHeight="1">
      <c r="A19" s="428">
        <v>120000</v>
      </c>
      <c r="B19" s="678" t="s">
        <v>666</v>
      </c>
      <c r="C19" s="269"/>
      <c r="D19" s="269"/>
      <c r="E19" s="269"/>
      <c r="F19" s="269"/>
      <c r="G19" s="269"/>
      <c r="H19" s="269"/>
      <c r="I19" s="269"/>
      <c r="J19" s="269"/>
      <c r="K19" s="269"/>
      <c r="L19" s="269"/>
      <c r="M19" s="277">
        <f t="shared" si="1"/>
        <v>0</v>
      </c>
      <c r="N19" s="263"/>
      <c r="O19" s="263"/>
      <c r="P19" s="263"/>
      <c r="Q19" s="263"/>
      <c r="R19" s="263"/>
    </row>
    <row r="20" spans="1:18" ht="18" customHeight="1">
      <c r="A20" s="428">
        <v>131000</v>
      </c>
      <c r="B20" s="411" t="s">
        <v>249</v>
      </c>
      <c r="C20" s="269"/>
      <c r="D20" s="269"/>
      <c r="E20" s="269"/>
      <c r="F20" s="269"/>
      <c r="G20" s="269"/>
      <c r="H20" s="269"/>
      <c r="I20" s="269"/>
      <c r="J20" s="269"/>
      <c r="K20" s="269"/>
      <c r="L20" s="269"/>
      <c r="M20" s="277">
        <f t="shared" si="1"/>
        <v>0</v>
      </c>
      <c r="N20" s="263"/>
      <c r="O20" s="263"/>
      <c r="P20" s="263"/>
      <c r="Q20" s="263"/>
      <c r="R20" s="263"/>
    </row>
    <row r="21" spans="1:18" ht="18" customHeight="1">
      <c r="A21" s="428">
        <v>132000</v>
      </c>
      <c r="B21" s="411" t="s">
        <v>250</v>
      </c>
      <c r="C21" s="269"/>
      <c r="D21" s="269"/>
      <c r="E21" s="269"/>
      <c r="F21" s="269"/>
      <c r="G21" s="269"/>
      <c r="H21" s="269"/>
      <c r="I21" s="269"/>
      <c r="J21" s="269"/>
      <c r="K21" s="269"/>
      <c r="L21" s="269"/>
      <c r="M21" s="277">
        <f t="shared" si="1"/>
        <v>0</v>
      </c>
      <c r="N21" s="263"/>
      <c r="O21" s="263"/>
      <c r="P21" s="263"/>
      <c r="Q21" s="263"/>
      <c r="R21" s="263"/>
    </row>
    <row r="22" spans="1:18" ht="18" customHeight="1">
      <c r="A22" s="428">
        <v>133000</v>
      </c>
      <c r="B22" s="411" t="s">
        <v>1209</v>
      </c>
      <c r="C22" s="269"/>
      <c r="D22" s="269"/>
      <c r="E22" s="269"/>
      <c r="F22" s="269"/>
      <c r="G22" s="269"/>
      <c r="H22" s="269"/>
      <c r="I22" s="269"/>
      <c r="J22" s="269"/>
      <c r="K22" s="269"/>
      <c r="L22" s="269"/>
      <c r="M22" s="277">
        <f t="shared" si="1"/>
        <v>0</v>
      </c>
      <c r="N22" s="263"/>
      <c r="O22" s="263"/>
      <c r="P22" s="263"/>
      <c r="Q22" s="263"/>
      <c r="R22" s="263"/>
    </row>
    <row r="23" spans="1:18" ht="18" customHeight="1">
      <c r="A23" s="428">
        <v>140000</v>
      </c>
      <c r="B23" s="411" t="s">
        <v>202</v>
      </c>
      <c r="C23" s="269"/>
      <c r="D23" s="269"/>
      <c r="E23" s="269"/>
      <c r="F23" s="269"/>
      <c r="G23" s="269"/>
      <c r="H23" s="269"/>
      <c r="I23" s="269"/>
      <c r="J23" s="269"/>
      <c r="K23" s="269"/>
      <c r="L23" s="269"/>
      <c r="M23" s="277">
        <f t="shared" si="1"/>
        <v>0</v>
      </c>
      <c r="N23" s="263"/>
      <c r="O23" s="263"/>
      <c r="P23" s="263"/>
      <c r="Q23" s="263"/>
      <c r="R23" s="263"/>
    </row>
    <row r="24" spans="1:18" ht="18" customHeight="1">
      <c r="A24" s="428">
        <v>150000</v>
      </c>
      <c r="B24" s="411" t="s">
        <v>1065</v>
      </c>
      <c r="C24" s="269"/>
      <c r="D24" s="269"/>
      <c r="E24" s="269"/>
      <c r="F24" s="269"/>
      <c r="G24" s="269"/>
      <c r="H24" s="269"/>
      <c r="I24" s="269"/>
      <c r="J24" s="269"/>
      <c r="K24" s="269"/>
      <c r="L24" s="269"/>
      <c r="M24" s="277">
        <f t="shared" si="1"/>
        <v>0</v>
      </c>
      <c r="N24" s="263"/>
      <c r="O24" s="263"/>
      <c r="P24" s="263"/>
      <c r="Q24" s="263"/>
      <c r="R24" s="263"/>
    </row>
    <row r="25" spans="1:18" ht="18" customHeight="1" thickBot="1">
      <c r="A25" s="428">
        <v>170000</v>
      </c>
      <c r="B25" s="411" t="s">
        <v>180</v>
      </c>
      <c r="C25" s="271"/>
      <c r="D25" s="271"/>
      <c r="E25" s="271"/>
      <c r="F25" s="271"/>
      <c r="G25" s="271"/>
      <c r="H25" s="271"/>
      <c r="I25" s="271"/>
      <c r="J25" s="271"/>
      <c r="K25" s="271"/>
      <c r="L25" s="271"/>
      <c r="M25" s="278">
        <f t="shared" si="1"/>
        <v>0</v>
      </c>
      <c r="N25" s="263"/>
      <c r="O25" s="263"/>
      <c r="P25" s="263"/>
      <c r="Q25" s="263"/>
      <c r="R25" s="263"/>
    </row>
    <row r="26" spans="1:18" s="308" customFormat="1" ht="18" customHeight="1">
      <c r="A26" s="428"/>
      <c r="B26" s="430" t="s">
        <v>1069</v>
      </c>
      <c r="C26" s="277">
        <f>SUM(C6:C25)</f>
        <v>0</v>
      </c>
      <c r="D26" s="277">
        <f t="shared" ref="D26:M26" si="2">SUM(D6:D25)</f>
        <v>0</v>
      </c>
      <c r="E26" s="277">
        <f t="shared" si="2"/>
        <v>0</v>
      </c>
      <c r="F26" s="277">
        <f t="shared" si="2"/>
        <v>0</v>
      </c>
      <c r="G26" s="277">
        <f t="shared" si="2"/>
        <v>0</v>
      </c>
      <c r="H26" s="277">
        <f t="shared" si="2"/>
        <v>0</v>
      </c>
      <c r="I26" s="277">
        <f t="shared" si="2"/>
        <v>0</v>
      </c>
      <c r="J26" s="277">
        <f t="shared" si="2"/>
        <v>0</v>
      </c>
      <c r="K26" s="277">
        <f t="shared" si="2"/>
        <v>0</v>
      </c>
      <c r="L26" s="277">
        <f t="shared" si="2"/>
        <v>0</v>
      </c>
      <c r="M26" s="277">
        <f t="shared" si="2"/>
        <v>0</v>
      </c>
      <c r="N26" s="411"/>
      <c r="O26" s="411"/>
      <c r="P26" s="411"/>
      <c r="Q26" s="411"/>
      <c r="R26" s="411"/>
    </row>
    <row r="27" spans="1:18" s="308" customFormat="1" ht="9" customHeight="1">
      <c r="A27" s="428"/>
      <c r="B27" s="430"/>
      <c r="C27" s="277"/>
      <c r="D27" s="277"/>
      <c r="E27" s="277"/>
      <c r="F27" s="277"/>
      <c r="G27" s="277"/>
      <c r="H27" s="277"/>
      <c r="I27" s="277"/>
      <c r="J27" s="277"/>
      <c r="K27" s="277"/>
      <c r="L27" s="277"/>
      <c r="M27" s="277"/>
      <c r="N27" s="411"/>
      <c r="O27" s="411"/>
      <c r="P27" s="411"/>
      <c r="Q27" s="411"/>
      <c r="R27" s="411"/>
    </row>
    <row r="28" spans="1:18" s="308" customFormat="1" ht="18" customHeight="1">
      <c r="A28" s="429"/>
      <c r="B28" s="677" t="s">
        <v>1903</v>
      </c>
      <c r="C28" s="277"/>
      <c r="D28" s="277"/>
      <c r="E28" s="277"/>
      <c r="F28" s="277"/>
      <c r="G28" s="277"/>
      <c r="H28" s="277"/>
      <c r="I28" s="277"/>
      <c r="J28" s="277"/>
      <c r="K28" s="277"/>
      <c r="L28" s="277"/>
      <c r="M28" s="277"/>
      <c r="N28" s="411"/>
      <c r="O28" s="411"/>
      <c r="P28" s="411"/>
      <c r="Q28" s="411"/>
      <c r="R28" s="411"/>
    </row>
    <row r="29" spans="1:18" ht="18" customHeight="1">
      <c r="A29" s="300">
        <v>190000</v>
      </c>
      <c r="B29" s="263" t="s">
        <v>1904</v>
      </c>
      <c r="C29" s="269"/>
      <c r="D29" s="269"/>
      <c r="E29" s="269"/>
      <c r="F29" s="269"/>
      <c r="G29" s="269"/>
      <c r="H29" s="269"/>
      <c r="I29" s="269"/>
      <c r="J29" s="269"/>
      <c r="K29" s="269"/>
      <c r="L29" s="269"/>
      <c r="M29" s="277">
        <f>SUM(C29:L29)</f>
        <v>0</v>
      </c>
      <c r="N29" s="263"/>
      <c r="O29" s="263"/>
      <c r="P29" s="263"/>
      <c r="Q29" s="263"/>
      <c r="R29" s="263"/>
    </row>
    <row r="30" spans="1:18" ht="18" customHeight="1" thickBot="1">
      <c r="A30" s="300" t="s">
        <v>1957</v>
      </c>
      <c r="B30" s="263" t="s">
        <v>1914</v>
      </c>
      <c r="C30" s="271"/>
      <c r="D30" s="271"/>
      <c r="E30" s="271"/>
      <c r="F30" s="271"/>
      <c r="G30" s="271"/>
      <c r="H30" s="271"/>
      <c r="I30" s="271"/>
      <c r="J30" s="271"/>
      <c r="K30" s="271"/>
      <c r="L30" s="271"/>
      <c r="M30" s="278">
        <f>SUM(C30:L30)</f>
        <v>0</v>
      </c>
      <c r="N30" s="263"/>
      <c r="O30" s="263"/>
      <c r="P30" s="263"/>
      <c r="Q30" s="263"/>
      <c r="R30" s="263"/>
    </row>
    <row r="31" spans="1:18" s="308" customFormat="1" ht="18" customHeight="1">
      <c r="A31" s="429"/>
      <c r="B31" s="430" t="s">
        <v>1905</v>
      </c>
      <c r="C31" s="277">
        <f>SUM(C29:C30)</f>
        <v>0</v>
      </c>
      <c r="D31" s="277">
        <f t="shared" ref="D31:M31" si="3">SUM(D29:D30)</f>
        <v>0</v>
      </c>
      <c r="E31" s="277">
        <f t="shared" si="3"/>
        <v>0</v>
      </c>
      <c r="F31" s="277">
        <f t="shared" si="3"/>
        <v>0</v>
      </c>
      <c r="G31" s="277">
        <f t="shared" si="3"/>
        <v>0</v>
      </c>
      <c r="H31" s="277">
        <f t="shared" si="3"/>
        <v>0</v>
      </c>
      <c r="I31" s="277">
        <f t="shared" si="3"/>
        <v>0</v>
      </c>
      <c r="J31" s="277">
        <f t="shared" si="3"/>
        <v>0</v>
      </c>
      <c r="K31" s="277">
        <f t="shared" si="3"/>
        <v>0</v>
      </c>
      <c r="L31" s="277">
        <f t="shared" si="3"/>
        <v>0</v>
      </c>
      <c r="M31" s="277">
        <f t="shared" si="3"/>
        <v>0</v>
      </c>
      <c r="N31" s="411"/>
      <c r="O31" s="411"/>
      <c r="P31" s="411"/>
      <c r="Q31" s="411"/>
      <c r="R31" s="411"/>
    </row>
    <row r="32" spans="1:18" s="308" customFormat="1" ht="9" customHeight="1">
      <c r="A32" s="428"/>
      <c r="B32" s="411"/>
      <c r="C32" s="277"/>
      <c r="D32" s="277"/>
      <c r="E32" s="277"/>
      <c r="F32" s="277"/>
      <c r="G32" s="277"/>
      <c r="H32" s="277"/>
      <c r="I32" s="277"/>
      <c r="J32" s="277"/>
      <c r="K32" s="277"/>
      <c r="L32" s="277"/>
      <c r="M32" s="277"/>
      <c r="N32" s="411"/>
      <c r="O32" s="411"/>
      <c r="P32" s="411"/>
      <c r="Q32" s="411"/>
      <c r="R32" s="411"/>
    </row>
    <row r="33" spans="1:18" s="308" customFormat="1" ht="18" customHeight="1">
      <c r="A33" s="428"/>
      <c r="B33" s="431" t="s">
        <v>1070</v>
      </c>
      <c r="C33" s="277"/>
      <c r="D33" s="277"/>
      <c r="E33" s="277"/>
      <c r="F33" s="277"/>
      <c r="G33" s="277"/>
      <c r="H33" s="277"/>
      <c r="I33" s="277"/>
      <c r="J33" s="277"/>
      <c r="K33" s="277"/>
      <c r="L33" s="277"/>
      <c r="M33" s="277"/>
      <c r="N33" s="411"/>
      <c r="O33" s="411"/>
      <c r="P33" s="411"/>
      <c r="Q33" s="411"/>
      <c r="R33" s="411"/>
    </row>
    <row r="34" spans="1:18" ht="18" customHeight="1">
      <c r="A34" s="428">
        <v>201000</v>
      </c>
      <c r="B34" s="411" t="s">
        <v>728</v>
      </c>
      <c r="C34" s="269"/>
      <c r="D34" s="269"/>
      <c r="E34" s="269"/>
      <c r="F34" s="269"/>
      <c r="G34" s="269"/>
      <c r="H34" s="269"/>
      <c r="I34" s="269"/>
      <c r="J34" s="269"/>
      <c r="K34" s="269"/>
      <c r="L34" s="269"/>
      <c r="M34" s="277">
        <f>SUM(C34:L34)</f>
        <v>0</v>
      </c>
      <c r="N34" s="263"/>
      <c r="O34" s="263"/>
      <c r="P34" s="263"/>
      <c r="Q34" s="263"/>
      <c r="R34" s="263"/>
    </row>
    <row r="35" spans="1:18" ht="18" customHeight="1">
      <c r="A35" s="428">
        <v>202100</v>
      </c>
      <c r="B35" s="411" t="s">
        <v>205</v>
      </c>
      <c r="C35" s="269"/>
      <c r="D35" s="269"/>
      <c r="E35" s="269"/>
      <c r="F35" s="269"/>
      <c r="G35" s="269"/>
      <c r="H35" s="269"/>
      <c r="I35" s="269"/>
      <c r="J35" s="269"/>
      <c r="K35" s="269"/>
      <c r="L35" s="269"/>
      <c r="M35" s="277">
        <f t="shared" ref="M35:M43" si="4">SUM(C35:L35)</f>
        <v>0</v>
      </c>
      <c r="N35" s="263"/>
      <c r="O35" s="263"/>
      <c r="P35" s="263"/>
      <c r="Q35" s="263"/>
      <c r="R35" s="263"/>
    </row>
    <row r="36" spans="1:18" ht="18" customHeight="1">
      <c r="A36" s="428">
        <v>203100</v>
      </c>
      <c r="B36" s="411" t="s">
        <v>288</v>
      </c>
      <c r="C36" s="269"/>
      <c r="D36" s="269"/>
      <c r="E36" s="269"/>
      <c r="F36" s="269"/>
      <c r="G36" s="269"/>
      <c r="H36" s="269"/>
      <c r="I36" s="269"/>
      <c r="J36" s="269"/>
      <c r="K36" s="269"/>
      <c r="L36" s="269"/>
      <c r="M36" s="277">
        <f t="shared" si="4"/>
        <v>0</v>
      </c>
      <c r="N36" s="263"/>
      <c r="O36" s="263"/>
      <c r="P36" s="263"/>
      <c r="Q36" s="263"/>
      <c r="R36" s="263"/>
    </row>
    <row r="37" spans="1:18" ht="18" customHeight="1">
      <c r="A37" s="428">
        <v>204000</v>
      </c>
      <c r="B37" s="411" t="s">
        <v>814</v>
      </c>
      <c r="C37" s="269"/>
      <c r="D37" s="269"/>
      <c r="E37" s="269"/>
      <c r="F37" s="269"/>
      <c r="G37" s="269"/>
      <c r="H37" s="269"/>
      <c r="I37" s="269"/>
      <c r="J37" s="269"/>
      <c r="K37" s="269"/>
      <c r="L37" s="269"/>
      <c r="M37" s="277">
        <f t="shared" si="4"/>
        <v>0</v>
      </c>
      <c r="N37" s="263"/>
      <c r="O37" s="263"/>
      <c r="P37" s="263"/>
      <c r="Q37" s="263"/>
      <c r="R37" s="263"/>
    </row>
    <row r="38" spans="1:18" ht="18" customHeight="1">
      <c r="A38" s="428">
        <v>205200</v>
      </c>
      <c r="B38" s="411" t="s">
        <v>287</v>
      </c>
      <c r="C38" s="269"/>
      <c r="D38" s="269"/>
      <c r="E38" s="269"/>
      <c r="F38" s="269"/>
      <c r="G38" s="269"/>
      <c r="H38" s="269"/>
      <c r="I38" s="269"/>
      <c r="J38" s="269"/>
      <c r="K38" s="269"/>
      <c r="L38" s="269"/>
      <c r="M38" s="277">
        <f t="shared" si="4"/>
        <v>0</v>
      </c>
      <c r="N38" s="263"/>
      <c r="O38" s="263"/>
      <c r="P38" s="263"/>
      <c r="Q38" s="263"/>
      <c r="R38" s="263"/>
    </row>
    <row r="39" spans="1:18" ht="18" customHeight="1">
      <c r="A39" s="428">
        <v>206100</v>
      </c>
      <c r="B39" s="411" t="s">
        <v>1180</v>
      </c>
      <c r="C39" s="269"/>
      <c r="D39" s="269"/>
      <c r="E39" s="269"/>
      <c r="F39" s="269"/>
      <c r="G39" s="269"/>
      <c r="H39" s="269"/>
      <c r="I39" s="269"/>
      <c r="J39" s="269"/>
      <c r="K39" s="269"/>
      <c r="L39" s="269"/>
      <c r="M39" s="277">
        <f t="shared" si="4"/>
        <v>0</v>
      </c>
      <c r="N39" s="263"/>
      <c r="O39" s="263"/>
      <c r="P39" s="263"/>
      <c r="Q39" s="263"/>
      <c r="R39" s="263"/>
    </row>
    <row r="40" spans="1:18" ht="18" customHeight="1">
      <c r="A40" s="428">
        <v>211000</v>
      </c>
      <c r="B40" s="411" t="s">
        <v>1182</v>
      </c>
      <c r="C40" s="269"/>
      <c r="D40" s="269"/>
      <c r="E40" s="269"/>
      <c r="F40" s="269"/>
      <c r="G40" s="269"/>
      <c r="H40" s="269"/>
      <c r="I40" s="269"/>
      <c r="J40" s="269"/>
      <c r="K40" s="269"/>
      <c r="L40" s="269"/>
      <c r="M40" s="277">
        <f t="shared" si="4"/>
        <v>0</v>
      </c>
      <c r="N40" s="263"/>
      <c r="O40" s="263"/>
      <c r="P40" s="263"/>
      <c r="Q40" s="263"/>
      <c r="R40" s="263"/>
    </row>
    <row r="41" spans="1:18" ht="18" customHeight="1">
      <c r="A41" s="428">
        <v>212000</v>
      </c>
      <c r="B41" s="411" t="s">
        <v>1204</v>
      </c>
      <c r="C41" s="269"/>
      <c r="D41" s="269"/>
      <c r="E41" s="269"/>
      <c r="F41" s="269"/>
      <c r="G41" s="269"/>
      <c r="H41" s="269"/>
      <c r="I41" s="269"/>
      <c r="J41" s="269"/>
      <c r="K41" s="269"/>
      <c r="L41" s="269"/>
      <c r="M41" s="277">
        <f t="shared" si="4"/>
        <v>0</v>
      </c>
      <c r="N41" s="263"/>
      <c r="O41" s="263"/>
      <c r="P41" s="263"/>
      <c r="Q41" s="263"/>
      <c r="R41" s="263"/>
    </row>
    <row r="42" spans="1:18" ht="18" customHeight="1">
      <c r="A42" s="428">
        <v>214000</v>
      </c>
      <c r="B42" s="411" t="s">
        <v>811</v>
      </c>
      <c r="C42" s="269"/>
      <c r="D42" s="269"/>
      <c r="E42" s="269"/>
      <c r="F42" s="269"/>
      <c r="G42" s="269"/>
      <c r="H42" s="269"/>
      <c r="I42" s="269"/>
      <c r="J42" s="269"/>
      <c r="K42" s="269"/>
      <c r="L42" s="269"/>
      <c r="M42" s="277">
        <f t="shared" si="4"/>
        <v>0</v>
      </c>
      <c r="N42" s="263"/>
      <c r="O42" s="263"/>
      <c r="P42" s="263"/>
      <c r="Q42" s="263"/>
      <c r="R42" s="263"/>
    </row>
    <row r="43" spans="1:18" ht="18" customHeight="1">
      <c r="A43" s="428">
        <v>216000</v>
      </c>
      <c r="B43" s="411" t="s">
        <v>2033</v>
      </c>
      <c r="C43" s="269"/>
      <c r="D43" s="269"/>
      <c r="E43" s="269"/>
      <c r="F43" s="269"/>
      <c r="G43" s="269"/>
      <c r="H43" s="269"/>
      <c r="I43" s="269"/>
      <c r="J43" s="269"/>
      <c r="K43" s="269"/>
      <c r="L43" s="269"/>
      <c r="M43" s="277">
        <f t="shared" si="4"/>
        <v>0</v>
      </c>
      <c r="N43" s="263"/>
      <c r="O43" s="263"/>
      <c r="P43" s="263"/>
      <c r="Q43" s="263"/>
      <c r="R43" s="263"/>
    </row>
    <row r="44" spans="1:18" ht="18" customHeight="1" thickBot="1">
      <c r="A44" s="428">
        <v>233000</v>
      </c>
      <c r="B44" s="411" t="s">
        <v>266</v>
      </c>
      <c r="C44" s="271"/>
      <c r="D44" s="271"/>
      <c r="E44" s="271"/>
      <c r="F44" s="271"/>
      <c r="G44" s="271"/>
      <c r="H44" s="271"/>
      <c r="I44" s="271"/>
      <c r="J44" s="271"/>
      <c r="K44" s="271"/>
      <c r="L44" s="271"/>
      <c r="M44" s="278">
        <f>SUM(C44:L44)</f>
        <v>0</v>
      </c>
      <c r="N44" s="263"/>
      <c r="O44" s="263"/>
      <c r="P44" s="263"/>
      <c r="Q44" s="263"/>
      <c r="R44" s="263"/>
    </row>
    <row r="45" spans="1:18" s="308" customFormat="1" ht="18" customHeight="1">
      <c r="A45" s="428"/>
      <c r="B45" s="430" t="s">
        <v>1074</v>
      </c>
      <c r="C45" s="277">
        <f t="shared" ref="C45:M45" si="5">SUM(C34:C44)</f>
        <v>0</v>
      </c>
      <c r="D45" s="277">
        <f t="shared" si="5"/>
        <v>0</v>
      </c>
      <c r="E45" s="277">
        <f t="shared" si="5"/>
        <v>0</v>
      </c>
      <c r="F45" s="277">
        <f t="shared" si="5"/>
        <v>0</v>
      </c>
      <c r="G45" s="277">
        <f t="shared" si="5"/>
        <v>0</v>
      </c>
      <c r="H45" s="277">
        <f t="shared" si="5"/>
        <v>0</v>
      </c>
      <c r="I45" s="277">
        <f t="shared" si="5"/>
        <v>0</v>
      </c>
      <c r="J45" s="277">
        <f t="shared" si="5"/>
        <v>0</v>
      </c>
      <c r="K45" s="277">
        <f t="shared" si="5"/>
        <v>0</v>
      </c>
      <c r="L45" s="277">
        <f t="shared" si="5"/>
        <v>0</v>
      </c>
      <c r="M45" s="277">
        <f t="shared" si="5"/>
        <v>0</v>
      </c>
      <c r="N45" s="411"/>
      <c r="O45" s="411"/>
      <c r="P45" s="411"/>
      <c r="Q45" s="411"/>
      <c r="R45" s="411"/>
    </row>
    <row r="46" spans="1:18" s="308" customFormat="1" ht="9" customHeight="1">
      <c r="A46" s="428"/>
      <c r="B46" s="430"/>
      <c r="C46" s="277"/>
      <c r="D46" s="277"/>
      <c r="E46" s="277"/>
      <c r="F46" s="277"/>
      <c r="G46" s="277"/>
      <c r="H46" s="277"/>
      <c r="I46" s="277"/>
      <c r="J46" s="277"/>
      <c r="K46" s="277"/>
      <c r="L46" s="277"/>
      <c r="M46" s="277"/>
      <c r="N46" s="411"/>
      <c r="O46" s="411"/>
      <c r="P46" s="411"/>
      <c r="Q46" s="411"/>
      <c r="R46" s="411"/>
    </row>
    <row r="47" spans="1:18" s="308" customFormat="1" ht="18" customHeight="1">
      <c r="A47" s="429"/>
      <c r="B47" s="677" t="s">
        <v>1906</v>
      </c>
      <c r="C47" s="277"/>
      <c r="D47" s="277"/>
      <c r="E47" s="277"/>
      <c r="F47" s="277"/>
      <c r="G47" s="277"/>
      <c r="H47" s="277"/>
      <c r="I47" s="277"/>
      <c r="J47" s="277"/>
      <c r="K47" s="277"/>
      <c r="L47" s="277"/>
      <c r="M47" s="277"/>
      <c r="N47" s="411"/>
      <c r="O47" s="411"/>
      <c r="P47" s="411"/>
      <c r="Q47" s="411"/>
      <c r="R47" s="411"/>
    </row>
    <row r="48" spans="1:18" ht="18" customHeight="1">
      <c r="A48" s="300">
        <v>220000</v>
      </c>
      <c r="B48" s="263" t="s">
        <v>1908</v>
      </c>
      <c r="C48" s="269"/>
      <c r="D48" s="269"/>
      <c r="E48" s="269"/>
      <c r="F48" s="269"/>
      <c r="G48" s="269"/>
      <c r="H48" s="269"/>
      <c r="I48" s="269"/>
      <c r="J48" s="269"/>
      <c r="K48" s="269"/>
      <c r="L48" s="269"/>
      <c r="M48" s="277">
        <f>SUM(C48:L48)</f>
        <v>0</v>
      </c>
      <c r="N48" s="263"/>
      <c r="O48" s="263"/>
      <c r="P48" s="263"/>
      <c r="Q48" s="263"/>
      <c r="R48" s="263"/>
    </row>
    <row r="49" spans="1:18" ht="18" customHeight="1" thickBot="1">
      <c r="A49" s="300">
        <v>223000</v>
      </c>
      <c r="B49" s="263" t="s">
        <v>1907</v>
      </c>
      <c r="C49" s="271"/>
      <c r="D49" s="271"/>
      <c r="E49" s="271"/>
      <c r="F49" s="271"/>
      <c r="G49" s="271"/>
      <c r="H49" s="271"/>
      <c r="I49" s="271"/>
      <c r="J49" s="271"/>
      <c r="K49" s="271"/>
      <c r="L49" s="271"/>
      <c r="M49" s="278">
        <f>SUM(C49:L49)</f>
        <v>0</v>
      </c>
      <c r="N49" s="263"/>
      <c r="O49" s="263"/>
      <c r="P49" s="263"/>
      <c r="Q49" s="263"/>
      <c r="R49" s="263"/>
    </row>
    <row r="50" spans="1:18" s="308" customFormat="1" ht="18" customHeight="1">
      <c r="A50" s="429"/>
      <c r="B50" s="430" t="s">
        <v>1909</v>
      </c>
      <c r="C50" s="277">
        <f>SUM(C48:C49)</f>
        <v>0</v>
      </c>
      <c r="D50" s="277">
        <f t="shared" ref="D50:M50" si="6">SUM(D48:D49)</f>
        <v>0</v>
      </c>
      <c r="E50" s="277">
        <f t="shared" si="6"/>
        <v>0</v>
      </c>
      <c r="F50" s="277">
        <f t="shared" si="6"/>
        <v>0</v>
      </c>
      <c r="G50" s="277">
        <f t="shared" si="6"/>
        <v>0</v>
      </c>
      <c r="H50" s="277">
        <f t="shared" si="6"/>
        <v>0</v>
      </c>
      <c r="I50" s="277">
        <f t="shared" si="6"/>
        <v>0</v>
      </c>
      <c r="J50" s="277">
        <f t="shared" si="6"/>
        <v>0</v>
      </c>
      <c r="K50" s="277">
        <f t="shared" si="6"/>
        <v>0</v>
      </c>
      <c r="L50" s="277">
        <f t="shared" si="6"/>
        <v>0</v>
      </c>
      <c r="M50" s="277">
        <f t="shared" si="6"/>
        <v>0</v>
      </c>
      <c r="N50" s="411"/>
      <c r="O50" s="411"/>
      <c r="P50" s="411"/>
      <c r="Q50" s="411"/>
      <c r="R50" s="411"/>
    </row>
    <row r="51" spans="1:18" s="308" customFormat="1" ht="9" customHeight="1">
      <c r="A51" s="428"/>
      <c r="B51" s="411"/>
      <c r="C51" s="277"/>
      <c r="D51" s="277"/>
      <c r="E51" s="277"/>
      <c r="F51" s="277"/>
      <c r="G51" s="277"/>
      <c r="H51" s="277"/>
      <c r="I51" s="277"/>
      <c r="J51" s="277"/>
      <c r="K51" s="277"/>
      <c r="L51" s="277"/>
      <c r="M51" s="277"/>
      <c r="N51" s="411"/>
      <c r="O51" s="411"/>
      <c r="P51" s="411"/>
      <c r="Q51" s="411"/>
      <c r="R51" s="411"/>
    </row>
    <row r="52" spans="1:18" s="308" customFormat="1" ht="18" customHeight="1">
      <c r="A52" s="428"/>
      <c r="B52" s="431" t="s">
        <v>1569</v>
      </c>
      <c r="C52" s="277"/>
      <c r="D52" s="277"/>
      <c r="E52" s="277"/>
      <c r="F52" s="277"/>
      <c r="G52" s="277"/>
      <c r="H52" s="277"/>
      <c r="I52" s="277"/>
      <c r="J52" s="277"/>
      <c r="K52" s="277"/>
      <c r="L52" s="277"/>
      <c r="M52" s="277"/>
      <c r="N52" s="411"/>
      <c r="O52" s="411"/>
      <c r="P52" s="411"/>
      <c r="Q52" s="411"/>
      <c r="R52" s="411"/>
    </row>
    <row r="53" spans="1:18" ht="18" customHeight="1">
      <c r="A53" s="428">
        <v>250100</v>
      </c>
      <c r="B53" s="411" t="s">
        <v>1564</v>
      </c>
      <c r="C53" s="269"/>
      <c r="D53" s="269"/>
      <c r="E53" s="269"/>
      <c r="F53" s="269"/>
      <c r="G53" s="269"/>
      <c r="H53" s="269"/>
      <c r="I53" s="269"/>
      <c r="J53" s="269"/>
      <c r="K53" s="269"/>
      <c r="L53" s="269"/>
      <c r="M53" s="277">
        <f>SUM(C53:L53)</f>
        <v>0</v>
      </c>
      <c r="N53" s="263"/>
      <c r="O53" s="263"/>
      <c r="P53" s="263"/>
      <c r="Q53" s="263"/>
      <c r="R53" s="263"/>
    </row>
    <row r="54" spans="1:18" ht="18" customHeight="1">
      <c r="A54" s="428">
        <v>250200</v>
      </c>
      <c r="B54" s="411" t="s">
        <v>1565</v>
      </c>
      <c r="C54" s="269"/>
      <c r="D54" s="269"/>
      <c r="E54" s="269"/>
      <c r="F54" s="269"/>
      <c r="G54" s="269"/>
      <c r="H54" s="269"/>
      <c r="I54" s="269"/>
      <c r="J54" s="269"/>
      <c r="K54" s="269"/>
      <c r="L54" s="269"/>
      <c r="M54" s="277">
        <f>SUM(C54:L54)</f>
        <v>0</v>
      </c>
      <c r="N54" s="263"/>
      <c r="O54" s="263"/>
      <c r="P54" s="263"/>
      <c r="Q54" s="263"/>
      <c r="R54" s="263"/>
    </row>
    <row r="55" spans="1:18" ht="18" customHeight="1">
      <c r="A55" s="428">
        <v>260100</v>
      </c>
      <c r="B55" s="411" t="s">
        <v>1563</v>
      </c>
      <c r="C55" s="269"/>
      <c r="D55" s="269"/>
      <c r="E55" s="269"/>
      <c r="F55" s="269"/>
      <c r="G55" s="269"/>
      <c r="H55" s="269"/>
      <c r="I55" s="269"/>
      <c r="J55" s="269"/>
      <c r="K55" s="269"/>
      <c r="L55" s="269"/>
      <c r="M55" s="277">
        <f>SUM(C55:L55)</f>
        <v>0</v>
      </c>
      <c r="N55" s="263"/>
      <c r="O55" s="263"/>
      <c r="P55" s="263"/>
      <c r="Q55" s="263"/>
      <c r="R55" s="263"/>
    </row>
    <row r="56" spans="1:18" ht="18" customHeight="1">
      <c r="A56" s="428">
        <v>260200</v>
      </c>
      <c r="B56" s="411" t="s">
        <v>1562</v>
      </c>
      <c r="C56" s="269"/>
      <c r="D56" s="269"/>
      <c r="E56" s="269"/>
      <c r="F56" s="269"/>
      <c r="G56" s="269"/>
      <c r="H56" s="269"/>
      <c r="I56" s="269"/>
      <c r="J56" s="269"/>
      <c r="K56" s="269"/>
      <c r="L56" s="269"/>
      <c r="M56" s="277">
        <f>SUM(C56:L56)</f>
        <v>0</v>
      </c>
      <c r="N56" s="263"/>
      <c r="O56" s="263"/>
      <c r="P56" s="263"/>
      <c r="Q56" s="263"/>
      <c r="R56" s="263"/>
    </row>
    <row r="57" spans="1:18" ht="18" customHeight="1" thickBot="1">
      <c r="A57" s="428">
        <v>271000</v>
      </c>
      <c r="B57" s="411" t="s">
        <v>1567</v>
      </c>
      <c r="C57" s="278">
        <f>C26+C31-C45-C50-C53-C54-C55-C56</f>
        <v>0</v>
      </c>
      <c r="D57" s="278">
        <f t="shared" ref="D57:L57" si="7">D26+D31-D45-D50-D53-D54-D55-D56</f>
        <v>0</v>
      </c>
      <c r="E57" s="278">
        <f t="shared" si="7"/>
        <v>0</v>
      </c>
      <c r="F57" s="278">
        <f t="shared" si="7"/>
        <v>0</v>
      </c>
      <c r="G57" s="278">
        <f t="shared" si="7"/>
        <v>0</v>
      </c>
      <c r="H57" s="278">
        <f t="shared" si="7"/>
        <v>0</v>
      </c>
      <c r="I57" s="278">
        <f t="shared" si="7"/>
        <v>0</v>
      </c>
      <c r="J57" s="278">
        <f t="shared" si="7"/>
        <v>0</v>
      </c>
      <c r="K57" s="278">
        <f t="shared" si="7"/>
        <v>0</v>
      </c>
      <c r="L57" s="278">
        <f t="shared" si="7"/>
        <v>0</v>
      </c>
      <c r="M57" s="278">
        <f>SUM(C57:L57)</f>
        <v>0</v>
      </c>
      <c r="N57" s="263"/>
      <c r="O57" s="263"/>
      <c r="P57" s="263"/>
      <c r="Q57" s="263"/>
      <c r="R57" s="263"/>
    </row>
    <row r="58" spans="1:18" s="308" customFormat="1" ht="18" customHeight="1" thickBot="1">
      <c r="A58" s="428"/>
      <c r="B58" s="430" t="s">
        <v>1953</v>
      </c>
      <c r="C58" s="278">
        <f t="shared" ref="C58:M58" si="8">SUM(C53:C57)</f>
        <v>0</v>
      </c>
      <c r="D58" s="278">
        <f t="shared" si="8"/>
        <v>0</v>
      </c>
      <c r="E58" s="278">
        <f t="shared" si="8"/>
        <v>0</v>
      </c>
      <c r="F58" s="278">
        <f t="shared" si="8"/>
        <v>0</v>
      </c>
      <c r="G58" s="278">
        <f t="shared" si="8"/>
        <v>0</v>
      </c>
      <c r="H58" s="278">
        <f t="shared" si="8"/>
        <v>0</v>
      </c>
      <c r="I58" s="278">
        <f t="shared" si="8"/>
        <v>0</v>
      </c>
      <c r="J58" s="278">
        <f t="shared" si="8"/>
        <v>0</v>
      </c>
      <c r="K58" s="278">
        <f t="shared" si="8"/>
        <v>0</v>
      </c>
      <c r="L58" s="278">
        <f t="shared" si="8"/>
        <v>0</v>
      </c>
      <c r="M58" s="278">
        <f t="shared" si="8"/>
        <v>0</v>
      </c>
      <c r="N58" s="411"/>
      <c r="O58" s="411"/>
      <c r="P58" s="411"/>
      <c r="Q58" s="411"/>
      <c r="R58" s="411"/>
    </row>
    <row r="59" spans="1:18" s="308" customFormat="1" ht="39" customHeight="1" thickBot="1">
      <c r="A59" s="428"/>
      <c r="B59" s="679" t="s">
        <v>1954</v>
      </c>
      <c r="C59" s="280">
        <f>+C45+C58+C50</f>
        <v>0</v>
      </c>
      <c r="D59" s="280">
        <f t="shared" ref="D59:M59" si="9">+D45+D58+D50</f>
        <v>0</v>
      </c>
      <c r="E59" s="280">
        <f t="shared" si="9"/>
        <v>0</v>
      </c>
      <c r="F59" s="280">
        <f t="shared" si="9"/>
        <v>0</v>
      </c>
      <c r="G59" s="280">
        <f t="shared" si="9"/>
        <v>0</v>
      </c>
      <c r="H59" s="280">
        <f t="shared" si="9"/>
        <v>0</v>
      </c>
      <c r="I59" s="280">
        <f t="shared" si="9"/>
        <v>0</v>
      </c>
      <c r="J59" s="280">
        <f t="shared" si="9"/>
        <v>0</v>
      </c>
      <c r="K59" s="280">
        <f t="shared" si="9"/>
        <v>0</v>
      </c>
      <c r="L59" s="280">
        <f t="shared" si="9"/>
        <v>0</v>
      </c>
      <c r="M59" s="280">
        <f t="shared" si="9"/>
        <v>0</v>
      </c>
      <c r="N59" s="411"/>
      <c r="O59" s="411"/>
      <c r="P59" s="411"/>
      <c r="Q59" s="411"/>
      <c r="R59" s="411"/>
    </row>
    <row r="60" spans="1:18" s="308" customFormat="1" ht="16.5" thickTop="1">
      <c r="A60" s="428"/>
      <c r="B60" s="411"/>
      <c r="C60" s="681" t="s">
        <v>1341</v>
      </c>
      <c r="D60" s="411"/>
      <c r="E60" s="411"/>
      <c r="F60" s="681"/>
      <c r="G60" s="1098" t="s">
        <v>1341</v>
      </c>
      <c r="H60" s="411"/>
      <c r="I60" s="411"/>
      <c r="J60" s="411"/>
      <c r="K60" s="1098" t="s">
        <v>1342</v>
      </c>
      <c r="L60" s="411"/>
      <c r="M60" s="411"/>
      <c r="N60" s="411"/>
      <c r="O60" s="411"/>
      <c r="P60" s="411"/>
      <c r="Q60" s="411"/>
      <c r="R60" s="411"/>
    </row>
    <row r="61" spans="1:18" ht="15">
      <c r="A61" s="300"/>
      <c r="B61" s="263"/>
      <c r="C61" s="263"/>
      <c r="D61" s="263"/>
      <c r="E61" s="263"/>
      <c r="F61" s="263"/>
      <c r="G61" s="263"/>
      <c r="H61" s="263"/>
      <c r="I61" s="263"/>
      <c r="J61" s="263"/>
      <c r="K61" s="263"/>
      <c r="L61" s="263"/>
      <c r="M61" s="263"/>
      <c r="N61" s="263"/>
      <c r="O61" s="263"/>
      <c r="P61" s="263"/>
      <c r="Q61" s="263"/>
      <c r="R61" s="263"/>
    </row>
    <row r="62" spans="1:18" ht="15">
      <c r="A62" s="300"/>
      <c r="B62" s="263"/>
      <c r="C62" s="263"/>
      <c r="D62" s="263"/>
      <c r="E62" s="263"/>
      <c r="F62" s="263"/>
      <c r="G62" s="263"/>
      <c r="H62" s="263"/>
      <c r="I62" s="263"/>
      <c r="J62" s="263"/>
      <c r="K62" s="263"/>
      <c r="L62" s="263"/>
      <c r="M62" s="263"/>
      <c r="N62" s="263"/>
      <c r="O62" s="263"/>
      <c r="P62" s="263"/>
      <c r="Q62" s="263"/>
      <c r="R62" s="263"/>
    </row>
    <row r="63" spans="1:18" ht="15">
      <c r="A63" s="300"/>
      <c r="B63" s="263"/>
      <c r="C63" s="263"/>
      <c r="D63" s="263"/>
      <c r="E63" s="263"/>
      <c r="F63" s="263"/>
      <c r="G63" s="263"/>
      <c r="H63" s="263"/>
      <c r="I63" s="263"/>
      <c r="J63" s="263"/>
      <c r="K63" s="263"/>
      <c r="L63" s="263"/>
      <c r="M63" s="263"/>
      <c r="N63" s="263"/>
      <c r="O63" s="263"/>
      <c r="P63" s="263"/>
      <c r="Q63" s="263"/>
      <c r="R63" s="263"/>
    </row>
    <row r="64" spans="1:18" ht="15">
      <c r="A64" s="300"/>
      <c r="B64" s="263"/>
      <c r="C64" s="263"/>
      <c r="D64" s="263"/>
      <c r="E64" s="263"/>
      <c r="F64" s="263"/>
      <c r="G64" s="263"/>
      <c r="H64" s="263"/>
      <c r="I64" s="263"/>
      <c r="J64" s="263"/>
      <c r="K64" s="263"/>
      <c r="L64" s="263"/>
      <c r="M64" s="263"/>
      <c r="N64" s="263"/>
      <c r="O64" s="263"/>
      <c r="P64" s="263"/>
      <c r="Q64" s="263"/>
      <c r="R64" s="263"/>
    </row>
    <row r="65" spans="1:18" ht="15">
      <c r="A65" s="300"/>
      <c r="B65" s="263"/>
      <c r="C65" s="263"/>
      <c r="D65" s="263"/>
      <c r="E65" s="263"/>
      <c r="F65" s="263"/>
      <c r="G65" s="263"/>
      <c r="H65" s="263"/>
      <c r="I65" s="263"/>
      <c r="J65" s="263"/>
      <c r="K65" s="263"/>
      <c r="L65" s="263"/>
      <c r="M65" s="263"/>
      <c r="N65" s="263"/>
      <c r="O65" s="263"/>
      <c r="P65" s="263"/>
      <c r="Q65" s="263"/>
      <c r="R65" s="263"/>
    </row>
    <row r="66" spans="1:18" ht="15">
      <c r="A66" s="300"/>
      <c r="B66" s="263"/>
      <c r="C66" s="263"/>
      <c r="D66" s="263"/>
      <c r="E66" s="263"/>
      <c r="F66" s="263"/>
      <c r="G66" s="263"/>
      <c r="H66" s="263"/>
      <c r="I66" s="263"/>
      <c r="J66" s="263"/>
      <c r="K66" s="263"/>
      <c r="L66" s="263"/>
      <c r="M66" s="263"/>
      <c r="N66" s="263"/>
      <c r="O66" s="263"/>
      <c r="P66" s="263"/>
      <c r="Q66" s="263"/>
      <c r="R66" s="263"/>
    </row>
    <row r="67" spans="1:18" ht="15">
      <c r="A67" s="300"/>
      <c r="B67" s="263"/>
      <c r="C67" s="263"/>
      <c r="D67" s="263"/>
      <c r="E67" s="263"/>
      <c r="F67" s="263"/>
      <c r="G67" s="263"/>
      <c r="H67" s="263"/>
      <c r="I67" s="263"/>
      <c r="J67" s="263"/>
      <c r="K67" s="263"/>
      <c r="L67" s="263"/>
      <c r="M67" s="263"/>
      <c r="N67" s="263"/>
      <c r="O67" s="263"/>
      <c r="P67" s="263"/>
      <c r="Q67" s="263"/>
      <c r="R67" s="263"/>
    </row>
    <row r="68" spans="1:18" ht="15">
      <c r="A68" s="300"/>
      <c r="B68" s="263"/>
      <c r="C68" s="263"/>
      <c r="D68" s="263"/>
      <c r="E68" s="263"/>
      <c r="F68" s="263"/>
      <c r="G68" s="263"/>
      <c r="H68" s="263"/>
      <c r="I68" s="263"/>
      <c r="J68" s="263"/>
      <c r="K68" s="263"/>
      <c r="L68" s="263"/>
      <c r="M68" s="263"/>
      <c r="N68" s="263"/>
      <c r="O68" s="263"/>
      <c r="P68" s="263"/>
      <c r="Q68" s="263"/>
      <c r="R68" s="263"/>
    </row>
    <row r="69" spans="1:18" ht="15">
      <c r="A69" s="300"/>
      <c r="B69" s="263"/>
      <c r="C69" s="263"/>
      <c r="D69" s="263"/>
      <c r="E69" s="263"/>
      <c r="F69" s="263"/>
      <c r="G69" s="263"/>
      <c r="H69" s="263"/>
      <c r="I69" s="263"/>
      <c r="J69" s="263"/>
      <c r="K69" s="263"/>
      <c r="L69" s="263"/>
      <c r="M69" s="263"/>
      <c r="N69" s="263"/>
      <c r="O69" s="263"/>
      <c r="P69" s="263"/>
      <c r="Q69" s="263"/>
      <c r="R69" s="263"/>
    </row>
    <row r="70" spans="1:18" ht="15">
      <c r="A70" s="300"/>
      <c r="B70" s="263"/>
      <c r="C70" s="263"/>
      <c r="D70" s="263"/>
      <c r="E70" s="263"/>
      <c r="F70" s="263"/>
      <c r="G70" s="263"/>
      <c r="H70" s="263"/>
      <c r="I70" s="263"/>
      <c r="J70" s="263"/>
      <c r="K70" s="263"/>
      <c r="L70" s="263"/>
      <c r="M70" s="263"/>
      <c r="N70" s="263"/>
      <c r="O70" s="263"/>
      <c r="P70" s="263"/>
      <c r="Q70" s="263"/>
      <c r="R70" s="263"/>
    </row>
    <row r="71" spans="1:18" ht="15">
      <c r="A71" s="300"/>
      <c r="B71" s="263"/>
      <c r="C71" s="263"/>
      <c r="D71" s="263"/>
      <c r="E71" s="263"/>
      <c r="F71" s="263"/>
      <c r="G71" s="263"/>
      <c r="H71" s="263"/>
      <c r="I71" s="263"/>
      <c r="J71" s="263"/>
      <c r="K71" s="263"/>
      <c r="L71" s="263"/>
      <c r="M71" s="263"/>
      <c r="N71" s="263"/>
      <c r="O71" s="263"/>
      <c r="P71" s="263"/>
      <c r="Q71" s="263"/>
      <c r="R71" s="263"/>
    </row>
    <row r="72" spans="1:18" ht="15">
      <c r="A72" s="300"/>
      <c r="B72" s="263"/>
      <c r="C72" s="263"/>
      <c r="D72" s="263"/>
      <c r="E72" s="263"/>
      <c r="F72" s="263"/>
      <c r="G72" s="263"/>
      <c r="H72" s="263"/>
      <c r="I72" s="263"/>
      <c r="J72" s="263"/>
      <c r="K72" s="263"/>
      <c r="L72" s="263"/>
      <c r="M72" s="263"/>
      <c r="N72" s="263"/>
      <c r="O72" s="263"/>
      <c r="P72" s="263"/>
      <c r="Q72" s="263"/>
      <c r="R72" s="263"/>
    </row>
    <row r="73" spans="1:18" ht="15">
      <c r="A73" s="300"/>
      <c r="B73" s="263"/>
      <c r="C73" s="263"/>
      <c r="D73" s="263"/>
      <c r="E73" s="263"/>
      <c r="F73" s="263"/>
      <c r="G73" s="263"/>
      <c r="H73" s="263"/>
      <c r="I73" s="263"/>
      <c r="J73" s="263"/>
      <c r="K73" s="263"/>
      <c r="L73" s="263"/>
      <c r="M73" s="263"/>
      <c r="N73" s="263"/>
      <c r="O73" s="263"/>
      <c r="P73" s="263"/>
      <c r="Q73" s="263"/>
      <c r="R73" s="263"/>
    </row>
    <row r="74" spans="1:18" ht="15">
      <c r="A74" s="300"/>
      <c r="B74" s="263"/>
      <c r="C74" s="263"/>
      <c r="D74" s="263"/>
      <c r="E74" s="263"/>
      <c r="F74" s="263"/>
      <c r="G74" s="263"/>
      <c r="H74" s="263"/>
      <c r="I74" s="263"/>
      <c r="J74" s="263"/>
      <c r="K74" s="263"/>
      <c r="L74" s="263"/>
      <c r="M74" s="263"/>
      <c r="N74" s="263"/>
      <c r="O74" s="263"/>
      <c r="P74" s="263"/>
      <c r="Q74" s="263"/>
      <c r="R74" s="263"/>
    </row>
    <row r="75" spans="1:18" ht="15">
      <c r="A75" s="263"/>
      <c r="B75" s="263"/>
      <c r="C75" s="263"/>
      <c r="D75" s="263"/>
      <c r="E75" s="263"/>
      <c r="F75" s="263"/>
      <c r="G75" s="263"/>
      <c r="H75" s="263"/>
      <c r="I75" s="263"/>
      <c r="J75" s="263"/>
      <c r="K75" s="263"/>
      <c r="L75" s="263"/>
      <c r="M75" s="263"/>
      <c r="N75" s="263"/>
      <c r="O75" s="263"/>
      <c r="P75" s="263"/>
      <c r="Q75" s="263"/>
      <c r="R75" s="263"/>
    </row>
    <row r="76" spans="1:18" ht="15">
      <c r="A76" s="263"/>
      <c r="B76" s="263"/>
      <c r="C76" s="263"/>
      <c r="D76" s="263"/>
      <c r="E76" s="263"/>
      <c r="F76" s="263"/>
      <c r="G76" s="263"/>
      <c r="H76" s="263"/>
      <c r="I76" s="263"/>
      <c r="J76" s="263"/>
      <c r="K76" s="263"/>
      <c r="L76" s="263"/>
      <c r="M76" s="263"/>
      <c r="N76" s="263"/>
      <c r="O76" s="263"/>
      <c r="P76" s="263"/>
      <c r="Q76" s="263"/>
      <c r="R76" s="263"/>
    </row>
    <row r="77" spans="1:18" ht="15">
      <c r="A77" s="263"/>
      <c r="B77" s="263"/>
      <c r="C77" s="263"/>
      <c r="D77" s="263"/>
      <c r="E77" s="263"/>
      <c r="F77" s="263"/>
      <c r="G77" s="263"/>
      <c r="H77" s="263"/>
      <c r="I77" s="263"/>
      <c r="J77" s="263"/>
      <c r="K77" s="263"/>
      <c r="L77" s="263"/>
      <c r="M77" s="263"/>
      <c r="N77" s="263"/>
      <c r="O77" s="263"/>
      <c r="P77" s="263"/>
      <c r="Q77" s="263"/>
      <c r="R77" s="263"/>
    </row>
    <row r="78" spans="1:18" ht="15">
      <c r="A78" s="263"/>
      <c r="B78" s="263"/>
      <c r="C78" s="263"/>
      <c r="D78" s="263"/>
      <c r="E78" s="263"/>
      <c r="F78" s="263"/>
      <c r="G78" s="263"/>
      <c r="H78" s="263"/>
      <c r="I78" s="263"/>
      <c r="J78" s="263"/>
      <c r="K78" s="263"/>
      <c r="L78" s="263"/>
      <c r="M78" s="263"/>
      <c r="N78" s="263"/>
      <c r="O78" s="263"/>
      <c r="P78" s="263"/>
      <c r="Q78" s="263"/>
      <c r="R78" s="263"/>
    </row>
    <row r="79" spans="1:18" ht="15">
      <c r="A79" s="263"/>
      <c r="B79" s="263"/>
      <c r="C79" s="263"/>
      <c r="D79" s="263"/>
      <c r="E79" s="263"/>
      <c r="F79" s="263"/>
      <c r="G79" s="263"/>
      <c r="H79" s="263"/>
      <c r="I79" s="263"/>
      <c r="J79" s="263"/>
      <c r="K79" s="263"/>
      <c r="L79" s="263"/>
      <c r="M79" s="263"/>
      <c r="N79" s="263"/>
      <c r="O79" s="263"/>
      <c r="P79" s="263"/>
      <c r="Q79" s="263"/>
      <c r="R79" s="263"/>
    </row>
    <row r="80" spans="1:18" ht="15">
      <c r="A80" s="263"/>
      <c r="B80" s="263"/>
      <c r="C80" s="263"/>
      <c r="D80" s="263"/>
      <c r="E80" s="263"/>
      <c r="F80" s="263"/>
      <c r="G80" s="263"/>
      <c r="H80" s="263"/>
      <c r="I80" s="263"/>
      <c r="J80" s="263"/>
      <c r="K80" s="263"/>
      <c r="L80" s="263"/>
      <c r="M80" s="263"/>
      <c r="N80" s="263"/>
      <c r="O80" s="263"/>
      <c r="P80" s="263"/>
      <c r="Q80" s="263"/>
      <c r="R80" s="263"/>
    </row>
    <row r="81" spans="1:18" ht="15">
      <c r="A81" s="263"/>
      <c r="B81" s="263"/>
      <c r="C81" s="263"/>
      <c r="D81" s="263"/>
      <c r="E81" s="263"/>
      <c r="F81" s="263"/>
      <c r="G81" s="263"/>
      <c r="H81" s="263"/>
      <c r="I81" s="263"/>
      <c r="J81" s="263"/>
      <c r="K81" s="263"/>
      <c r="L81" s="263"/>
      <c r="M81" s="263"/>
      <c r="N81" s="263"/>
      <c r="O81" s="263"/>
      <c r="P81" s="263"/>
      <c r="Q81" s="263"/>
      <c r="R81" s="263"/>
    </row>
    <row r="82" spans="1:18" ht="15">
      <c r="A82" s="263"/>
      <c r="B82" s="263"/>
      <c r="C82" s="263"/>
      <c r="D82" s="263"/>
      <c r="E82" s="263"/>
      <c r="F82" s="263"/>
      <c r="G82" s="263"/>
      <c r="H82" s="263"/>
      <c r="I82" s="263"/>
      <c r="J82" s="263"/>
      <c r="K82" s="263"/>
      <c r="L82" s="263"/>
      <c r="M82" s="263"/>
      <c r="N82" s="263"/>
      <c r="O82" s="263"/>
      <c r="P82" s="263"/>
      <c r="Q82" s="263"/>
      <c r="R82" s="263"/>
    </row>
    <row r="83" spans="1:18" ht="15">
      <c r="A83" s="263"/>
      <c r="B83" s="263"/>
      <c r="C83" s="263"/>
      <c r="D83" s="263"/>
      <c r="E83" s="263"/>
      <c r="F83" s="263"/>
      <c r="G83" s="263"/>
      <c r="H83" s="263"/>
      <c r="I83" s="263"/>
      <c r="J83" s="263"/>
      <c r="K83" s="263"/>
      <c r="L83" s="263"/>
      <c r="M83" s="263"/>
      <c r="N83" s="263"/>
      <c r="O83" s="263"/>
      <c r="P83" s="263"/>
      <c r="Q83" s="263"/>
      <c r="R83" s="263"/>
    </row>
    <row r="84" spans="1:18" ht="15">
      <c r="A84" s="263"/>
      <c r="B84" s="263"/>
      <c r="C84" s="263"/>
      <c r="D84" s="263"/>
      <c r="E84" s="263"/>
      <c r="F84" s="263"/>
      <c r="G84" s="263"/>
      <c r="H84" s="263"/>
      <c r="I84" s="263"/>
      <c r="J84" s="263"/>
      <c r="K84" s="263"/>
      <c r="L84" s="263"/>
      <c r="M84" s="263"/>
      <c r="N84" s="263"/>
      <c r="O84" s="263"/>
      <c r="P84" s="263"/>
      <c r="Q84" s="263"/>
      <c r="R84" s="263"/>
    </row>
    <row r="85" spans="1:18" ht="15">
      <c r="A85" s="263"/>
      <c r="B85" s="263"/>
      <c r="C85" s="263"/>
      <c r="D85" s="263"/>
      <c r="E85" s="263"/>
      <c r="F85" s="263"/>
      <c r="G85" s="263"/>
      <c r="H85" s="263"/>
      <c r="I85" s="263"/>
      <c r="J85" s="263"/>
      <c r="K85" s="263"/>
      <c r="L85" s="263"/>
      <c r="M85" s="263"/>
      <c r="N85" s="263"/>
      <c r="O85" s="263"/>
      <c r="P85" s="263"/>
      <c r="Q85" s="263"/>
      <c r="R85" s="263"/>
    </row>
    <row r="86" spans="1:18" ht="15">
      <c r="A86" s="263"/>
      <c r="B86" s="263"/>
      <c r="C86" s="263"/>
      <c r="D86" s="263"/>
      <c r="E86" s="263"/>
      <c r="F86" s="263"/>
      <c r="G86" s="263"/>
      <c r="H86" s="263"/>
      <c r="I86" s="263"/>
      <c r="J86" s="263"/>
      <c r="K86" s="263"/>
      <c r="L86" s="263"/>
      <c r="M86" s="263"/>
      <c r="N86" s="263"/>
      <c r="O86" s="263"/>
      <c r="P86" s="263"/>
      <c r="Q86" s="263"/>
      <c r="R86" s="263"/>
    </row>
    <row r="87" spans="1:18" ht="15">
      <c r="A87" s="263"/>
      <c r="B87" s="263"/>
      <c r="C87" s="263"/>
      <c r="D87" s="263"/>
      <c r="E87" s="263"/>
      <c r="F87" s="263"/>
      <c r="G87" s="263"/>
      <c r="H87" s="263"/>
      <c r="I87" s="263"/>
      <c r="J87" s="263"/>
      <c r="K87" s="263"/>
      <c r="L87" s="263"/>
      <c r="M87" s="263"/>
      <c r="N87" s="263"/>
      <c r="O87" s="263"/>
      <c r="P87" s="263"/>
      <c r="Q87" s="263"/>
      <c r="R87" s="263"/>
    </row>
    <row r="88" spans="1:18" ht="15">
      <c r="A88" s="263"/>
      <c r="B88" s="263"/>
      <c r="C88" s="263"/>
      <c r="D88" s="263"/>
      <c r="E88" s="263"/>
      <c r="F88" s="263"/>
      <c r="G88" s="263"/>
      <c r="H88" s="263"/>
      <c r="I88" s="263"/>
      <c r="J88" s="263"/>
      <c r="K88" s="263"/>
      <c r="L88" s="263"/>
      <c r="M88" s="263"/>
      <c r="N88" s="263"/>
      <c r="O88" s="263"/>
      <c r="P88" s="263"/>
      <c r="Q88" s="263"/>
      <c r="R88" s="263"/>
    </row>
    <row r="89" spans="1:18" ht="15">
      <c r="A89" s="263"/>
      <c r="B89" s="263"/>
      <c r="C89" s="263"/>
      <c r="D89" s="263"/>
      <c r="E89" s="263"/>
      <c r="F89" s="263"/>
      <c r="G89" s="263"/>
      <c r="H89" s="263"/>
      <c r="I89" s="263"/>
      <c r="J89" s="263"/>
      <c r="K89" s="263"/>
      <c r="L89" s="263"/>
      <c r="M89" s="263"/>
      <c r="N89" s="263"/>
      <c r="O89" s="263"/>
      <c r="P89" s="263"/>
      <c r="Q89" s="263"/>
      <c r="R89" s="263"/>
    </row>
    <row r="90" spans="1:18" ht="15">
      <c r="A90" s="263"/>
      <c r="B90" s="263"/>
      <c r="C90" s="263"/>
      <c r="D90" s="263"/>
      <c r="E90" s="263"/>
      <c r="F90" s="263"/>
      <c r="G90" s="263"/>
      <c r="H90" s="263"/>
      <c r="I90" s="263"/>
      <c r="J90" s="263"/>
      <c r="K90" s="263"/>
      <c r="L90" s="263"/>
      <c r="M90" s="263"/>
      <c r="N90" s="263"/>
      <c r="O90" s="263"/>
      <c r="P90" s="263"/>
      <c r="Q90" s="263"/>
      <c r="R90" s="263"/>
    </row>
    <row r="91" spans="1:18" ht="15">
      <c r="A91" s="263"/>
      <c r="B91" s="263"/>
      <c r="C91" s="263"/>
      <c r="D91" s="263"/>
      <c r="E91" s="263"/>
      <c r="F91" s="263"/>
      <c r="G91" s="263"/>
      <c r="H91" s="263"/>
      <c r="I91" s="263"/>
      <c r="J91" s="263"/>
      <c r="K91" s="263"/>
      <c r="L91" s="263"/>
      <c r="M91" s="263"/>
      <c r="N91" s="263"/>
      <c r="O91" s="263"/>
      <c r="P91" s="263"/>
      <c r="Q91" s="263"/>
      <c r="R91" s="263"/>
    </row>
    <row r="92" spans="1:18" ht="15">
      <c r="A92" s="263"/>
      <c r="B92" s="263"/>
      <c r="C92" s="263"/>
      <c r="D92" s="263"/>
      <c r="E92" s="263"/>
      <c r="F92" s="263"/>
      <c r="G92" s="263"/>
      <c r="H92" s="263"/>
      <c r="I92" s="263"/>
      <c r="J92" s="263"/>
      <c r="K92" s="263"/>
      <c r="L92" s="263"/>
      <c r="M92" s="263"/>
      <c r="N92" s="263"/>
      <c r="O92" s="263"/>
      <c r="P92" s="263"/>
      <c r="Q92" s="263"/>
      <c r="R92" s="263"/>
    </row>
    <row r="93" spans="1:18" ht="15">
      <c r="A93" s="263"/>
      <c r="B93" s="263"/>
      <c r="C93" s="263"/>
      <c r="D93" s="263"/>
      <c r="E93" s="263"/>
      <c r="F93" s="263"/>
      <c r="G93" s="263"/>
      <c r="H93" s="263"/>
      <c r="I93" s="263"/>
      <c r="J93" s="263"/>
      <c r="K93" s="263"/>
      <c r="L93" s="263"/>
      <c r="M93" s="263"/>
      <c r="N93" s="263"/>
      <c r="O93" s="263"/>
      <c r="P93" s="263"/>
      <c r="Q93" s="263"/>
      <c r="R93" s="263"/>
    </row>
    <row r="94" spans="1:18" ht="15">
      <c r="A94" s="263"/>
      <c r="B94" s="263"/>
      <c r="C94" s="263"/>
      <c r="D94" s="263"/>
      <c r="E94" s="263"/>
      <c r="F94" s="263"/>
      <c r="G94" s="263"/>
      <c r="H94" s="263"/>
      <c r="I94" s="263"/>
      <c r="J94" s="263"/>
      <c r="K94" s="263"/>
      <c r="L94" s="263"/>
      <c r="M94" s="263"/>
      <c r="N94" s="263"/>
      <c r="O94" s="263"/>
      <c r="P94" s="263"/>
      <c r="Q94" s="263"/>
      <c r="R94" s="263"/>
    </row>
    <row r="95" spans="1:18" ht="15">
      <c r="A95" s="263"/>
      <c r="B95" s="263"/>
      <c r="C95" s="263"/>
      <c r="D95" s="263"/>
      <c r="E95" s="263"/>
      <c r="F95" s="263"/>
      <c r="G95" s="263"/>
      <c r="H95" s="263"/>
      <c r="I95" s="263"/>
      <c r="J95" s="263"/>
      <c r="K95" s="263"/>
      <c r="L95" s="263"/>
      <c r="M95" s="263"/>
      <c r="N95" s="263"/>
      <c r="O95" s="263"/>
      <c r="P95" s="263"/>
      <c r="Q95" s="263"/>
      <c r="R95" s="263"/>
    </row>
    <row r="96" spans="1:18" ht="15">
      <c r="A96" s="263"/>
      <c r="B96" s="263"/>
      <c r="C96" s="263"/>
      <c r="D96" s="263"/>
      <c r="E96" s="263"/>
      <c r="F96" s="263"/>
      <c r="G96" s="263"/>
      <c r="H96" s="263"/>
      <c r="I96" s="263"/>
      <c r="J96" s="263"/>
      <c r="K96" s="263"/>
      <c r="L96" s="263"/>
      <c r="M96" s="263"/>
      <c r="N96" s="263"/>
      <c r="O96" s="263"/>
      <c r="P96" s="263"/>
      <c r="Q96" s="263"/>
      <c r="R96" s="263"/>
    </row>
    <row r="97" spans="1:18" ht="15">
      <c r="A97" s="263"/>
      <c r="B97" s="263"/>
      <c r="C97" s="263"/>
      <c r="D97" s="263"/>
      <c r="E97" s="263"/>
      <c r="F97" s="263"/>
      <c r="G97" s="263"/>
      <c r="H97" s="263"/>
      <c r="I97" s="263"/>
      <c r="J97" s="263"/>
      <c r="K97" s="263"/>
      <c r="L97" s="263"/>
      <c r="M97" s="263"/>
      <c r="N97" s="263"/>
      <c r="O97" s="263"/>
      <c r="P97" s="263"/>
      <c r="Q97" s="263"/>
      <c r="R97" s="263"/>
    </row>
    <row r="98" spans="1:18" ht="15">
      <c r="A98" s="263"/>
      <c r="B98" s="263"/>
      <c r="C98" s="263"/>
      <c r="D98" s="263"/>
      <c r="E98" s="263"/>
      <c r="F98" s="263"/>
      <c r="G98" s="263"/>
      <c r="H98" s="263"/>
      <c r="I98" s="263"/>
      <c r="J98" s="263"/>
      <c r="K98" s="263"/>
      <c r="L98" s="263"/>
      <c r="M98" s="263"/>
      <c r="N98" s="263"/>
      <c r="O98" s="263"/>
      <c r="P98" s="263"/>
      <c r="Q98" s="263"/>
      <c r="R98" s="263"/>
    </row>
    <row r="99" spans="1:18" ht="15">
      <c r="A99" s="263"/>
      <c r="B99" s="263"/>
      <c r="C99" s="263"/>
      <c r="D99" s="263"/>
      <c r="E99" s="263"/>
      <c r="F99" s="263"/>
      <c r="G99" s="263"/>
      <c r="H99" s="263"/>
      <c r="I99" s="263"/>
      <c r="J99" s="263"/>
      <c r="K99" s="263"/>
      <c r="L99" s="263"/>
      <c r="M99" s="263"/>
      <c r="N99" s="263"/>
      <c r="O99" s="263"/>
      <c r="P99" s="263"/>
      <c r="Q99" s="263"/>
      <c r="R99" s="263"/>
    </row>
    <row r="100" spans="1:18" ht="15">
      <c r="A100" s="263"/>
      <c r="B100" s="263"/>
      <c r="C100" s="263"/>
      <c r="D100" s="263"/>
      <c r="E100" s="263"/>
      <c r="F100" s="263"/>
      <c r="G100" s="263"/>
      <c r="H100" s="263"/>
      <c r="I100" s="263"/>
      <c r="J100" s="263"/>
      <c r="K100" s="263"/>
      <c r="L100" s="263"/>
      <c r="M100" s="263"/>
      <c r="N100" s="263"/>
      <c r="O100" s="263"/>
      <c r="P100" s="263"/>
      <c r="Q100" s="263"/>
      <c r="R100" s="263"/>
    </row>
    <row r="101" spans="1:18" ht="15">
      <c r="A101" s="263"/>
      <c r="B101" s="263"/>
      <c r="C101" s="263"/>
      <c r="D101" s="263"/>
      <c r="E101" s="263"/>
      <c r="F101" s="263"/>
      <c r="G101" s="263"/>
      <c r="H101" s="263"/>
      <c r="I101" s="263"/>
      <c r="J101" s="263"/>
      <c r="K101" s="263"/>
      <c r="L101" s="263"/>
      <c r="M101" s="263"/>
      <c r="N101" s="263"/>
      <c r="O101" s="263"/>
      <c r="P101" s="263"/>
      <c r="Q101" s="263"/>
      <c r="R101" s="263"/>
    </row>
    <row r="102" spans="1:18" ht="15">
      <c r="A102" s="263"/>
      <c r="B102" s="263"/>
      <c r="C102" s="263"/>
      <c r="D102" s="263"/>
      <c r="E102" s="263"/>
      <c r="F102" s="263"/>
      <c r="G102" s="263"/>
      <c r="H102" s="263"/>
      <c r="I102" s="263"/>
      <c r="J102" s="263"/>
      <c r="K102" s="263"/>
      <c r="L102" s="263"/>
      <c r="M102" s="263"/>
      <c r="N102" s="263"/>
      <c r="O102" s="263"/>
      <c r="P102" s="263"/>
      <c r="Q102" s="263"/>
      <c r="R102" s="263"/>
    </row>
    <row r="103" spans="1:18" ht="15">
      <c r="A103" s="263"/>
      <c r="B103" s="263"/>
      <c r="C103" s="263"/>
      <c r="D103" s="263"/>
      <c r="E103" s="263"/>
      <c r="F103" s="263"/>
      <c r="G103" s="263"/>
      <c r="H103" s="263"/>
      <c r="I103" s="263"/>
      <c r="J103" s="263"/>
      <c r="K103" s="263"/>
      <c r="L103" s="263"/>
      <c r="M103" s="263"/>
      <c r="N103" s="263"/>
      <c r="O103" s="263"/>
      <c r="P103" s="263"/>
      <c r="Q103" s="263"/>
      <c r="R103" s="263"/>
    </row>
    <row r="104" spans="1:18" ht="15">
      <c r="A104" s="263"/>
      <c r="B104" s="263"/>
      <c r="C104" s="263"/>
      <c r="D104" s="263"/>
      <c r="E104" s="263"/>
      <c r="F104" s="263"/>
      <c r="G104" s="263"/>
      <c r="H104" s="263"/>
      <c r="I104" s="263"/>
      <c r="J104" s="263"/>
      <c r="K104" s="263"/>
      <c r="L104" s="263"/>
      <c r="M104" s="263"/>
      <c r="N104" s="263"/>
      <c r="O104" s="263"/>
      <c r="P104" s="263"/>
      <c r="Q104" s="263"/>
      <c r="R104" s="263"/>
    </row>
    <row r="105" spans="1:18" ht="15">
      <c r="A105" s="263"/>
      <c r="B105" s="263"/>
      <c r="C105" s="263"/>
      <c r="D105" s="263"/>
      <c r="E105" s="263"/>
      <c r="F105" s="263"/>
      <c r="G105" s="263"/>
      <c r="H105" s="263"/>
      <c r="I105" s="263"/>
      <c r="J105" s="263"/>
      <c r="K105" s="263"/>
      <c r="L105" s="263"/>
      <c r="M105" s="263"/>
      <c r="N105" s="263"/>
      <c r="O105" s="263"/>
      <c r="P105" s="263"/>
      <c r="Q105" s="263"/>
      <c r="R105" s="263"/>
    </row>
    <row r="106" spans="1:18" ht="15">
      <c r="A106" s="263"/>
      <c r="B106" s="263"/>
      <c r="C106" s="263"/>
      <c r="D106" s="263"/>
      <c r="E106" s="263"/>
      <c r="F106" s="263"/>
      <c r="G106" s="263"/>
      <c r="H106" s="263"/>
      <c r="I106" s="263"/>
      <c r="J106" s="263"/>
      <c r="K106" s="263"/>
      <c r="L106" s="263"/>
      <c r="M106" s="263"/>
      <c r="N106" s="263"/>
      <c r="O106" s="263"/>
      <c r="P106" s="263"/>
      <c r="Q106" s="263"/>
      <c r="R106" s="263"/>
    </row>
    <row r="107" spans="1:18" ht="15">
      <c r="A107" s="263"/>
      <c r="B107" s="263"/>
      <c r="C107" s="263"/>
      <c r="D107" s="263"/>
      <c r="E107" s="263"/>
      <c r="F107" s="263"/>
      <c r="G107" s="263"/>
      <c r="H107" s="263"/>
      <c r="I107" s="263"/>
      <c r="J107" s="263"/>
      <c r="K107" s="263"/>
      <c r="L107" s="263"/>
      <c r="M107" s="263"/>
      <c r="N107" s="263"/>
      <c r="O107" s="263"/>
      <c r="P107" s="263"/>
      <c r="Q107" s="263"/>
      <c r="R107" s="263"/>
    </row>
    <row r="108" spans="1:18" ht="15">
      <c r="A108" s="263"/>
      <c r="B108" s="263"/>
      <c r="C108" s="263"/>
      <c r="D108" s="263"/>
      <c r="E108" s="263"/>
      <c r="F108" s="263"/>
      <c r="G108" s="263"/>
      <c r="H108" s="263"/>
      <c r="I108" s="263"/>
      <c r="J108" s="263"/>
      <c r="K108" s="263"/>
      <c r="L108" s="263"/>
      <c r="M108" s="263"/>
      <c r="N108" s="263"/>
      <c r="O108" s="263"/>
      <c r="P108" s="263"/>
      <c r="Q108" s="263"/>
      <c r="R108" s="263"/>
    </row>
    <row r="109" spans="1:18" ht="15">
      <c r="A109" s="263"/>
      <c r="B109" s="263"/>
      <c r="C109" s="263"/>
      <c r="D109" s="263"/>
      <c r="E109" s="263"/>
      <c r="F109" s="263"/>
      <c r="G109" s="263"/>
      <c r="H109" s="263"/>
      <c r="I109" s="263"/>
      <c r="J109" s="263"/>
      <c r="K109" s="263"/>
      <c r="L109" s="263"/>
      <c r="M109" s="263"/>
      <c r="N109" s="263"/>
      <c r="O109" s="263"/>
      <c r="P109" s="263"/>
      <c r="Q109" s="263"/>
      <c r="R109" s="263"/>
    </row>
    <row r="110" spans="1:18" ht="15">
      <c r="A110" s="263"/>
      <c r="B110" s="263"/>
      <c r="C110" s="263"/>
      <c r="D110" s="263"/>
      <c r="E110" s="263"/>
      <c r="F110" s="263"/>
      <c r="G110" s="263"/>
      <c r="H110" s="263"/>
      <c r="I110" s="263"/>
      <c r="J110" s="263"/>
      <c r="K110" s="263"/>
      <c r="L110" s="263"/>
      <c r="M110" s="263"/>
      <c r="N110" s="263"/>
      <c r="O110" s="263"/>
      <c r="P110" s="263"/>
      <c r="Q110" s="263"/>
      <c r="R110" s="263"/>
    </row>
    <row r="111" spans="1:18" ht="15">
      <c r="A111" s="263"/>
      <c r="B111" s="263"/>
      <c r="C111" s="263"/>
      <c r="D111" s="263"/>
      <c r="E111" s="263"/>
      <c r="F111" s="263"/>
      <c r="G111" s="263"/>
      <c r="H111" s="263"/>
      <c r="I111" s="263"/>
      <c r="J111" s="263"/>
      <c r="K111" s="263"/>
      <c r="L111" s="263"/>
      <c r="M111" s="263"/>
      <c r="N111" s="263"/>
      <c r="O111" s="263"/>
      <c r="P111" s="263"/>
      <c r="Q111" s="263"/>
      <c r="R111" s="263"/>
    </row>
    <row r="112" spans="1:18" ht="15">
      <c r="A112" s="263"/>
      <c r="B112" s="263"/>
      <c r="C112" s="263"/>
      <c r="D112" s="263"/>
      <c r="E112" s="263"/>
      <c r="F112" s="263"/>
      <c r="G112" s="263"/>
      <c r="H112" s="263"/>
      <c r="I112" s="263"/>
      <c r="J112" s="263"/>
      <c r="K112" s="263"/>
      <c r="L112" s="263"/>
      <c r="M112" s="263"/>
      <c r="N112" s="263"/>
      <c r="O112" s="263"/>
      <c r="P112" s="263"/>
      <c r="Q112" s="263"/>
      <c r="R112" s="263"/>
    </row>
    <row r="113" spans="1:18" ht="15">
      <c r="A113" s="263"/>
      <c r="B113" s="263"/>
      <c r="C113" s="263"/>
      <c r="D113" s="263"/>
      <c r="E113" s="263"/>
      <c r="F113" s="263"/>
      <c r="G113" s="263"/>
      <c r="H113" s="263"/>
      <c r="I113" s="263"/>
      <c r="J113" s="263"/>
      <c r="K113" s="263"/>
      <c r="L113" s="263"/>
      <c r="M113" s="263"/>
      <c r="N113" s="263"/>
      <c r="O113" s="263"/>
      <c r="P113" s="263"/>
      <c r="Q113" s="263"/>
      <c r="R113" s="263"/>
    </row>
    <row r="114" spans="1:18" ht="15">
      <c r="A114" s="263"/>
      <c r="B114" s="263"/>
      <c r="C114" s="263"/>
      <c r="D114" s="263"/>
      <c r="E114" s="263"/>
      <c r="F114" s="263"/>
      <c r="G114" s="263"/>
      <c r="H114" s="263"/>
      <c r="I114" s="263"/>
      <c r="J114" s="263"/>
      <c r="K114" s="263"/>
      <c r="L114" s="263"/>
      <c r="M114" s="263"/>
      <c r="N114" s="263"/>
      <c r="O114" s="263"/>
      <c r="P114" s="263"/>
      <c r="Q114" s="263"/>
      <c r="R114" s="263"/>
    </row>
    <row r="115" spans="1:18" ht="15">
      <c r="A115" s="263"/>
      <c r="B115" s="263"/>
      <c r="C115" s="263"/>
      <c r="D115" s="263"/>
      <c r="E115" s="263"/>
      <c r="F115" s="263"/>
      <c r="G115" s="263"/>
      <c r="H115" s="263"/>
      <c r="I115" s="263"/>
      <c r="J115" s="263"/>
      <c r="K115" s="263"/>
      <c r="L115" s="263"/>
      <c r="M115" s="263"/>
      <c r="N115" s="263"/>
      <c r="O115" s="263"/>
      <c r="P115" s="263"/>
      <c r="Q115" s="263"/>
      <c r="R115" s="263"/>
    </row>
    <row r="116" spans="1:18" ht="15">
      <c r="A116" s="263"/>
      <c r="B116" s="263"/>
      <c r="C116" s="263"/>
      <c r="D116" s="263"/>
      <c r="E116" s="263"/>
      <c r="F116" s="263"/>
      <c r="G116" s="263"/>
      <c r="H116" s="263"/>
      <c r="I116" s="263"/>
      <c r="J116" s="263"/>
      <c r="K116" s="263"/>
      <c r="L116" s="263"/>
      <c r="M116" s="263"/>
      <c r="N116" s="263"/>
      <c r="O116" s="263"/>
      <c r="P116" s="263"/>
      <c r="Q116" s="263"/>
      <c r="R116" s="263"/>
    </row>
    <row r="117" spans="1:18" ht="15">
      <c r="A117" s="263"/>
      <c r="B117" s="263"/>
      <c r="C117" s="263"/>
      <c r="D117" s="263"/>
      <c r="E117" s="263"/>
      <c r="F117" s="263"/>
      <c r="G117" s="263"/>
      <c r="H117" s="263"/>
      <c r="I117" s="263"/>
      <c r="J117" s="263"/>
      <c r="K117" s="263"/>
      <c r="L117" s="263"/>
      <c r="M117" s="263"/>
      <c r="N117" s="263"/>
      <c r="O117" s="263"/>
      <c r="P117" s="263"/>
      <c r="Q117" s="263"/>
      <c r="R117" s="263"/>
    </row>
    <row r="118" spans="1:18" ht="15">
      <c r="A118" s="263"/>
      <c r="B118" s="263"/>
      <c r="C118" s="263"/>
      <c r="D118" s="263"/>
      <c r="E118" s="263"/>
      <c r="F118" s="263"/>
      <c r="G118" s="263"/>
      <c r="H118" s="263"/>
      <c r="I118" s="263"/>
      <c r="J118" s="263"/>
      <c r="K118" s="263"/>
      <c r="L118" s="263"/>
      <c r="M118" s="263"/>
      <c r="N118" s="263"/>
      <c r="O118" s="263"/>
      <c r="P118" s="263"/>
      <c r="Q118" s="263"/>
      <c r="R118" s="263"/>
    </row>
    <row r="119" spans="1:18" ht="15">
      <c r="A119" s="263"/>
      <c r="B119" s="263"/>
      <c r="C119" s="263"/>
      <c r="D119" s="263"/>
      <c r="E119" s="263"/>
      <c r="F119" s="263"/>
      <c r="G119" s="263"/>
      <c r="H119" s="263"/>
      <c r="I119" s="263"/>
      <c r="J119" s="263"/>
      <c r="K119" s="263"/>
      <c r="L119" s="263"/>
      <c r="M119" s="263"/>
      <c r="N119" s="263"/>
      <c r="O119" s="263"/>
      <c r="P119" s="263"/>
      <c r="Q119" s="263"/>
      <c r="R119" s="263"/>
    </row>
    <row r="120" spans="1:18" ht="15">
      <c r="A120" s="263"/>
      <c r="B120" s="263"/>
      <c r="C120" s="263"/>
      <c r="D120" s="263"/>
      <c r="E120" s="263"/>
      <c r="F120" s="263"/>
      <c r="G120" s="263"/>
      <c r="H120" s="263"/>
      <c r="I120" s="263"/>
      <c r="J120" s="263"/>
      <c r="K120" s="263"/>
      <c r="L120" s="263"/>
      <c r="M120" s="263"/>
      <c r="N120" s="263"/>
      <c r="O120" s="263"/>
      <c r="P120" s="263"/>
      <c r="Q120" s="263"/>
      <c r="R120" s="263"/>
    </row>
    <row r="121" spans="1:18" ht="15">
      <c r="A121" s="263"/>
      <c r="B121" s="263"/>
      <c r="C121" s="263"/>
      <c r="D121" s="263"/>
      <c r="E121" s="263"/>
      <c r="F121" s="263"/>
      <c r="G121" s="263"/>
      <c r="H121" s="263"/>
      <c r="I121" s="263"/>
      <c r="J121" s="263"/>
      <c r="K121" s="263"/>
      <c r="L121" s="263"/>
      <c r="M121" s="263"/>
      <c r="N121" s="263"/>
      <c r="O121" s="263"/>
      <c r="P121" s="263"/>
      <c r="Q121" s="263"/>
      <c r="R121" s="263"/>
    </row>
    <row r="122" spans="1:18" ht="15">
      <c r="A122" s="263"/>
      <c r="B122" s="263"/>
      <c r="C122" s="263"/>
      <c r="D122" s="263"/>
      <c r="E122" s="263"/>
      <c r="F122" s="263"/>
      <c r="G122" s="263"/>
      <c r="H122" s="263"/>
      <c r="I122" s="263"/>
      <c r="J122" s="263"/>
      <c r="K122" s="263"/>
      <c r="L122" s="263"/>
      <c r="M122" s="263"/>
      <c r="N122" s="263"/>
      <c r="O122" s="263"/>
      <c r="P122" s="263"/>
      <c r="Q122" s="263"/>
      <c r="R122" s="263"/>
    </row>
    <row r="123" spans="1:18" ht="15">
      <c r="A123" s="263"/>
      <c r="B123" s="263"/>
      <c r="C123" s="263"/>
      <c r="D123" s="263"/>
      <c r="E123" s="263"/>
      <c r="F123" s="263"/>
      <c r="G123" s="263"/>
      <c r="H123" s="263"/>
      <c r="I123" s="263"/>
      <c r="J123" s="263"/>
      <c r="K123" s="263"/>
      <c r="L123" s="263"/>
      <c r="M123" s="263"/>
      <c r="N123" s="263"/>
      <c r="O123" s="263"/>
      <c r="P123" s="263"/>
      <c r="Q123" s="263"/>
      <c r="R123" s="263"/>
    </row>
    <row r="124" spans="1:18" ht="15">
      <c r="A124" s="263"/>
      <c r="B124" s="263"/>
      <c r="C124" s="263"/>
      <c r="D124" s="263"/>
      <c r="E124" s="263"/>
      <c r="F124" s="263"/>
      <c r="G124" s="263"/>
      <c r="H124" s="263"/>
      <c r="I124" s="263"/>
      <c r="J124" s="263"/>
      <c r="K124" s="263"/>
      <c r="L124" s="263"/>
      <c r="M124" s="263"/>
      <c r="N124" s="263"/>
      <c r="O124" s="263"/>
      <c r="P124" s="263"/>
      <c r="Q124" s="263"/>
      <c r="R124" s="263"/>
    </row>
    <row r="125" spans="1:18" ht="15">
      <c r="A125" s="263"/>
      <c r="B125" s="263"/>
      <c r="C125" s="263"/>
      <c r="D125" s="263"/>
      <c r="E125" s="263"/>
      <c r="F125" s="263"/>
      <c r="G125" s="263"/>
      <c r="H125" s="263"/>
      <c r="I125" s="263"/>
      <c r="J125" s="263"/>
      <c r="K125" s="263"/>
      <c r="L125" s="263"/>
      <c r="M125" s="263"/>
      <c r="N125" s="263"/>
      <c r="O125" s="263"/>
      <c r="P125" s="263"/>
      <c r="Q125" s="263"/>
      <c r="R125" s="263"/>
    </row>
    <row r="126" spans="1:18" ht="15">
      <c r="A126" s="263"/>
      <c r="B126" s="263"/>
      <c r="C126" s="263"/>
      <c r="D126" s="263"/>
      <c r="E126" s="263"/>
      <c r="F126" s="263"/>
      <c r="G126" s="263"/>
      <c r="H126" s="263"/>
      <c r="I126" s="263"/>
      <c r="J126" s="263"/>
      <c r="K126" s="263"/>
      <c r="L126" s="263"/>
      <c r="M126" s="263"/>
      <c r="N126" s="263"/>
      <c r="O126" s="263"/>
      <c r="P126" s="263"/>
      <c r="Q126" s="263"/>
      <c r="R126" s="263"/>
    </row>
    <row r="127" spans="1:18" ht="15">
      <c r="A127" s="263"/>
      <c r="B127" s="263"/>
      <c r="C127" s="263"/>
      <c r="D127" s="263"/>
      <c r="E127" s="263"/>
      <c r="F127" s="263"/>
      <c r="G127" s="263"/>
      <c r="H127" s="263"/>
      <c r="I127" s="263"/>
      <c r="J127" s="263"/>
      <c r="K127" s="263"/>
      <c r="L127" s="263"/>
      <c r="M127" s="263"/>
      <c r="N127" s="263"/>
      <c r="O127" s="263"/>
      <c r="P127" s="263"/>
      <c r="Q127" s="263"/>
      <c r="R127" s="263"/>
    </row>
    <row r="128" spans="1:18" ht="15">
      <c r="A128" s="263"/>
      <c r="B128" s="263"/>
      <c r="C128" s="263"/>
      <c r="D128" s="263"/>
      <c r="E128" s="263"/>
      <c r="F128" s="263"/>
      <c r="G128" s="263"/>
      <c r="H128" s="263"/>
      <c r="I128" s="263"/>
      <c r="J128" s="263"/>
      <c r="K128" s="263"/>
      <c r="L128" s="263"/>
      <c r="M128" s="263"/>
      <c r="N128" s="263"/>
      <c r="O128" s="263"/>
      <c r="P128" s="263"/>
      <c r="Q128" s="263"/>
      <c r="R128" s="263"/>
    </row>
    <row r="129" spans="1:18" ht="15">
      <c r="A129" s="263"/>
      <c r="B129" s="263"/>
      <c r="C129" s="263"/>
      <c r="D129" s="263"/>
      <c r="E129" s="263"/>
      <c r="F129" s="263"/>
      <c r="G129" s="263"/>
      <c r="H129" s="263"/>
      <c r="I129" s="263"/>
      <c r="J129" s="263"/>
      <c r="K129" s="263"/>
      <c r="L129" s="263"/>
      <c r="M129" s="263"/>
      <c r="N129" s="263"/>
      <c r="O129" s="263"/>
      <c r="P129" s="263"/>
      <c r="Q129" s="263"/>
      <c r="R129" s="263"/>
    </row>
    <row r="130" spans="1:18" ht="15">
      <c r="A130" s="263"/>
      <c r="B130" s="263"/>
      <c r="C130" s="263"/>
      <c r="D130" s="263"/>
      <c r="E130" s="263"/>
      <c r="F130" s="263"/>
      <c r="G130" s="263"/>
      <c r="H130" s="263"/>
      <c r="I130" s="263"/>
      <c r="J130" s="263"/>
      <c r="K130" s="263"/>
      <c r="L130" s="263"/>
      <c r="M130" s="263"/>
      <c r="N130" s="263"/>
      <c r="O130" s="263"/>
      <c r="P130" s="263"/>
      <c r="Q130" s="263"/>
      <c r="R130" s="263"/>
    </row>
    <row r="131" spans="1:18" ht="15">
      <c r="A131" s="263"/>
      <c r="B131" s="263"/>
      <c r="C131" s="263"/>
      <c r="D131" s="263"/>
      <c r="E131" s="263"/>
      <c r="F131" s="263"/>
      <c r="G131" s="263"/>
      <c r="H131" s="263"/>
      <c r="I131" s="263"/>
      <c r="J131" s="263"/>
      <c r="K131" s="263"/>
      <c r="L131" s="263"/>
      <c r="M131" s="263"/>
      <c r="N131" s="263"/>
      <c r="O131" s="263"/>
      <c r="P131" s="263"/>
      <c r="Q131" s="263"/>
      <c r="R131" s="263"/>
    </row>
    <row r="132" spans="1:18" ht="15">
      <c r="A132" s="263"/>
      <c r="B132" s="263"/>
      <c r="C132" s="263"/>
      <c r="D132" s="263"/>
      <c r="E132" s="263"/>
      <c r="F132" s="263"/>
      <c r="G132" s="263"/>
      <c r="H132" s="263"/>
      <c r="I132" s="263"/>
      <c r="J132" s="263"/>
      <c r="K132" s="263"/>
      <c r="L132" s="263"/>
      <c r="M132" s="263"/>
      <c r="N132" s="263"/>
      <c r="O132" s="263"/>
      <c r="P132" s="263"/>
      <c r="Q132" s="263"/>
      <c r="R132" s="263"/>
    </row>
    <row r="133" spans="1:18" ht="15">
      <c r="A133" s="263"/>
      <c r="B133" s="263"/>
      <c r="C133" s="263"/>
      <c r="D133" s="263"/>
      <c r="E133" s="263"/>
      <c r="F133" s="263"/>
      <c r="G133" s="263"/>
      <c r="H133" s="263"/>
      <c r="I133" s="263"/>
      <c r="J133" s="263"/>
      <c r="K133" s="263"/>
      <c r="L133" s="263"/>
      <c r="M133" s="263"/>
      <c r="N133" s="263"/>
      <c r="O133" s="263"/>
      <c r="P133" s="263"/>
      <c r="Q133" s="263"/>
      <c r="R133" s="263"/>
    </row>
    <row r="134" spans="1:18" ht="15">
      <c r="A134" s="263"/>
      <c r="B134" s="263"/>
      <c r="C134" s="263"/>
      <c r="D134" s="263"/>
      <c r="E134" s="263"/>
      <c r="F134" s="263"/>
      <c r="G134" s="263"/>
      <c r="H134" s="263"/>
      <c r="I134" s="263"/>
      <c r="J134" s="263"/>
      <c r="K134" s="263"/>
      <c r="L134" s="263"/>
      <c r="M134" s="263"/>
      <c r="N134" s="263"/>
      <c r="O134" s="263"/>
      <c r="P134" s="263"/>
      <c r="Q134" s="263"/>
      <c r="R134" s="263"/>
    </row>
    <row r="135" spans="1:18" ht="15">
      <c r="A135" s="263"/>
      <c r="B135" s="263"/>
      <c r="C135" s="263"/>
      <c r="D135" s="263"/>
      <c r="E135" s="263"/>
      <c r="F135" s="263"/>
      <c r="G135" s="263"/>
      <c r="H135" s="263"/>
      <c r="I135" s="263"/>
      <c r="J135" s="263"/>
      <c r="K135" s="263"/>
      <c r="L135" s="263"/>
      <c r="M135" s="263"/>
      <c r="N135" s="263"/>
      <c r="O135" s="263"/>
      <c r="P135" s="263"/>
      <c r="Q135" s="263"/>
      <c r="R135" s="263"/>
    </row>
    <row r="136" spans="1:18" ht="15">
      <c r="A136" s="263"/>
      <c r="B136" s="263"/>
      <c r="C136" s="263"/>
      <c r="D136" s="263"/>
      <c r="E136" s="263"/>
      <c r="F136" s="263"/>
      <c r="G136" s="263"/>
      <c r="H136" s="263"/>
      <c r="I136" s="263"/>
      <c r="J136" s="263"/>
      <c r="K136" s="263"/>
      <c r="L136" s="263"/>
      <c r="M136" s="263"/>
      <c r="N136" s="263"/>
      <c r="O136" s="263"/>
      <c r="P136" s="263"/>
      <c r="Q136" s="263"/>
      <c r="R136" s="263"/>
    </row>
    <row r="137" spans="1:18" ht="15">
      <c r="A137" s="263"/>
      <c r="B137" s="263"/>
      <c r="C137" s="263"/>
      <c r="D137" s="263"/>
      <c r="E137" s="263"/>
      <c r="F137" s="263"/>
      <c r="G137" s="263"/>
      <c r="H137" s="263"/>
      <c r="I137" s="263"/>
      <c r="J137" s="263"/>
      <c r="K137" s="263"/>
      <c r="L137" s="263"/>
      <c r="M137" s="263"/>
      <c r="N137" s="263"/>
      <c r="O137" s="263"/>
      <c r="P137" s="263"/>
      <c r="Q137" s="263"/>
      <c r="R137" s="263"/>
    </row>
    <row r="138" spans="1:18" ht="15">
      <c r="A138" s="263"/>
      <c r="B138" s="263"/>
      <c r="C138" s="263"/>
      <c r="D138" s="263"/>
      <c r="E138" s="263"/>
      <c r="F138" s="263"/>
      <c r="G138" s="263"/>
      <c r="H138" s="263"/>
      <c r="I138" s="263"/>
      <c r="J138" s="263"/>
      <c r="K138" s="263"/>
      <c r="L138" s="263"/>
      <c r="M138" s="263"/>
      <c r="N138" s="263"/>
      <c r="O138" s="263"/>
      <c r="P138" s="263"/>
      <c r="Q138" s="263"/>
      <c r="R138" s="263"/>
    </row>
    <row r="139" spans="1:18" ht="15">
      <c r="A139" s="263"/>
      <c r="B139" s="263"/>
      <c r="C139" s="263"/>
      <c r="D139" s="263"/>
      <c r="E139" s="263"/>
      <c r="F139" s="263"/>
      <c r="G139" s="263"/>
      <c r="H139" s="263"/>
      <c r="I139" s="263"/>
      <c r="J139" s="263"/>
      <c r="K139" s="263"/>
      <c r="L139" s="263"/>
      <c r="M139" s="263"/>
      <c r="N139" s="263"/>
      <c r="O139" s="263"/>
      <c r="P139" s="263"/>
      <c r="Q139" s="263"/>
      <c r="R139" s="263"/>
    </row>
    <row r="140" spans="1:18" ht="15">
      <c r="A140" s="263"/>
      <c r="B140" s="263"/>
      <c r="C140" s="263"/>
      <c r="D140" s="263"/>
      <c r="E140" s="263"/>
      <c r="F140" s="263"/>
      <c r="G140" s="263"/>
      <c r="H140" s="263"/>
      <c r="I140" s="263"/>
      <c r="J140" s="263"/>
      <c r="K140" s="263"/>
      <c r="L140" s="263"/>
      <c r="M140" s="263"/>
      <c r="N140" s="263"/>
      <c r="O140" s="263"/>
      <c r="P140" s="263"/>
      <c r="Q140" s="263"/>
      <c r="R140" s="263"/>
    </row>
    <row r="141" spans="1:18" ht="15">
      <c r="A141" s="263"/>
      <c r="B141" s="263"/>
      <c r="C141" s="263"/>
      <c r="D141" s="263"/>
      <c r="E141" s="263"/>
      <c r="F141" s="263"/>
      <c r="G141" s="263"/>
      <c r="H141" s="263"/>
      <c r="I141" s="263"/>
      <c r="J141" s="263"/>
      <c r="K141" s="263"/>
      <c r="L141" s="263"/>
      <c r="M141" s="263"/>
      <c r="N141" s="263"/>
      <c r="O141" s="263"/>
      <c r="P141" s="263"/>
      <c r="Q141" s="263"/>
      <c r="R141" s="263"/>
    </row>
    <row r="142" spans="1:18" ht="15">
      <c r="A142" s="263"/>
      <c r="B142" s="263"/>
      <c r="C142" s="263"/>
      <c r="D142" s="263"/>
      <c r="E142" s="263"/>
      <c r="F142" s="263"/>
      <c r="G142" s="263"/>
      <c r="H142" s="263"/>
      <c r="I142" s="263"/>
      <c r="J142" s="263"/>
      <c r="K142" s="263"/>
      <c r="L142" s="263"/>
      <c r="M142" s="263"/>
      <c r="N142" s="263"/>
      <c r="O142" s="263"/>
      <c r="P142" s="263"/>
      <c r="Q142" s="263"/>
      <c r="R142" s="263"/>
    </row>
    <row r="143" spans="1:18" ht="15">
      <c r="A143" s="263"/>
      <c r="B143" s="263"/>
      <c r="C143" s="263"/>
      <c r="D143" s="263"/>
      <c r="E143" s="263"/>
      <c r="F143" s="263"/>
      <c r="G143" s="263"/>
      <c r="H143" s="263"/>
      <c r="I143" s="263"/>
      <c r="J143" s="263"/>
      <c r="K143" s="263"/>
      <c r="L143" s="263"/>
      <c r="M143" s="263"/>
      <c r="N143" s="263"/>
      <c r="O143" s="263"/>
      <c r="P143" s="263"/>
      <c r="Q143" s="263"/>
      <c r="R143" s="263"/>
    </row>
    <row r="144" spans="1:18" ht="15">
      <c r="A144" s="263"/>
      <c r="B144" s="263"/>
      <c r="C144" s="263"/>
      <c r="D144" s="263"/>
      <c r="E144" s="263"/>
      <c r="F144" s="263"/>
      <c r="G144" s="263"/>
      <c r="H144" s="263"/>
      <c r="I144" s="263"/>
      <c r="J144" s="263"/>
      <c r="K144" s="263"/>
      <c r="L144" s="263"/>
      <c r="M144" s="263"/>
      <c r="N144" s="263"/>
      <c r="O144" s="263"/>
      <c r="P144" s="263"/>
      <c r="Q144" s="263"/>
      <c r="R144" s="263"/>
    </row>
  </sheetData>
  <sheetProtection password="D950" sheet="1" scenarios="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C2:C4"/>
    <mergeCell ref="D2:D4"/>
    <mergeCell ref="E2:E4"/>
    <mergeCell ref="F2:F4"/>
    <mergeCell ref="G2:G4"/>
    <mergeCell ref="I2:I4"/>
    <mergeCell ref="J2:J4"/>
    <mergeCell ref="K2:K4"/>
    <mergeCell ref="L2:L4"/>
    <mergeCell ref="H2:H4"/>
  </mergeCells>
  <phoneticPr fontId="0" type="noConversion"/>
  <printOptions horizontalCentered="1" verticalCentered="1" gridLines="1"/>
  <pageMargins left="0.5" right="0.5" top="0.51" bottom="0" header="0" footer="0"/>
  <pageSetup scale="68" orientation="portrait" r:id="rId2"/>
  <headerFooter alignWithMargins="0">
    <oddHeader xml:space="preserve">&amp;C&amp;"Arial,Bold"&amp;14TOWN OF BROADUS
COMBINING BALANCE SHEET
NONMAJOR DEBT SERVICE FUNDS
JUNE 30, 2017
</oddHeader>
  </headerFooter>
  <colBreaks count="1" manualBreakCount="1">
    <brk id="5" max="47" man="1"/>
  </col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4"/>
  <sheetViews>
    <sheetView zoomScaleNormal="100" workbookViewId="0">
      <pane xSplit="2" ySplit="9" topLeftCell="C10" activePane="bottomRight" state="frozen"/>
      <selection pane="topRight" activeCell="C1" sqref="C1"/>
      <selection pane="bottomLeft" activeCell="A10" sqref="A10"/>
      <selection pane="bottomRight" activeCell="F40" sqref="F40"/>
    </sheetView>
  </sheetViews>
  <sheetFormatPr defaultColWidth="8.85546875" defaultRowHeight="12.75"/>
  <cols>
    <col min="1" max="1" width="14.7109375" style="261" customWidth="1"/>
    <col min="2" max="2" width="45.7109375" style="261" customWidth="1"/>
    <col min="3" max="46" width="16.7109375" style="261" customWidth="1"/>
    <col min="47" max="16384" width="8.85546875" style="261"/>
  </cols>
  <sheetData>
    <row r="1" spans="1:46" ht="15.75">
      <c r="C1" s="691" t="str">
        <f>'BS-NONMAJOR DEBT SERVICE(67-68)'!C1</f>
        <v>FUND#</v>
      </c>
      <c r="D1" s="691"/>
      <c r="E1" s="691"/>
      <c r="F1" s="691"/>
      <c r="G1" s="691" t="str">
        <f>'BS-NONMAJOR DEBT SERVICE(67-68)'!D1</f>
        <v>FUND#</v>
      </c>
      <c r="H1" s="691"/>
      <c r="I1" s="691"/>
      <c r="J1" s="691"/>
      <c r="K1" s="691" t="str">
        <f>'BS-NONMAJOR DEBT SERVICE(67-68)'!E1</f>
        <v>FUND#</v>
      </c>
      <c r="L1" s="691"/>
      <c r="M1" s="691"/>
      <c r="N1" s="691"/>
      <c r="O1" s="691" t="str">
        <f>'BS-NONMAJOR DEBT SERVICE(67-68)'!F1</f>
        <v>FUND#</v>
      </c>
      <c r="P1" s="691"/>
      <c r="Q1" s="691"/>
      <c r="R1" s="691"/>
      <c r="S1" s="691" t="str">
        <f>'BS-NONMAJOR DEBT SERVICE(67-68)'!G1</f>
        <v>FUND#</v>
      </c>
      <c r="T1" s="691"/>
      <c r="U1" s="691"/>
      <c r="V1" s="691"/>
      <c r="W1" s="1743" t="str">
        <f>'BS-NONMAJOR DEBT SERVICE(67-68)'!H1</f>
        <v>FUND#</v>
      </c>
      <c r="X1" s="1743"/>
      <c r="Y1" s="1743"/>
      <c r="Z1" s="1743"/>
      <c r="AA1" s="1743" t="str">
        <f>'BS-NONMAJOR DEBT SERVICE(67-68)'!I1</f>
        <v>FUND#</v>
      </c>
      <c r="AB1" s="1743"/>
      <c r="AC1" s="1743"/>
      <c r="AD1" s="1743"/>
      <c r="AE1" s="1743" t="str">
        <f>'BS-NONMAJOR DEBT SERVICE(67-68)'!J1</f>
        <v>FUND#</v>
      </c>
      <c r="AF1" s="1743"/>
      <c r="AG1" s="1743"/>
      <c r="AH1" s="1743"/>
      <c r="AI1" s="1743" t="str">
        <f>'BS-NONMAJOR DEBT SERVICE(67-68)'!K1</f>
        <v>FUND#</v>
      </c>
      <c r="AJ1" s="1743"/>
      <c r="AK1" s="1743"/>
      <c r="AL1" s="1743"/>
      <c r="AM1" s="1743" t="str">
        <f>'BS-NONMAJOR DEBT SERVICE(67-68)'!L1</f>
        <v>FUND#</v>
      </c>
      <c r="AN1" s="1743"/>
      <c r="AO1" s="1743"/>
      <c r="AP1" s="1743"/>
      <c r="AQ1" s="691" t="s">
        <v>126</v>
      </c>
      <c r="AR1" s="691"/>
      <c r="AS1" s="691"/>
      <c r="AT1" s="691"/>
    </row>
    <row r="2" spans="1:46" ht="15.75">
      <c r="C2" s="1743" t="str">
        <f>'BS-NONMAJOR DEBT SERVICE(67-68)'!C2:C4</f>
        <v>NAME</v>
      </c>
      <c r="D2" s="1743"/>
      <c r="E2" s="1743"/>
      <c r="F2" s="1743"/>
      <c r="G2" s="1743" t="str">
        <f>'BS-NONMAJOR DEBT SERVICE(67-68)'!D2:D4</f>
        <v>NAME</v>
      </c>
      <c r="H2" s="1743"/>
      <c r="I2" s="1743"/>
      <c r="J2" s="1743"/>
      <c r="K2" s="1743" t="str">
        <f>'BS-NONMAJOR DEBT SERVICE(67-68)'!E2:E4</f>
        <v>NAME</v>
      </c>
      <c r="L2" s="1743"/>
      <c r="M2" s="1743"/>
      <c r="N2" s="1743"/>
      <c r="O2" s="1743" t="str">
        <f>'BS-NONMAJOR DEBT SERVICE(67-68)'!F2:F4</f>
        <v>NAME</v>
      </c>
      <c r="P2" s="1743"/>
      <c r="Q2" s="1743"/>
      <c r="R2" s="1743"/>
      <c r="S2" s="1743" t="str">
        <f>'BS-NONMAJOR DEBT SERVICE(67-68)'!G2:G4</f>
        <v>NAME</v>
      </c>
      <c r="T2" s="1743"/>
      <c r="U2" s="1743"/>
      <c r="V2" s="1743"/>
      <c r="W2" s="1743" t="str">
        <f>'BS-NONMAJOR DEBT SERVICE(67-68)'!H2:H4</f>
        <v>NAME</v>
      </c>
      <c r="X2" s="1743"/>
      <c r="Y2" s="1743"/>
      <c r="Z2" s="1743"/>
      <c r="AA2" s="1743" t="str">
        <f>'BS-NONMAJOR DEBT SERVICE(67-68)'!L2:L4</f>
        <v>NAME</v>
      </c>
      <c r="AB2" s="1743"/>
      <c r="AC2" s="1743"/>
      <c r="AD2" s="1743"/>
      <c r="AE2" s="1743" t="str">
        <f>'BS-NONMAJOR DEBT SERVICE(67-68)'!J2:J4</f>
        <v>NAME</v>
      </c>
      <c r="AF2" s="1743"/>
      <c r="AG2" s="1743"/>
      <c r="AH2" s="1743"/>
      <c r="AI2" s="1743" t="str">
        <f>'BS-NONMAJOR DEBT SERVICE(67-68)'!K2:K4</f>
        <v>NAME</v>
      </c>
      <c r="AJ2" s="1743"/>
      <c r="AK2" s="1743"/>
      <c r="AL2" s="1743"/>
      <c r="AM2" s="1743" t="str">
        <f>'BS-NONMAJOR DEBT SERVICE(67-68)'!L2:L4</f>
        <v>NAME</v>
      </c>
      <c r="AN2" s="1743"/>
      <c r="AO2" s="1743"/>
      <c r="AP2" s="1743"/>
      <c r="AQ2" s="431"/>
      <c r="AR2" s="431"/>
      <c r="AS2" s="431"/>
      <c r="AT2" s="431"/>
    </row>
    <row r="3" spans="1:46" ht="15.75">
      <c r="A3" s="276"/>
      <c r="B3" s="276"/>
      <c r="C3" s="693"/>
      <c r="D3" s="694"/>
      <c r="E3" s="691"/>
      <c r="F3" s="936" t="s">
        <v>1001</v>
      </c>
      <c r="G3" s="693"/>
      <c r="H3" s="694"/>
      <c r="I3" s="691"/>
      <c r="J3" s="936" t="s">
        <v>1001</v>
      </c>
      <c r="K3" s="418"/>
      <c r="L3" s="328"/>
      <c r="M3" s="281"/>
      <c r="N3" s="692" t="s">
        <v>1001</v>
      </c>
      <c r="O3" s="418"/>
      <c r="P3" s="328"/>
      <c r="Q3" s="281"/>
      <c r="R3" s="692" t="s">
        <v>1001</v>
      </c>
      <c r="S3" s="418"/>
      <c r="T3" s="328"/>
      <c r="U3" s="281"/>
      <c r="V3" s="692" t="s">
        <v>1001</v>
      </c>
      <c r="W3" s="418"/>
      <c r="X3" s="328"/>
      <c r="Y3" s="281"/>
      <c r="Z3" s="692" t="s">
        <v>1001</v>
      </c>
      <c r="AA3" s="418"/>
      <c r="AB3" s="328"/>
      <c r="AC3" s="281"/>
      <c r="AD3" s="936" t="s">
        <v>1001</v>
      </c>
      <c r="AE3" s="418"/>
      <c r="AF3" s="328"/>
      <c r="AG3" s="281"/>
      <c r="AH3" s="936" t="s">
        <v>1001</v>
      </c>
      <c r="AI3" s="418"/>
      <c r="AJ3" s="328"/>
      <c r="AK3" s="281"/>
      <c r="AL3" s="936" t="s">
        <v>1001</v>
      </c>
      <c r="AM3" s="418"/>
      <c r="AN3" s="328"/>
      <c r="AO3" s="281"/>
      <c r="AP3" s="936" t="s">
        <v>1001</v>
      </c>
      <c r="AQ3" s="693"/>
      <c r="AR3" s="694"/>
      <c r="AS3" s="691"/>
      <c r="AT3" s="692" t="s">
        <v>1001</v>
      </c>
    </row>
    <row r="4" spans="1:46" ht="15.75">
      <c r="A4" s="282"/>
      <c r="B4" s="282"/>
      <c r="C4" s="937"/>
      <c r="D4" s="937"/>
      <c r="E4" s="937"/>
      <c r="F4" s="937" t="s">
        <v>1002</v>
      </c>
      <c r="G4" s="937"/>
      <c r="H4" s="937"/>
      <c r="I4" s="937"/>
      <c r="J4" s="937" t="s">
        <v>1002</v>
      </c>
      <c r="K4" s="266"/>
      <c r="L4" s="266"/>
      <c r="M4" s="266"/>
      <c r="N4" s="430" t="s">
        <v>1002</v>
      </c>
      <c r="O4" s="266"/>
      <c r="P4" s="266"/>
      <c r="Q4" s="266"/>
      <c r="R4" s="430" t="s">
        <v>1002</v>
      </c>
      <c r="S4" s="266"/>
      <c r="T4" s="266"/>
      <c r="U4" s="266"/>
      <c r="V4" s="430" t="s">
        <v>1002</v>
      </c>
      <c r="W4" s="266"/>
      <c r="X4" s="266"/>
      <c r="Y4" s="266"/>
      <c r="Z4" s="430" t="s">
        <v>1002</v>
      </c>
      <c r="AA4" s="777"/>
      <c r="AB4" s="777"/>
      <c r="AC4" s="777"/>
      <c r="AD4" s="937" t="s">
        <v>1002</v>
      </c>
      <c r="AE4" s="777"/>
      <c r="AF4" s="777"/>
      <c r="AG4" s="777"/>
      <c r="AH4" s="937" t="s">
        <v>1002</v>
      </c>
      <c r="AI4" s="777"/>
      <c r="AJ4" s="777"/>
      <c r="AK4" s="777"/>
      <c r="AL4" s="937" t="s">
        <v>1002</v>
      </c>
      <c r="AM4" s="777"/>
      <c r="AN4" s="777"/>
      <c r="AO4" s="777"/>
      <c r="AP4" s="937" t="s">
        <v>1002</v>
      </c>
      <c r="AQ4" s="430"/>
      <c r="AR4" s="430"/>
      <c r="AS4" s="430"/>
      <c r="AT4" s="430" t="s">
        <v>1002</v>
      </c>
    </row>
    <row r="5" spans="1:46" ht="16.5" thickBot="1">
      <c r="A5" s="263"/>
      <c r="B5" s="263"/>
      <c r="C5" s="695" t="s">
        <v>994</v>
      </c>
      <c r="D5" s="682"/>
      <c r="E5" s="937"/>
      <c r="F5" s="937" t="s">
        <v>1003</v>
      </c>
      <c r="G5" s="695" t="s">
        <v>994</v>
      </c>
      <c r="H5" s="682"/>
      <c r="I5" s="937"/>
      <c r="J5" s="937" t="s">
        <v>1003</v>
      </c>
      <c r="K5" s="420" t="s">
        <v>994</v>
      </c>
      <c r="L5" s="264"/>
      <c r="M5" s="266"/>
      <c r="N5" s="430" t="s">
        <v>1003</v>
      </c>
      <c r="O5" s="420" t="s">
        <v>994</v>
      </c>
      <c r="P5" s="264"/>
      <c r="Q5" s="266"/>
      <c r="R5" s="430" t="s">
        <v>1003</v>
      </c>
      <c r="S5" s="420" t="s">
        <v>994</v>
      </c>
      <c r="T5" s="264"/>
      <c r="U5" s="266"/>
      <c r="V5" s="430" t="s">
        <v>1003</v>
      </c>
      <c r="W5" s="420" t="s">
        <v>994</v>
      </c>
      <c r="X5" s="264"/>
      <c r="Y5" s="266"/>
      <c r="Z5" s="430" t="s">
        <v>1003</v>
      </c>
      <c r="AA5" s="420" t="s">
        <v>994</v>
      </c>
      <c r="AB5" s="264"/>
      <c r="AC5" s="777"/>
      <c r="AD5" s="937" t="s">
        <v>1003</v>
      </c>
      <c r="AE5" s="420" t="s">
        <v>994</v>
      </c>
      <c r="AF5" s="264"/>
      <c r="AG5" s="777"/>
      <c r="AH5" s="937" t="s">
        <v>1003</v>
      </c>
      <c r="AI5" s="420" t="s">
        <v>994</v>
      </c>
      <c r="AJ5" s="264"/>
      <c r="AK5" s="777"/>
      <c r="AL5" s="937" t="s">
        <v>1003</v>
      </c>
      <c r="AM5" s="420" t="s">
        <v>994</v>
      </c>
      <c r="AN5" s="264"/>
      <c r="AO5" s="777"/>
      <c r="AP5" s="937" t="s">
        <v>1003</v>
      </c>
      <c r="AQ5" s="695" t="s">
        <v>994</v>
      </c>
      <c r="AR5" s="682"/>
      <c r="AS5" s="430"/>
      <c r="AT5" s="430" t="s">
        <v>1003</v>
      </c>
    </row>
    <row r="6" spans="1:46" ht="15.75">
      <c r="A6" s="266" t="s">
        <v>1013</v>
      </c>
      <c r="B6" s="266"/>
      <c r="C6" s="937"/>
      <c r="D6" s="937"/>
      <c r="E6" s="937" t="s">
        <v>999</v>
      </c>
      <c r="F6" s="937" t="s">
        <v>1004</v>
      </c>
      <c r="G6" s="937"/>
      <c r="H6" s="937"/>
      <c r="I6" s="937" t="s">
        <v>999</v>
      </c>
      <c r="J6" s="937" t="s">
        <v>1004</v>
      </c>
      <c r="K6" s="266"/>
      <c r="L6" s="266"/>
      <c r="M6" s="266" t="s">
        <v>999</v>
      </c>
      <c r="N6" s="430" t="s">
        <v>1004</v>
      </c>
      <c r="O6" s="266"/>
      <c r="P6" s="266"/>
      <c r="Q6" s="266" t="s">
        <v>999</v>
      </c>
      <c r="R6" s="430" t="s">
        <v>1004</v>
      </c>
      <c r="S6" s="266"/>
      <c r="T6" s="266"/>
      <c r="U6" s="266" t="s">
        <v>999</v>
      </c>
      <c r="V6" s="430" t="s">
        <v>1004</v>
      </c>
      <c r="W6" s="266"/>
      <c r="X6" s="266"/>
      <c r="Y6" s="266" t="s">
        <v>999</v>
      </c>
      <c r="Z6" s="430" t="s">
        <v>1004</v>
      </c>
      <c r="AA6" s="777"/>
      <c r="AB6" s="777"/>
      <c r="AC6" s="777" t="s">
        <v>999</v>
      </c>
      <c r="AD6" s="937" t="s">
        <v>1004</v>
      </c>
      <c r="AE6" s="777"/>
      <c r="AF6" s="777"/>
      <c r="AG6" s="777" t="s">
        <v>999</v>
      </c>
      <c r="AH6" s="937" t="s">
        <v>1004</v>
      </c>
      <c r="AI6" s="777"/>
      <c r="AJ6" s="777"/>
      <c r="AK6" s="777" t="s">
        <v>999</v>
      </c>
      <c r="AL6" s="937" t="s">
        <v>1004</v>
      </c>
      <c r="AM6" s="777"/>
      <c r="AN6" s="777"/>
      <c r="AO6" s="777" t="s">
        <v>999</v>
      </c>
      <c r="AP6" s="937" t="s">
        <v>1004</v>
      </c>
      <c r="AQ6" s="430"/>
      <c r="AR6" s="430"/>
      <c r="AS6" s="430" t="s">
        <v>999</v>
      </c>
      <c r="AT6" s="430" t="s">
        <v>1004</v>
      </c>
    </row>
    <row r="7" spans="1:46" ht="16.5" thickBot="1">
      <c r="A7" s="267" t="s">
        <v>1014</v>
      </c>
      <c r="B7" s="267" t="s">
        <v>1015</v>
      </c>
      <c r="C7" s="676" t="s">
        <v>995</v>
      </c>
      <c r="D7" s="676" t="s">
        <v>996</v>
      </c>
      <c r="E7" s="676" t="s">
        <v>1000</v>
      </c>
      <c r="F7" s="676" t="s">
        <v>1005</v>
      </c>
      <c r="G7" s="676" t="s">
        <v>995</v>
      </c>
      <c r="H7" s="676" t="s">
        <v>996</v>
      </c>
      <c r="I7" s="676" t="s">
        <v>1000</v>
      </c>
      <c r="J7" s="676" t="s">
        <v>1005</v>
      </c>
      <c r="K7" s="267" t="s">
        <v>995</v>
      </c>
      <c r="L7" s="267" t="s">
        <v>996</v>
      </c>
      <c r="M7" s="267" t="s">
        <v>1000</v>
      </c>
      <c r="N7" s="676" t="s">
        <v>1005</v>
      </c>
      <c r="O7" s="267" t="s">
        <v>995</v>
      </c>
      <c r="P7" s="267" t="s">
        <v>996</v>
      </c>
      <c r="Q7" s="267" t="s">
        <v>1000</v>
      </c>
      <c r="R7" s="676" t="s">
        <v>1005</v>
      </c>
      <c r="S7" s="267" t="s">
        <v>995</v>
      </c>
      <c r="T7" s="267" t="s">
        <v>996</v>
      </c>
      <c r="U7" s="267" t="s">
        <v>1000</v>
      </c>
      <c r="V7" s="676" t="s">
        <v>1005</v>
      </c>
      <c r="W7" s="267" t="s">
        <v>995</v>
      </c>
      <c r="X7" s="267" t="s">
        <v>996</v>
      </c>
      <c r="Y7" s="267" t="s">
        <v>1000</v>
      </c>
      <c r="Z7" s="676" t="s">
        <v>1005</v>
      </c>
      <c r="AA7" s="267" t="s">
        <v>995</v>
      </c>
      <c r="AB7" s="267" t="s">
        <v>996</v>
      </c>
      <c r="AC7" s="267" t="s">
        <v>1000</v>
      </c>
      <c r="AD7" s="676" t="s">
        <v>1005</v>
      </c>
      <c r="AE7" s="267" t="s">
        <v>995</v>
      </c>
      <c r="AF7" s="267" t="s">
        <v>996</v>
      </c>
      <c r="AG7" s="267" t="s">
        <v>1000</v>
      </c>
      <c r="AH7" s="676" t="s">
        <v>1005</v>
      </c>
      <c r="AI7" s="267" t="s">
        <v>995</v>
      </c>
      <c r="AJ7" s="267" t="s">
        <v>996</v>
      </c>
      <c r="AK7" s="267" t="s">
        <v>1000</v>
      </c>
      <c r="AL7" s="676" t="s">
        <v>1005</v>
      </c>
      <c r="AM7" s="267" t="s">
        <v>995</v>
      </c>
      <c r="AN7" s="267" t="s">
        <v>996</v>
      </c>
      <c r="AO7" s="267" t="s">
        <v>1000</v>
      </c>
      <c r="AP7" s="676" t="s">
        <v>1005</v>
      </c>
      <c r="AQ7" s="676" t="s">
        <v>995</v>
      </c>
      <c r="AR7" s="676" t="s">
        <v>996</v>
      </c>
      <c r="AS7" s="676" t="s">
        <v>1000</v>
      </c>
      <c r="AT7" s="676" t="s">
        <v>1005</v>
      </c>
    </row>
    <row r="8" spans="1:46" s="308" customFormat="1" ht="18" customHeight="1">
      <c r="A8" s="428"/>
      <c r="B8" s="431" t="s">
        <v>208</v>
      </c>
      <c r="C8" s="437"/>
      <c r="D8" s="437"/>
      <c r="E8" s="423"/>
      <c r="F8" s="423"/>
      <c r="G8" s="437"/>
      <c r="H8" s="437"/>
      <c r="I8" s="423"/>
      <c r="J8" s="423"/>
      <c r="K8" s="437"/>
      <c r="L8" s="437"/>
      <c r="M8" s="423"/>
      <c r="N8" s="423"/>
      <c r="O8" s="437"/>
      <c r="P8" s="437"/>
      <c r="Q8" s="423"/>
      <c r="R8" s="423"/>
      <c r="S8" s="437"/>
      <c r="T8" s="437"/>
      <c r="U8" s="423"/>
      <c r="V8" s="423"/>
      <c r="W8" s="437"/>
      <c r="X8" s="437"/>
      <c r="Y8" s="423"/>
      <c r="Z8" s="423"/>
      <c r="AA8" s="437"/>
      <c r="AB8" s="437"/>
      <c r="AC8" s="423"/>
      <c r="AD8" s="423"/>
      <c r="AE8" s="437"/>
      <c r="AF8" s="437"/>
      <c r="AG8" s="423"/>
      <c r="AH8" s="423"/>
      <c r="AI8" s="437"/>
      <c r="AJ8" s="437"/>
      <c r="AK8" s="423"/>
      <c r="AL8" s="423"/>
      <c r="AM8" s="437"/>
      <c r="AN8" s="437"/>
      <c r="AO8" s="423"/>
      <c r="AP8" s="423"/>
      <c r="AQ8" s="326"/>
      <c r="AR8" s="326"/>
      <c r="AS8" s="326"/>
      <c r="AT8" s="326"/>
    </row>
    <row r="9" spans="1:46" s="308" customFormat="1" ht="18" customHeight="1">
      <c r="A9" s="428"/>
      <c r="B9" s="431" t="s">
        <v>127</v>
      </c>
      <c r="C9" s="697"/>
      <c r="D9" s="697"/>
      <c r="E9" s="434"/>
      <c r="F9" s="434"/>
      <c r="G9" s="697"/>
      <c r="H9" s="697"/>
      <c r="I9" s="434"/>
      <c r="J9" s="434"/>
      <c r="K9" s="697"/>
      <c r="L9" s="697"/>
      <c r="M9" s="434"/>
      <c r="N9" s="434"/>
      <c r="O9" s="697"/>
      <c r="P9" s="697"/>
      <c r="Q9" s="434"/>
      <c r="R9" s="434"/>
      <c r="S9" s="697"/>
      <c r="T9" s="697"/>
      <c r="U9" s="434"/>
      <c r="V9" s="434"/>
      <c r="W9" s="697"/>
      <c r="X9" s="697"/>
      <c r="Y9" s="434"/>
      <c r="Z9" s="434"/>
      <c r="AA9" s="697"/>
      <c r="AB9" s="697"/>
      <c r="AC9" s="434"/>
      <c r="AD9" s="434"/>
      <c r="AE9" s="697"/>
      <c r="AF9" s="697"/>
      <c r="AG9" s="434"/>
      <c r="AH9" s="434"/>
      <c r="AI9" s="697"/>
      <c r="AJ9" s="697"/>
      <c r="AK9" s="434"/>
      <c r="AL9" s="434"/>
      <c r="AM9" s="697"/>
      <c r="AN9" s="697"/>
      <c r="AO9" s="434"/>
      <c r="AP9" s="434"/>
      <c r="AQ9" s="277"/>
      <c r="AR9" s="277"/>
      <c r="AS9" s="277"/>
      <c r="AT9" s="277"/>
    </row>
    <row r="10" spans="1:46" ht="18" customHeight="1">
      <c r="A10" s="301" t="s">
        <v>187</v>
      </c>
      <c r="B10" s="263" t="s">
        <v>128</v>
      </c>
      <c r="C10" s="421"/>
      <c r="D10" s="421"/>
      <c r="E10" s="311"/>
      <c r="F10" s="314">
        <f>-D10+E10</f>
        <v>0</v>
      </c>
      <c r="G10" s="421"/>
      <c r="H10" s="421"/>
      <c r="I10" s="421"/>
      <c r="J10" s="314">
        <f>-H10+I10</f>
        <v>0</v>
      </c>
      <c r="K10" s="421"/>
      <c r="L10" s="421"/>
      <c r="M10" s="421"/>
      <c r="N10" s="314">
        <f>-L10+M10</f>
        <v>0</v>
      </c>
      <c r="O10" s="421"/>
      <c r="P10" s="421"/>
      <c r="Q10" s="421"/>
      <c r="R10" s="314">
        <f>-P10+Q10</f>
        <v>0</v>
      </c>
      <c r="S10" s="421"/>
      <c r="T10" s="421"/>
      <c r="U10" s="421"/>
      <c r="V10" s="314">
        <f>-T10+U10</f>
        <v>0</v>
      </c>
      <c r="W10" s="421"/>
      <c r="X10" s="421"/>
      <c r="Y10" s="421"/>
      <c r="Z10" s="314">
        <f>-X10+Y10</f>
        <v>0</v>
      </c>
      <c r="AA10" s="421"/>
      <c r="AB10" s="421"/>
      <c r="AC10" s="421"/>
      <c r="AD10" s="314">
        <f>-AB10+AC10</f>
        <v>0</v>
      </c>
      <c r="AE10" s="421"/>
      <c r="AF10" s="421"/>
      <c r="AG10" s="421"/>
      <c r="AH10" s="314">
        <f>-AF10+AG10</f>
        <v>0</v>
      </c>
      <c r="AI10" s="421"/>
      <c r="AJ10" s="421"/>
      <c r="AK10" s="421"/>
      <c r="AL10" s="314">
        <f>-AJ10+AK10</f>
        <v>0</v>
      </c>
      <c r="AM10" s="421"/>
      <c r="AN10" s="421"/>
      <c r="AO10" s="421"/>
      <c r="AP10" s="314">
        <f>-AN10+AO10</f>
        <v>0</v>
      </c>
      <c r="AQ10" s="277">
        <f t="shared" ref="AQ10:AT11" si="0">+C10+G10+K10+O10+S10+W10+AA10+AE10+AI10+AM10</f>
        <v>0</v>
      </c>
      <c r="AR10" s="277">
        <f t="shared" si="0"/>
        <v>0</v>
      </c>
      <c r="AS10" s="277">
        <f t="shared" si="0"/>
        <v>0</v>
      </c>
      <c r="AT10" s="277">
        <f t="shared" si="0"/>
        <v>0</v>
      </c>
    </row>
    <row r="11" spans="1:46" ht="18" customHeight="1">
      <c r="A11" s="301">
        <v>314140</v>
      </c>
      <c r="B11" s="263" t="s">
        <v>129</v>
      </c>
      <c r="C11" s="269"/>
      <c r="D11" s="269"/>
      <c r="E11" s="269"/>
      <c r="F11" s="314">
        <f>-D11+E11</f>
        <v>0</v>
      </c>
      <c r="G11" s="269"/>
      <c r="H11" s="269"/>
      <c r="I11" s="269"/>
      <c r="J11" s="314">
        <f>-H11+I11</f>
        <v>0</v>
      </c>
      <c r="K11" s="269"/>
      <c r="L11" s="269"/>
      <c r="M11" s="269"/>
      <c r="N11" s="314">
        <f>-L11+M11</f>
        <v>0</v>
      </c>
      <c r="O11" s="269"/>
      <c r="P11" s="269"/>
      <c r="Q11" s="269"/>
      <c r="R11" s="314">
        <f>-P11+Q11</f>
        <v>0</v>
      </c>
      <c r="S11" s="269"/>
      <c r="T11" s="269"/>
      <c r="U11" s="269"/>
      <c r="V11" s="314">
        <f>-T11+U11</f>
        <v>0</v>
      </c>
      <c r="W11" s="269"/>
      <c r="X11" s="269"/>
      <c r="Y11" s="269"/>
      <c r="Z11" s="314">
        <f>-X11+Y11</f>
        <v>0</v>
      </c>
      <c r="AA11" s="269"/>
      <c r="AB11" s="269"/>
      <c r="AC11" s="269"/>
      <c r="AD11" s="314">
        <f>-AB11+AC11</f>
        <v>0</v>
      </c>
      <c r="AE11" s="269"/>
      <c r="AF11" s="269"/>
      <c r="AG11" s="269"/>
      <c r="AH11" s="314">
        <f>-AF11+AG11</f>
        <v>0</v>
      </c>
      <c r="AI11" s="269"/>
      <c r="AJ11" s="269"/>
      <c r="AK11" s="269"/>
      <c r="AL11" s="314">
        <f>-AJ11+AK11</f>
        <v>0</v>
      </c>
      <c r="AM11" s="269"/>
      <c r="AN11" s="269"/>
      <c r="AO11" s="269"/>
      <c r="AP11" s="314">
        <f>-AN11+AO11</f>
        <v>0</v>
      </c>
      <c r="AQ11" s="277">
        <f t="shared" si="0"/>
        <v>0</v>
      </c>
      <c r="AR11" s="277">
        <f t="shared" si="0"/>
        <v>0</v>
      </c>
      <c r="AS11" s="277">
        <f t="shared" si="0"/>
        <v>0</v>
      </c>
      <c r="AT11" s="277">
        <f t="shared" si="0"/>
        <v>0</v>
      </c>
    </row>
    <row r="12" spans="1:46" s="308" customFormat="1" ht="18" customHeight="1">
      <c r="A12" s="429"/>
      <c r="B12" s="431" t="s">
        <v>209</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row>
    <row r="13" spans="1:46" ht="18" customHeight="1">
      <c r="A13" s="301"/>
      <c r="B13" s="263"/>
      <c r="C13" s="269"/>
      <c r="D13" s="269"/>
      <c r="E13" s="269"/>
      <c r="F13" s="314">
        <f>-D13+E13</f>
        <v>0</v>
      </c>
      <c r="G13" s="269"/>
      <c r="H13" s="269"/>
      <c r="I13" s="269"/>
      <c r="J13" s="314">
        <f>-H13+I13</f>
        <v>0</v>
      </c>
      <c r="K13" s="269"/>
      <c r="L13" s="269"/>
      <c r="M13" s="269"/>
      <c r="N13" s="314">
        <f>-L13+M13</f>
        <v>0</v>
      </c>
      <c r="O13" s="269"/>
      <c r="P13" s="269"/>
      <c r="Q13" s="269"/>
      <c r="R13" s="314">
        <f>-P13+Q13</f>
        <v>0</v>
      </c>
      <c r="S13" s="269"/>
      <c r="T13" s="269"/>
      <c r="U13" s="269"/>
      <c r="V13" s="314">
        <f>-T13+U13</f>
        <v>0</v>
      </c>
      <c r="W13" s="269"/>
      <c r="X13" s="269"/>
      <c r="Y13" s="269"/>
      <c r="Z13" s="314">
        <f>-X13+Y13</f>
        <v>0</v>
      </c>
      <c r="AA13" s="269"/>
      <c r="AB13" s="269"/>
      <c r="AC13" s="269"/>
      <c r="AD13" s="314">
        <f>-AB13+AC13</f>
        <v>0</v>
      </c>
      <c r="AE13" s="269"/>
      <c r="AF13" s="269"/>
      <c r="AG13" s="269"/>
      <c r="AH13" s="314">
        <f>-AF13+AG13</f>
        <v>0</v>
      </c>
      <c r="AI13" s="269"/>
      <c r="AJ13" s="269"/>
      <c r="AK13" s="269"/>
      <c r="AL13" s="314">
        <f>-AJ13+AK13</f>
        <v>0</v>
      </c>
      <c r="AM13" s="269"/>
      <c r="AN13" s="269"/>
      <c r="AO13" s="269"/>
      <c r="AP13" s="314">
        <f>-AN13+AO13</f>
        <v>0</v>
      </c>
      <c r="AQ13" s="277">
        <f t="shared" ref="AQ13:AQ14" si="1">+C13+G13+K13+O13+S13+W13+AA13+AE13+AI13+AM13</f>
        <v>0</v>
      </c>
      <c r="AR13" s="277">
        <f t="shared" ref="AR13:AR14" si="2">+D13+H13+L13+P13+T13+X13+AB13+AF13+AJ13+AN13</f>
        <v>0</v>
      </c>
      <c r="AS13" s="277">
        <f t="shared" ref="AS13:AS14" si="3">+E13+I13+M13+Q13+U13+Y13+AC13+AG13+AK13+AO13</f>
        <v>0</v>
      </c>
      <c r="AT13" s="277">
        <f t="shared" ref="AT13:AT14" si="4">+F13+J13+N13+R13+V13+Z13+AD13+AH13+AL13+AP13</f>
        <v>0</v>
      </c>
    </row>
    <row r="14" spans="1:46" ht="18" customHeight="1">
      <c r="A14" s="301"/>
      <c r="B14" s="263"/>
      <c r="C14" s="269"/>
      <c r="D14" s="269"/>
      <c r="E14" s="269"/>
      <c r="F14" s="314">
        <f>-D14+E14</f>
        <v>0</v>
      </c>
      <c r="G14" s="269"/>
      <c r="H14" s="269"/>
      <c r="I14" s="269"/>
      <c r="J14" s="314">
        <f>-H14+I14</f>
        <v>0</v>
      </c>
      <c r="K14" s="269"/>
      <c r="L14" s="269"/>
      <c r="M14" s="269"/>
      <c r="N14" s="314">
        <f>-L14+M14</f>
        <v>0</v>
      </c>
      <c r="O14" s="269"/>
      <c r="P14" s="269"/>
      <c r="Q14" s="269"/>
      <c r="R14" s="314">
        <f>-P14+Q14</f>
        <v>0</v>
      </c>
      <c r="S14" s="269"/>
      <c r="T14" s="269"/>
      <c r="U14" s="269"/>
      <c r="V14" s="314">
        <f>-T14+U14</f>
        <v>0</v>
      </c>
      <c r="W14" s="269"/>
      <c r="X14" s="269"/>
      <c r="Y14" s="269"/>
      <c r="Z14" s="314">
        <f>-X14+Y14</f>
        <v>0</v>
      </c>
      <c r="AA14" s="269"/>
      <c r="AB14" s="269"/>
      <c r="AC14" s="269"/>
      <c r="AD14" s="314">
        <f>-AB14+AC14</f>
        <v>0</v>
      </c>
      <c r="AE14" s="269"/>
      <c r="AF14" s="269"/>
      <c r="AG14" s="269"/>
      <c r="AH14" s="314">
        <f>-AF14+AG14</f>
        <v>0</v>
      </c>
      <c r="AI14" s="269"/>
      <c r="AJ14" s="269"/>
      <c r="AK14" s="269"/>
      <c r="AL14" s="314">
        <f>-AJ14+AK14</f>
        <v>0</v>
      </c>
      <c r="AM14" s="269"/>
      <c r="AN14" s="269"/>
      <c r="AO14" s="269"/>
      <c r="AP14" s="314">
        <f>-AN14+AO14</f>
        <v>0</v>
      </c>
      <c r="AQ14" s="277">
        <f t="shared" si="1"/>
        <v>0</v>
      </c>
      <c r="AR14" s="277">
        <f t="shared" si="2"/>
        <v>0</v>
      </c>
      <c r="AS14" s="277">
        <f t="shared" si="3"/>
        <v>0</v>
      </c>
      <c r="AT14" s="277">
        <f t="shared" si="4"/>
        <v>0</v>
      </c>
    </row>
    <row r="15" spans="1:46" s="308" customFormat="1" ht="30" customHeight="1">
      <c r="A15" s="429"/>
      <c r="B15" s="435" t="s">
        <v>493</v>
      </c>
      <c r="C15" s="277"/>
      <c r="D15" s="277"/>
      <c r="E15" s="277"/>
      <c r="F15" s="314"/>
      <c r="G15" s="277"/>
      <c r="H15" s="277"/>
      <c r="I15" s="277"/>
      <c r="J15" s="314"/>
      <c r="K15" s="277"/>
      <c r="L15" s="277"/>
      <c r="M15" s="277"/>
      <c r="N15" s="314"/>
      <c r="O15" s="277"/>
      <c r="P15" s="277"/>
      <c r="Q15" s="277"/>
      <c r="R15" s="314"/>
      <c r="S15" s="277"/>
      <c r="T15" s="277"/>
      <c r="U15" s="277"/>
      <c r="V15" s="314"/>
      <c r="W15" s="277"/>
      <c r="X15" s="277"/>
      <c r="Y15" s="277"/>
      <c r="Z15" s="314"/>
      <c r="AA15" s="277"/>
      <c r="AB15" s="277"/>
      <c r="AC15" s="277"/>
      <c r="AD15" s="314"/>
      <c r="AE15" s="277"/>
      <c r="AF15" s="277"/>
      <c r="AG15" s="277"/>
      <c r="AH15" s="314"/>
      <c r="AI15" s="277"/>
      <c r="AJ15" s="277"/>
      <c r="AK15" s="277"/>
      <c r="AL15" s="314"/>
      <c r="AM15" s="277"/>
      <c r="AN15" s="277"/>
      <c r="AO15" s="277"/>
      <c r="AP15" s="314"/>
      <c r="AQ15" s="277"/>
      <c r="AR15" s="277"/>
      <c r="AS15" s="277"/>
      <c r="AT15" s="277"/>
    </row>
    <row r="16" spans="1:46" ht="18" customHeight="1">
      <c r="A16" s="301">
        <v>331000</v>
      </c>
      <c r="B16" s="263" t="s">
        <v>489</v>
      </c>
      <c r="C16" s="269"/>
      <c r="D16" s="269"/>
      <c r="E16" s="269"/>
      <c r="F16" s="314">
        <f>-D16+E16</f>
        <v>0</v>
      </c>
      <c r="G16" s="269"/>
      <c r="H16" s="269"/>
      <c r="I16" s="269"/>
      <c r="J16" s="314">
        <f>-H16+I16</f>
        <v>0</v>
      </c>
      <c r="K16" s="269"/>
      <c r="L16" s="269"/>
      <c r="M16" s="269"/>
      <c r="N16" s="314">
        <f>-L16+M16</f>
        <v>0</v>
      </c>
      <c r="O16" s="269"/>
      <c r="P16" s="269"/>
      <c r="Q16" s="269"/>
      <c r="R16" s="314">
        <f>-P16+Q16</f>
        <v>0</v>
      </c>
      <c r="S16" s="269"/>
      <c r="T16" s="269"/>
      <c r="U16" s="269"/>
      <c r="V16" s="314">
        <f>-T16+U16</f>
        <v>0</v>
      </c>
      <c r="W16" s="269"/>
      <c r="X16" s="269"/>
      <c r="Y16" s="269"/>
      <c r="Z16" s="314">
        <f>-X16+Y16</f>
        <v>0</v>
      </c>
      <c r="AA16" s="269"/>
      <c r="AB16" s="269"/>
      <c r="AC16" s="269"/>
      <c r="AD16" s="314">
        <f>-AB16+AC16</f>
        <v>0</v>
      </c>
      <c r="AE16" s="269"/>
      <c r="AF16" s="269"/>
      <c r="AG16" s="269"/>
      <c r="AH16" s="314">
        <f>-AF16+AG16</f>
        <v>0</v>
      </c>
      <c r="AI16" s="269"/>
      <c r="AJ16" s="269"/>
      <c r="AK16" s="269"/>
      <c r="AL16" s="314">
        <f>-AJ16+AK16</f>
        <v>0</v>
      </c>
      <c r="AM16" s="269"/>
      <c r="AN16" s="269"/>
      <c r="AO16" s="269"/>
      <c r="AP16" s="314">
        <f>-AN16+AO16</f>
        <v>0</v>
      </c>
      <c r="AQ16" s="277">
        <f t="shared" ref="AQ16:AQ19" si="5">+C16+G16+K16+O16+S16+W16+AA16+AE16+AI16+AM16</f>
        <v>0</v>
      </c>
      <c r="AR16" s="277">
        <f t="shared" ref="AR16:AR19" si="6">+D16+H16+L16+P16+T16+X16+AB16+AF16+AJ16+AN16</f>
        <v>0</v>
      </c>
      <c r="AS16" s="277">
        <f t="shared" ref="AS16:AS19" si="7">+E16+I16+M16+Q16+U16+Y16+AC16+AG16+AK16+AO16</f>
        <v>0</v>
      </c>
      <c r="AT16" s="277">
        <f t="shared" ref="AT16:AT19" si="8">+F16+J16+N16+R16+V16+Z16+AD16+AH16+AL16+AP16</f>
        <v>0</v>
      </c>
    </row>
    <row r="17" spans="1:46" ht="18" customHeight="1">
      <c r="A17" s="301" t="s">
        <v>2608</v>
      </c>
      <c r="B17" s="263" t="s">
        <v>490</v>
      </c>
      <c r="C17" s="269"/>
      <c r="D17" s="269"/>
      <c r="E17" s="269"/>
      <c r="F17" s="314">
        <f>-D17+E17</f>
        <v>0</v>
      </c>
      <c r="G17" s="269"/>
      <c r="H17" s="269"/>
      <c r="I17" s="269"/>
      <c r="J17" s="314">
        <f>-H17+I17</f>
        <v>0</v>
      </c>
      <c r="K17" s="269"/>
      <c r="L17" s="269"/>
      <c r="M17" s="269"/>
      <c r="N17" s="314">
        <f>-L17+M17</f>
        <v>0</v>
      </c>
      <c r="O17" s="269"/>
      <c r="P17" s="269"/>
      <c r="Q17" s="269"/>
      <c r="R17" s="314">
        <f>-P17+Q17</f>
        <v>0</v>
      </c>
      <c r="S17" s="269"/>
      <c r="T17" s="269"/>
      <c r="U17" s="269"/>
      <c r="V17" s="314">
        <f>-T17+U17</f>
        <v>0</v>
      </c>
      <c r="W17" s="269"/>
      <c r="X17" s="269"/>
      <c r="Y17" s="269"/>
      <c r="Z17" s="314">
        <f>-X17+Y17</f>
        <v>0</v>
      </c>
      <c r="AA17" s="269"/>
      <c r="AB17" s="269"/>
      <c r="AC17" s="269"/>
      <c r="AD17" s="314">
        <f>-AB17+AC17</f>
        <v>0</v>
      </c>
      <c r="AE17" s="269"/>
      <c r="AF17" s="269"/>
      <c r="AG17" s="269"/>
      <c r="AH17" s="314">
        <f>-AF17+AG17</f>
        <v>0</v>
      </c>
      <c r="AI17" s="269"/>
      <c r="AJ17" s="269"/>
      <c r="AK17" s="269"/>
      <c r="AL17" s="314">
        <f>-AJ17+AK17</f>
        <v>0</v>
      </c>
      <c r="AM17" s="269"/>
      <c r="AN17" s="269"/>
      <c r="AO17" s="269"/>
      <c r="AP17" s="314">
        <f>-AN17+AO17</f>
        <v>0</v>
      </c>
      <c r="AQ17" s="277">
        <f t="shared" si="5"/>
        <v>0</v>
      </c>
      <c r="AR17" s="277">
        <f t="shared" si="6"/>
        <v>0</v>
      </c>
      <c r="AS17" s="277">
        <f t="shared" si="7"/>
        <v>0</v>
      </c>
      <c r="AT17" s="277">
        <f t="shared" si="8"/>
        <v>0</v>
      </c>
    </row>
    <row r="18" spans="1:46" ht="18" customHeight="1">
      <c r="A18" s="301">
        <v>334000</v>
      </c>
      <c r="B18" s="263" t="s">
        <v>491</v>
      </c>
      <c r="C18" s="269"/>
      <c r="D18" s="269"/>
      <c r="E18" s="269"/>
      <c r="F18" s="277"/>
      <c r="G18" s="269"/>
      <c r="H18" s="269"/>
      <c r="I18" s="269"/>
      <c r="J18" s="277"/>
      <c r="K18" s="269"/>
      <c r="L18" s="269"/>
      <c r="M18" s="269"/>
      <c r="N18" s="277"/>
      <c r="O18" s="269"/>
      <c r="P18" s="269"/>
      <c r="Q18" s="269"/>
      <c r="R18" s="277"/>
      <c r="S18" s="269"/>
      <c r="T18" s="269"/>
      <c r="U18" s="269"/>
      <c r="V18" s="277"/>
      <c r="W18" s="269"/>
      <c r="X18" s="269"/>
      <c r="Y18" s="269"/>
      <c r="Z18" s="277"/>
      <c r="AA18" s="269"/>
      <c r="AB18" s="269"/>
      <c r="AC18" s="269"/>
      <c r="AD18" s="277"/>
      <c r="AE18" s="269"/>
      <c r="AF18" s="269"/>
      <c r="AG18" s="269"/>
      <c r="AH18" s="277"/>
      <c r="AI18" s="269"/>
      <c r="AJ18" s="269"/>
      <c r="AK18" s="269"/>
      <c r="AL18" s="277"/>
      <c r="AM18" s="269"/>
      <c r="AN18" s="269"/>
      <c r="AO18" s="269"/>
      <c r="AP18" s="277"/>
      <c r="AQ18" s="277">
        <f t="shared" si="5"/>
        <v>0</v>
      </c>
      <c r="AR18" s="277">
        <f t="shared" si="6"/>
        <v>0</v>
      </c>
      <c r="AS18" s="277">
        <f t="shared" si="7"/>
        <v>0</v>
      </c>
      <c r="AT18" s="277">
        <f t="shared" si="8"/>
        <v>0</v>
      </c>
    </row>
    <row r="19" spans="1:46" ht="18" customHeight="1">
      <c r="A19" s="301" t="s">
        <v>2609</v>
      </c>
      <c r="B19" s="263" t="s">
        <v>492</v>
      </c>
      <c r="C19" s="269"/>
      <c r="D19" s="269"/>
      <c r="E19" s="269"/>
      <c r="F19" s="314">
        <f>-D19+E19</f>
        <v>0</v>
      </c>
      <c r="G19" s="269"/>
      <c r="H19" s="269"/>
      <c r="I19" s="269"/>
      <c r="J19" s="314">
        <f>-H19+I19</f>
        <v>0</v>
      </c>
      <c r="K19" s="269"/>
      <c r="L19" s="269"/>
      <c r="M19" s="269"/>
      <c r="N19" s="314">
        <f>-L19+M19</f>
        <v>0</v>
      </c>
      <c r="O19" s="269"/>
      <c r="P19" s="269"/>
      <c r="Q19" s="269"/>
      <c r="R19" s="314">
        <f>-P19+Q19</f>
        <v>0</v>
      </c>
      <c r="S19" s="269"/>
      <c r="T19" s="269"/>
      <c r="U19" s="269"/>
      <c r="V19" s="314">
        <f>-T19+U19</f>
        <v>0</v>
      </c>
      <c r="W19" s="269"/>
      <c r="X19" s="269"/>
      <c r="Y19" s="269"/>
      <c r="Z19" s="314">
        <f>-X19+Y19</f>
        <v>0</v>
      </c>
      <c r="AA19" s="269"/>
      <c r="AB19" s="269"/>
      <c r="AC19" s="269"/>
      <c r="AD19" s="314">
        <f>-AB19+AC19</f>
        <v>0</v>
      </c>
      <c r="AE19" s="269"/>
      <c r="AF19" s="269"/>
      <c r="AG19" s="269"/>
      <c r="AH19" s="314">
        <f>-AF19+AG19</f>
        <v>0</v>
      </c>
      <c r="AI19" s="269"/>
      <c r="AJ19" s="269"/>
      <c r="AK19" s="269"/>
      <c r="AL19" s="314">
        <f>-AJ19+AK19</f>
        <v>0</v>
      </c>
      <c r="AM19" s="269"/>
      <c r="AN19" s="269"/>
      <c r="AO19" s="269"/>
      <c r="AP19" s="314">
        <f>-AN19+AO19</f>
        <v>0</v>
      </c>
      <c r="AQ19" s="277">
        <f t="shared" si="5"/>
        <v>0</v>
      </c>
      <c r="AR19" s="277">
        <f t="shared" si="6"/>
        <v>0</v>
      </c>
      <c r="AS19" s="277">
        <f t="shared" si="7"/>
        <v>0</v>
      </c>
      <c r="AT19" s="277">
        <f t="shared" si="8"/>
        <v>0</v>
      </c>
    </row>
    <row r="20" spans="1:46" s="308" customFormat="1" ht="18" customHeight="1">
      <c r="A20" s="429"/>
      <c r="B20" s="431" t="s">
        <v>212</v>
      </c>
      <c r="C20" s="277"/>
      <c r="D20" s="277"/>
      <c r="E20" s="277"/>
      <c r="F20" s="314"/>
      <c r="G20" s="277"/>
      <c r="H20" s="277"/>
      <c r="I20" s="277"/>
      <c r="J20" s="314"/>
      <c r="K20" s="277"/>
      <c r="L20" s="277"/>
      <c r="M20" s="277"/>
      <c r="N20" s="314"/>
      <c r="O20" s="277"/>
      <c r="P20" s="277"/>
      <c r="Q20" s="277"/>
      <c r="R20" s="314"/>
      <c r="S20" s="277"/>
      <c r="T20" s="277"/>
      <c r="U20" s="277"/>
      <c r="V20" s="314"/>
      <c r="W20" s="277"/>
      <c r="X20" s="277"/>
      <c r="Y20" s="277"/>
      <c r="Z20" s="314"/>
      <c r="AA20" s="277"/>
      <c r="AB20" s="277"/>
      <c r="AC20" s="277"/>
      <c r="AD20" s="314"/>
      <c r="AE20" s="277"/>
      <c r="AF20" s="277"/>
      <c r="AG20" s="277"/>
      <c r="AH20" s="314"/>
      <c r="AI20" s="277"/>
      <c r="AJ20" s="277"/>
      <c r="AK20" s="277"/>
      <c r="AL20" s="314"/>
      <c r="AM20" s="277"/>
      <c r="AN20" s="277"/>
      <c r="AO20" s="277"/>
      <c r="AP20" s="314"/>
      <c r="AQ20" s="277"/>
      <c r="AR20" s="277"/>
      <c r="AS20" s="277"/>
      <c r="AT20" s="277"/>
    </row>
    <row r="21" spans="1:46" ht="18" customHeight="1">
      <c r="A21" s="301">
        <v>340000</v>
      </c>
      <c r="B21" s="263" t="s">
        <v>214</v>
      </c>
      <c r="C21" s="269"/>
      <c r="D21" s="269"/>
      <c r="E21" s="269"/>
      <c r="F21" s="314">
        <f>-D21+E21</f>
        <v>0</v>
      </c>
      <c r="G21" s="269"/>
      <c r="H21" s="269"/>
      <c r="I21" s="269"/>
      <c r="J21" s="314">
        <f>-H21+I21</f>
        <v>0</v>
      </c>
      <c r="K21" s="269"/>
      <c r="L21" s="269"/>
      <c r="M21" s="269"/>
      <c r="N21" s="314">
        <f>-L21+M21</f>
        <v>0</v>
      </c>
      <c r="O21" s="269"/>
      <c r="P21" s="269"/>
      <c r="Q21" s="269"/>
      <c r="R21" s="314">
        <f>-P21+Q21</f>
        <v>0</v>
      </c>
      <c r="S21" s="269"/>
      <c r="T21" s="269"/>
      <c r="U21" s="269"/>
      <c r="V21" s="314">
        <f>-T21+U21</f>
        <v>0</v>
      </c>
      <c r="W21" s="269"/>
      <c r="X21" s="269"/>
      <c r="Y21" s="269"/>
      <c r="Z21" s="314">
        <f>-X21+Y21</f>
        <v>0</v>
      </c>
      <c r="AA21" s="269"/>
      <c r="AB21" s="269"/>
      <c r="AC21" s="269"/>
      <c r="AD21" s="314">
        <f>-AB21+AC21</f>
        <v>0</v>
      </c>
      <c r="AE21" s="269"/>
      <c r="AF21" s="269"/>
      <c r="AG21" s="269"/>
      <c r="AH21" s="314">
        <f>-AF21+AG21</f>
        <v>0</v>
      </c>
      <c r="AI21" s="269"/>
      <c r="AJ21" s="269"/>
      <c r="AK21" s="269"/>
      <c r="AL21" s="314">
        <f>-AJ21+AK21</f>
        <v>0</v>
      </c>
      <c r="AM21" s="269"/>
      <c r="AN21" s="269"/>
      <c r="AO21" s="269"/>
      <c r="AP21" s="314">
        <f>-AN21+AO21</f>
        <v>0</v>
      </c>
      <c r="AQ21" s="277">
        <f>+C21+G21+K21+O21+S21+W21+AA21+AE21+AI21+AM21</f>
        <v>0</v>
      </c>
      <c r="AR21" s="277">
        <f>+D21+H21+L21+P21+T21+X21+AB21+AF21+AJ21+AN21</f>
        <v>0</v>
      </c>
      <c r="AS21" s="277">
        <f>+E21+I21+M21+Q21+U21+Y21+AC21+AG21+AK21+AO21</f>
        <v>0</v>
      </c>
      <c r="AT21" s="277">
        <f>+F21+J21+N21+R21+V21+Z21+AD21+AH21+AL21+AP21</f>
        <v>0</v>
      </c>
    </row>
    <row r="22" spans="1:46" s="308" customFormat="1" ht="18" customHeight="1">
      <c r="A22" s="429"/>
      <c r="B22" s="431" t="s">
        <v>213</v>
      </c>
      <c r="C22" s="277"/>
      <c r="D22" s="277"/>
      <c r="E22" s="277"/>
      <c r="F22" s="314"/>
      <c r="G22" s="277"/>
      <c r="H22" s="277"/>
      <c r="I22" s="277"/>
      <c r="J22" s="314"/>
      <c r="K22" s="277"/>
      <c r="L22" s="277"/>
      <c r="M22" s="277"/>
      <c r="N22" s="314"/>
      <c r="O22" s="277"/>
      <c r="P22" s="277"/>
      <c r="Q22" s="277"/>
      <c r="R22" s="314"/>
      <c r="S22" s="277"/>
      <c r="T22" s="277"/>
      <c r="U22" s="277"/>
      <c r="V22" s="314"/>
      <c r="W22" s="277"/>
      <c r="X22" s="277"/>
      <c r="Y22" s="277"/>
      <c r="Z22" s="314"/>
      <c r="AA22" s="277"/>
      <c r="AB22" s="277"/>
      <c r="AC22" s="277"/>
      <c r="AD22" s="314"/>
      <c r="AE22" s="277"/>
      <c r="AF22" s="277"/>
      <c r="AG22" s="277"/>
      <c r="AH22" s="314"/>
      <c r="AI22" s="277"/>
      <c r="AJ22" s="277"/>
      <c r="AK22" s="277"/>
      <c r="AL22" s="314"/>
      <c r="AM22" s="277"/>
      <c r="AN22" s="277"/>
      <c r="AO22" s="277"/>
      <c r="AP22" s="314"/>
      <c r="AQ22" s="277"/>
      <c r="AR22" s="277"/>
      <c r="AS22" s="277"/>
      <c r="AT22" s="277"/>
    </row>
    <row r="23" spans="1:46" ht="18" customHeight="1">
      <c r="A23" s="301"/>
      <c r="B23" s="263"/>
      <c r="C23" s="269"/>
      <c r="D23" s="269"/>
      <c r="E23" s="269"/>
      <c r="F23" s="314">
        <f>-D23+E23</f>
        <v>0</v>
      </c>
      <c r="G23" s="269"/>
      <c r="H23" s="269"/>
      <c r="I23" s="269"/>
      <c r="J23" s="314">
        <f>-H23+I23</f>
        <v>0</v>
      </c>
      <c r="K23" s="269"/>
      <c r="L23" s="269"/>
      <c r="M23" s="269"/>
      <c r="N23" s="314">
        <f>-L23+M23</f>
        <v>0</v>
      </c>
      <c r="O23" s="269"/>
      <c r="P23" s="269"/>
      <c r="Q23" s="269"/>
      <c r="R23" s="314">
        <f>-P23+Q23</f>
        <v>0</v>
      </c>
      <c r="S23" s="269"/>
      <c r="T23" s="269"/>
      <c r="U23" s="269"/>
      <c r="V23" s="314">
        <f>-T23+U23</f>
        <v>0</v>
      </c>
      <c r="W23" s="269"/>
      <c r="X23" s="269"/>
      <c r="Y23" s="269"/>
      <c r="Z23" s="314">
        <f>-X23+Y23</f>
        <v>0</v>
      </c>
      <c r="AA23" s="269"/>
      <c r="AB23" s="269"/>
      <c r="AC23" s="269"/>
      <c r="AD23" s="314">
        <f>-AB23+AC23</f>
        <v>0</v>
      </c>
      <c r="AE23" s="269"/>
      <c r="AF23" s="269"/>
      <c r="AG23" s="269"/>
      <c r="AH23" s="314">
        <f>-AF23+AG23</f>
        <v>0</v>
      </c>
      <c r="AI23" s="269"/>
      <c r="AJ23" s="269"/>
      <c r="AK23" s="269"/>
      <c r="AL23" s="314">
        <f>-AJ23+AK23</f>
        <v>0</v>
      </c>
      <c r="AM23" s="269"/>
      <c r="AN23" s="269"/>
      <c r="AO23" s="269"/>
      <c r="AP23" s="314">
        <f>-AN23+AO23</f>
        <v>0</v>
      </c>
      <c r="AQ23" s="277">
        <f t="shared" ref="AQ23:AQ25" si="9">+C23+G23+K23+O23+S23+W23+AA23+AE23+AI23+AM23</f>
        <v>0</v>
      </c>
      <c r="AR23" s="277">
        <f t="shared" ref="AR23:AR25" si="10">+D23+H23+L23+P23+T23+X23+AB23+AF23+AJ23+AN23</f>
        <v>0</v>
      </c>
      <c r="AS23" s="277">
        <f t="shared" ref="AS23:AS25" si="11">+E23+I23+M23+Q23+U23+Y23+AC23+AG23+AK23+AO23</f>
        <v>0</v>
      </c>
      <c r="AT23" s="277">
        <f t="shared" ref="AT23:AT25" si="12">+F23+J23+N23+R23+V23+Z23+AD23+AH23+AL23+AP23</f>
        <v>0</v>
      </c>
    </row>
    <row r="24" spans="1:46" ht="18" customHeight="1">
      <c r="A24" s="301">
        <v>360000</v>
      </c>
      <c r="B24" s="268" t="s">
        <v>214</v>
      </c>
      <c r="C24" s="269"/>
      <c r="D24" s="269"/>
      <c r="E24" s="269"/>
      <c r="F24" s="314">
        <f>-D24+E24</f>
        <v>0</v>
      </c>
      <c r="G24" s="269"/>
      <c r="H24" s="269"/>
      <c r="I24" s="269"/>
      <c r="J24" s="314">
        <f>-H24+I24</f>
        <v>0</v>
      </c>
      <c r="K24" s="269"/>
      <c r="L24" s="269"/>
      <c r="M24" s="269"/>
      <c r="N24" s="314">
        <f>-L24+M24</f>
        <v>0</v>
      </c>
      <c r="O24" s="269"/>
      <c r="P24" s="269"/>
      <c r="Q24" s="269"/>
      <c r="R24" s="314">
        <f>-P24+Q24</f>
        <v>0</v>
      </c>
      <c r="S24" s="269"/>
      <c r="T24" s="269"/>
      <c r="U24" s="269"/>
      <c r="V24" s="314">
        <f>-T24+U24</f>
        <v>0</v>
      </c>
      <c r="W24" s="269"/>
      <c r="X24" s="269"/>
      <c r="Y24" s="269"/>
      <c r="Z24" s="314">
        <f>-X24+Y24</f>
        <v>0</v>
      </c>
      <c r="AA24" s="269"/>
      <c r="AB24" s="269"/>
      <c r="AC24" s="269"/>
      <c r="AD24" s="314">
        <f>-AB24+AC24</f>
        <v>0</v>
      </c>
      <c r="AE24" s="269"/>
      <c r="AF24" s="269"/>
      <c r="AG24" s="269"/>
      <c r="AH24" s="314">
        <f>-AF24+AG24</f>
        <v>0</v>
      </c>
      <c r="AI24" s="269"/>
      <c r="AJ24" s="269"/>
      <c r="AK24" s="269"/>
      <c r="AL24" s="314">
        <f>-AJ24+AK24</f>
        <v>0</v>
      </c>
      <c r="AM24" s="269"/>
      <c r="AN24" s="269"/>
      <c r="AO24" s="269"/>
      <c r="AP24" s="314">
        <f>-AN24+AO24</f>
        <v>0</v>
      </c>
      <c r="AQ24" s="277">
        <f t="shared" si="9"/>
        <v>0</v>
      </c>
      <c r="AR24" s="277">
        <f t="shared" si="10"/>
        <v>0</v>
      </c>
      <c r="AS24" s="277">
        <f t="shared" si="11"/>
        <v>0</v>
      </c>
      <c r="AT24" s="277">
        <f t="shared" si="12"/>
        <v>0</v>
      </c>
    </row>
    <row r="25" spans="1:46" ht="18" customHeight="1">
      <c r="A25" s="301">
        <v>370000</v>
      </c>
      <c r="B25" s="268" t="s">
        <v>215</v>
      </c>
      <c r="C25" s="269"/>
      <c r="D25" s="269"/>
      <c r="E25" s="269"/>
      <c r="F25" s="314">
        <f>-D25+E25</f>
        <v>0</v>
      </c>
      <c r="G25" s="269"/>
      <c r="H25" s="269"/>
      <c r="I25" s="269"/>
      <c r="J25" s="314">
        <f>-H25+I25</f>
        <v>0</v>
      </c>
      <c r="K25" s="269"/>
      <c r="L25" s="269"/>
      <c r="M25" s="269"/>
      <c r="N25" s="314">
        <f>-L25+M25</f>
        <v>0</v>
      </c>
      <c r="O25" s="269"/>
      <c r="P25" s="269"/>
      <c r="Q25" s="269"/>
      <c r="R25" s="314">
        <f>-P25+Q25</f>
        <v>0</v>
      </c>
      <c r="S25" s="269"/>
      <c r="T25" s="269"/>
      <c r="U25" s="269"/>
      <c r="V25" s="314">
        <f>-T25+U25</f>
        <v>0</v>
      </c>
      <c r="W25" s="269"/>
      <c r="X25" s="269"/>
      <c r="Y25" s="269"/>
      <c r="Z25" s="314">
        <f>-X25+Y25</f>
        <v>0</v>
      </c>
      <c r="AA25" s="269"/>
      <c r="AB25" s="269"/>
      <c r="AC25" s="269"/>
      <c r="AD25" s="314">
        <f>-AB25+AC25</f>
        <v>0</v>
      </c>
      <c r="AE25" s="269"/>
      <c r="AF25" s="269"/>
      <c r="AG25" s="269"/>
      <c r="AH25" s="314">
        <f>-AF25+AG25</f>
        <v>0</v>
      </c>
      <c r="AI25" s="269"/>
      <c r="AJ25" s="269"/>
      <c r="AK25" s="269"/>
      <c r="AL25" s="314">
        <f>-AJ25+AK25</f>
        <v>0</v>
      </c>
      <c r="AM25" s="269"/>
      <c r="AN25" s="269"/>
      <c r="AO25" s="269"/>
      <c r="AP25" s="314">
        <f>-AN25+AO25</f>
        <v>0</v>
      </c>
      <c r="AQ25" s="277">
        <f t="shared" si="9"/>
        <v>0</v>
      </c>
      <c r="AR25" s="277">
        <f t="shared" si="10"/>
        <v>0</v>
      </c>
      <c r="AS25" s="277">
        <f t="shared" si="11"/>
        <v>0</v>
      </c>
      <c r="AT25" s="277">
        <f t="shared" si="12"/>
        <v>0</v>
      </c>
    </row>
    <row r="26" spans="1:46" s="308" customFormat="1" ht="18" customHeight="1" thickBot="1">
      <c r="A26" s="429"/>
      <c r="B26" s="411"/>
      <c r="C26" s="278"/>
      <c r="D26" s="278"/>
      <c r="E26" s="278"/>
      <c r="F26" s="316"/>
      <c r="G26" s="278"/>
      <c r="H26" s="278"/>
      <c r="I26" s="278"/>
      <c r="J26" s="316"/>
      <c r="K26" s="278"/>
      <c r="L26" s="278"/>
      <c r="M26" s="278"/>
      <c r="N26" s="316"/>
      <c r="O26" s="278"/>
      <c r="P26" s="278"/>
      <c r="Q26" s="278"/>
      <c r="R26" s="316"/>
      <c r="S26" s="278"/>
      <c r="T26" s="278"/>
      <c r="U26" s="278"/>
      <c r="V26" s="316"/>
      <c r="W26" s="278"/>
      <c r="X26" s="278"/>
      <c r="Y26" s="278"/>
      <c r="Z26" s="316"/>
      <c r="AA26" s="278"/>
      <c r="AB26" s="278"/>
      <c r="AC26" s="278"/>
      <c r="AD26" s="316"/>
      <c r="AE26" s="278"/>
      <c r="AF26" s="278"/>
      <c r="AG26" s="278"/>
      <c r="AH26" s="316"/>
      <c r="AI26" s="278"/>
      <c r="AJ26" s="278"/>
      <c r="AK26" s="278"/>
      <c r="AL26" s="316"/>
      <c r="AM26" s="278"/>
      <c r="AN26" s="278"/>
      <c r="AO26" s="278"/>
      <c r="AP26" s="316"/>
      <c r="AQ26" s="278"/>
      <c r="AR26" s="278"/>
      <c r="AS26" s="278"/>
      <c r="AT26" s="278"/>
    </row>
    <row r="27" spans="1:46" s="308" customFormat="1" ht="18" customHeight="1">
      <c r="A27" s="429"/>
      <c r="B27" s="937" t="s">
        <v>130</v>
      </c>
      <c r="C27" s="277">
        <f t="shared" ref="C27:AT27" si="13">SUM(C9:C26)</f>
        <v>0</v>
      </c>
      <c r="D27" s="277">
        <f t="shared" si="13"/>
        <v>0</v>
      </c>
      <c r="E27" s="277">
        <f t="shared" si="13"/>
        <v>0</v>
      </c>
      <c r="F27" s="277">
        <f t="shared" si="13"/>
        <v>0</v>
      </c>
      <c r="G27" s="277">
        <f t="shared" si="13"/>
        <v>0</v>
      </c>
      <c r="H27" s="277">
        <f t="shared" si="13"/>
        <v>0</v>
      </c>
      <c r="I27" s="277">
        <f t="shared" si="13"/>
        <v>0</v>
      </c>
      <c r="J27" s="277">
        <f t="shared" si="13"/>
        <v>0</v>
      </c>
      <c r="K27" s="277">
        <f t="shared" si="13"/>
        <v>0</v>
      </c>
      <c r="L27" s="277">
        <f t="shared" si="13"/>
        <v>0</v>
      </c>
      <c r="M27" s="277">
        <f t="shared" si="13"/>
        <v>0</v>
      </c>
      <c r="N27" s="277">
        <f t="shared" si="13"/>
        <v>0</v>
      </c>
      <c r="O27" s="277">
        <f t="shared" si="13"/>
        <v>0</v>
      </c>
      <c r="P27" s="277">
        <f t="shared" si="13"/>
        <v>0</v>
      </c>
      <c r="Q27" s="277">
        <f t="shared" si="13"/>
        <v>0</v>
      </c>
      <c r="R27" s="277">
        <f t="shared" si="13"/>
        <v>0</v>
      </c>
      <c r="S27" s="277">
        <f t="shared" si="13"/>
        <v>0</v>
      </c>
      <c r="T27" s="277">
        <f t="shared" si="13"/>
        <v>0</v>
      </c>
      <c r="U27" s="277">
        <f t="shared" si="13"/>
        <v>0</v>
      </c>
      <c r="V27" s="277">
        <f t="shared" si="13"/>
        <v>0</v>
      </c>
      <c r="W27" s="277">
        <f t="shared" si="13"/>
        <v>0</v>
      </c>
      <c r="X27" s="277">
        <f t="shared" si="13"/>
        <v>0</v>
      </c>
      <c r="Y27" s="277">
        <f t="shared" si="13"/>
        <v>0</v>
      </c>
      <c r="Z27" s="277">
        <f t="shared" si="13"/>
        <v>0</v>
      </c>
      <c r="AA27" s="277">
        <f t="shared" ref="AA27:AD27" si="14">SUM(AA9:AA26)</f>
        <v>0</v>
      </c>
      <c r="AB27" s="277">
        <f t="shared" si="14"/>
        <v>0</v>
      </c>
      <c r="AC27" s="277">
        <f t="shared" si="14"/>
        <v>0</v>
      </c>
      <c r="AD27" s="277">
        <f t="shared" si="14"/>
        <v>0</v>
      </c>
      <c r="AE27" s="277">
        <f t="shared" ref="AE27:AH27" si="15">SUM(AE9:AE26)</f>
        <v>0</v>
      </c>
      <c r="AF27" s="277">
        <f t="shared" si="15"/>
        <v>0</v>
      </c>
      <c r="AG27" s="277">
        <f t="shared" si="15"/>
        <v>0</v>
      </c>
      <c r="AH27" s="277">
        <f t="shared" si="15"/>
        <v>0</v>
      </c>
      <c r="AI27" s="277">
        <f t="shared" ref="AI27:AL27" si="16">SUM(AI9:AI26)</f>
        <v>0</v>
      </c>
      <c r="AJ27" s="277">
        <f t="shared" si="16"/>
        <v>0</v>
      </c>
      <c r="AK27" s="277">
        <f t="shared" si="16"/>
        <v>0</v>
      </c>
      <c r="AL27" s="277">
        <f t="shared" si="16"/>
        <v>0</v>
      </c>
      <c r="AM27" s="277">
        <f t="shared" ref="AM27:AP27" si="17">SUM(AM9:AM26)</f>
        <v>0</v>
      </c>
      <c r="AN27" s="277">
        <f t="shared" si="17"/>
        <v>0</v>
      </c>
      <c r="AO27" s="277">
        <f t="shared" si="17"/>
        <v>0</v>
      </c>
      <c r="AP27" s="277">
        <f t="shared" si="17"/>
        <v>0</v>
      </c>
      <c r="AQ27" s="277">
        <f t="shared" si="13"/>
        <v>0</v>
      </c>
      <c r="AR27" s="277">
        <f t="shared" si="13"/>
        <v>0</v>
      </c>
      <c r="AS27" s="277">
        <f t="shared" si="13"/>
        <v>0</v>
      </c>
      <c r="AT27" s="277">
        <f t="shared" si="13"/>
        <v>0</v>
      </c>
    </row>
    <row r="28" spans="1:46" s="308" customFormat="1" ht="18" customHeight="1">
      <c r="A28" s="428"/>
      <c r="B28" s="411"/>
      <c r="C28" s="277"/>
      <c r="D28" s="277"/>
      <c r="E28" s="277"/>
      <c r="F28" s="314"/>
      <c r="G28" s="277"/>
      <c r="H28" s="277"/>
      <c r="I28" s="277"/>
      <c r="J28" s="314"/>
      <c r="K28" s="277"/>
      <c r="L28" s="277"/>
      <c r="M28" s="277"/>
      <c r="N28" s="314"/>
      <c r="O28" s="277"/>
      <c r="P28" s="277"/>
      <c r="Q28" s="277"/>
      <c r="R28" s="314"/>
      <c r="S28" s="277"/>
      <c r="T28" s="277"/>
      <c r="U28" s="277"/>
      <c r="V28" s="314"/>
      <c r="W28" s="277"/>
      <c r="X28" s="277"/>
      <c r="Y28" s="277"/>
      <c r="Z28" s="314"/>
      <c r="AA28" s="277"/>
      <c r="AB28" s="277"/>
      <c r="AC28" s="277"/>
      <c r="AD28" s="314"/>
      <c r="AE28" s="277"/>
      <c r="AF28" s="277"/>
      <c r="AG28" s="277"/>
      <c r="AH28" s="314"/>
      <c r="AI28" s="277"/>
      <c r="AJ28" s="277"/>
      <c r="AK28" s="277"/>
      <c r="AL28" s="314"/>
      <c r="AM28" s="277"/>
      <c r="AN28" s="277"/>
      <c r="AO28" s="277"/>
      <c r="AP28" s="314"/>
      <c r="AQ28" s="277"/>
      <c r="AR28" s="277"/>
      <c r="AS28" s="277"/>
      <c r="AT28" s="277"/>
    </row>
    <row r="29" spans="1:46" s="308" customFormat="1" ht="18" customHeight="1">
      <c r="A29" s="428"/>
      <c r="B29" s="431" t="s">
        <v>217</v>
      </c>
      <c r="C29" s="277"/>
      <c r="D29" s="277"/>
      <c r="E29" s="277"/>
      <c r="F29" s="314"/>
      <c r="G29" s="277"/>
      <c r="H29" s="277"/>
      <c r="I29" s="277"/>
      <c r="J29" s="314"/>
      <c r="K29" s="277"/>
      <c r="L29" s="277"/>
      <c r="M29" s="277"/>
      <c r="N29" s="314"/>
      <c r="O29" s="277"/>
      <c r="P29" s="277"/>
      <c r="Q29" s="277"/>
      <c r="R29" s="314"/>
      <c r="S29" s="277"/>
      <c r="T29" s="277"/>
      <c r="U29" s="277"/>
      <c r="V29" s="314"/>
      <c r="W29" s="277"/>
      <c r="X29" s="277"/>
      <c r="Y29" s="277"/>
      <c r="Z29" s="314"/>
      <c r="AA29" s="277"/>
      <c r="AB29" s="277"/>
      <c r="AC29" s="277"/>
      <c r="AD29" s="314"/>
      <c r="AE29" s="277"/>
      <c r="AF29" s="277"/>
      <c r="AG29" s="277"/>
      <c r="AH29" s="314"/>
      <c r="AI29" s="277"/>
      <c r="AJ29" s="277"/>
      <c r="AK29" s="277"/>
      <c r="AL29" s="314"/>
      <c r="AM29" s="277"/>
      <c r="AN29" s="277"/>
      <c r="AO29" s="277"/>
      <c r="AP29" s="314"/>
      <c r="AQ29" s="277"/>
      <c r="AR29" s="277"/>
      <c r="AS29" s="277"/>
      <c r="AT29" s="277"/>
    </row>
    <row r="30" spans="1:46" s="308" customFormat="1" ht="18" customHeight="1">
      <c r="A30" s="428">
        <v>490000</v>
      </c>
      <c r="B30" s="431" t="s">
        <v>1089</v>
      </c>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row>
    <row r="31" spans="1:46" ht="18" customHeight="1">
      <c r="A31" s="410">
        <v>610</v>
      </c>
      <c r="B31" s="263" t="s">
        <v>227</v>
      </c>
      <c r="C31" s="269"/>
      <c r="D31" s="269"/>
      <c r="E31" s="269"/>
      <c r="F31" s="314">
        <f>+D31-E31</f>
        <v>0</v>
      </c>
      <c r="G31" s="269"/>
      <c r="H31" s="269"/>
      <c r="I31" s="269"/>
      <c r="J31" s="314">
        <f>+H31-I31</f>
        <v>0</v>
      </c>
      <c r="K31" s="269"/>
      <c r="L31" s="269"/>
      <c r="M31" s="269"/>
      <c r="N31" s="314">
        <f>+L31-M31</f>
        <v>0</v>
      </c>
      <c r="O31" s="269"/>
      <c r="P31" s="269"/>
      <c r="Q31" s="269"/>
      <c r="R31" s="314">
        <f>+P31-Q31</f>
        <v>0</v>
      </c>
      <c r="S31" s="269"/>
      <c r="T31" s="269"/>
      <c r="U31" s="269"/>
      <c r="V31" s="314">
        <f>+T31-U31</f>
        <v>0</v>
      </c>
      <c r="W31" s="269"/>
      <c r="X31" s="269"/>
      <c r="Y31" s="269"/>
      <c r="Z31" s="314">
        <f>+X31-Y31</f>
        <v>0</v>
      </c>
      <c r="AA31" s="269"/>
      <c r="AB31" s="269"/>
      <c r="AC31" s="269"/>
      <c r="AD31" s="314">
        <f>+AB31-AC31</f>
        <v>0</v>
      </c>
      <c r="AE31" s="269"/>
      <c r="AF31" s="269"/>
      <c r="AG31" s="269"/>
      <c r="AH31" s="314">
        <f>+AF31-AG31</f>
        <v>0</v>
      </c>
      <c r="AI31" s="269"/>
      <c r="AJ31" s="269"/>
      <c r="AK31" s="269"/>
      <c r="AL31" s="314">
        <f>+AJ31-AK31</f>
        <v>0</v>
      </c>
      <c r="AM31" s="269"/>
      <c r="AN31" s="269"/>
      <c r="AO31" s="269"/>
      <c r="AP31" s="314">
        <f>+AN31-AO31</f>
        <v>0</v>
      </c>
      <c r="AQ31" s="277">
        <f t="shared" ref="AQ31:AQ33" si="18">+C31+G31+K31+O31+S31+W31+AA31+AE31+AI31+AM31</f>
        <v>0</v>
      </c>
      <c r="AR31" s="277">
        <f t="shared" ref="AR31:AR33" si="19">+D31+H31+L31+P31+T31+X31+AB31+AF31+AJ31+AN31</f>
        <v>0</v>
      </c>
      <c r="AS31" s="277">
        <f t="shared" ref="AS31:AS33" si="20">+E31+I31+M31+Q31+U31+Y31+AC31+AG31+AK31+AO31</f>
        <v>0</v>
      </c>
      <c r="AT31" s="277">
        <f t="shared" ref="AT31:AT33" si="21">+F31+J31+N31+R31+V31+Z31+AD31+AH31+AL31+AP31</f>
        <v>0</v>
      </c>
    </row>
    <row r="32" spans="1:46" ht="18" customHeight="1">
      <c r="A32" s="410">
        <v>620</v>
      </c>
      <c r="B32" s="263" t="s">
        <v>228</v>
      </c>
      <c r="C32" s="269"/>
      <c r="D32" s="269"/>
      <c r="E32" s="269"/>
      <c r="F32" s="314">
        <f>+D32-E32</f>
        <v>0</v>
      </c>
      <c r="G32" s="269"/>
      <c r="H32" s="269"/>
      <c r="I32" s="269"/>
      <c r="J32" s="314">
        <f>+H32-I32</f>
        <v>0</v>
      </c>
      <c r="K32" s="269"/>
      <c r="L32" s="269"/>
      <c r="M32" s="269"/>
      <c r="N32" s="314">
        <f>+L32-M32</f>
        <v>0</v>
      </c>
      <c r="O32" s="269"/>
      <c r="P32" s="269"/>
      <c r="Q32" s="269"/>
      <c r="R32" s="314">
        <f>+P32-Q32</f>
        <v>0</v>
      </c>
      <c r="S32" s="269"/>
      <c r="T32" s="269"/>
      <c r="U32" s="269"/>
      <c r="V32" s="314">
        <f>+T32-U32</f>
        <v>0</v>
      </c>
      <c r="W32" s="269"/>
      <c r="X32" s="269"/>
      <c r="Y32" s="269"/>
      <c r="Z32" s="314">
        <f>+X32-Y32</f>
        <v>0</v>
      </c>
      <c r="AA32" s="269"/>
      <c r="AB32" s="269"/>
      <c r="AC32" s="269"/>
      <c r="AD32" s="314">
        <f>+AB32-AC32</f>
        <v>0</v>
      </c>
      <c r="AE32" s="269"/>
      <c r="AF32" s="269"/>
      <c r="AG32" s="269"/>
      <c r="AH32" s="314">
        <f>+AF32-AG32</f>
        <v>0</v>
      </c>
      <c r="AI32" s="269"/>
      <c r="AJ32" s="269"/>
      <c r="AK32" s="269"/>
      <c r="AL32" s="314">
        <f>+AJ32-AK32</f>
        <v>0</v>
      </c>
      <c r="AM32" s="269"/>
      <c r="AN32" s="269"/>
      <c r="AO32" s="269"/>
      <c r="AP32" s="314">
        <f>+AN32-AO32</f>
        <v>0</v>
      </c>
      <c r="AQ32" s="277">
        <f t="shared" si="18"/>
        <v>0</v>
      </c>
      <c r="AR32" s="277">
        <f t="shared" si="19"/>
        <v>0</v>
      </c>
      <c r="AS32" s="277">
        <f t="shared" si="20"/>
        <v>0</v>
      </c>
      <c r="AT32" s="277">
        <f t="shared" si="21"/>
        <v>0</v>
      </c>
    </row>
    <row r="33" spans="1:46" ht="18" customHeight="1" thickBot="1">
      <c r="A33" s="301">
        <v>510000</v>
      </c>
      <c r="B33" s="268" t="s">
        <v>214</v>
      </c>
      <c r="C33" s="271"/>
      <c r="D33" s="271"/>
      <c r="E33" s="271"/>
      <c r="F33" s="316">
        <f>D33-E33</f>
        <v>0</v>
      </c>
      <c r="G33" s="271"/>
      <c r="H33" s="271"/>
      <c r="I33" s="271"/>
      <c r="J33" s="316">
        <f>H33-I33</f>
        <v>0</v>
      </c>
      <c r="K33" s="271"/>
      <c r="L33" s="271"/>
      <c r="M33" s="271"/>
      <c r="N33" s="316">
        <f>L33-M33</f>
        <v>0</v>
      </c>
      <c r="O33" s="271"/>
      <c r="P33" s="271"/>
      <c r="Q33" s="271"/>
      <c r="R33" s="316">
        <f>P33-Q33</f>
        <v>0</v>
      </c>
      <c r="S33" s="271"/>
      <c r="T33" s="271"/>
      <c r="U33" s="271"/>
      <c r="V33" s="316">
        <f>T33-U33</f>
        <v>0</v>
      </c>
      <c r="W33" s="271"/>
      <c r="X33" s="271"/>
      <c r="Y33" s="271"/>
      <c r="Z33" s="316">
        <f>X33-Y33</f>
        <v>0</v>
      </c>
      <c r="AA33" s="271"/>
      <c r="AB33" s="271"/>
      <c r="AC33" s="271"/>
      <c r="AD33" s="316">
        <f>AB33-AC33</f>
        <v>0</v>
      </c>
      <c r="AE33" s="271"/>
      <c r="AF33" s="271"/>
      <c r="AG33" s="271"/>
      <c r="AH33" s="316">
        <f>AF33-AG33</f>
        <v>0</v>
      </c>
      <c r="AI33" s="271"/>
      <c r="AJ33" s="271"/>
      <c r="AK33" s="271"/>
      <c r="AL33" s="316">
        <f>AJ33-AK33</f>
        <v>0</v>
      </c>
      <c r="AM33" s="271"/>
      <c r="AN33" s="271"/>
      <c r="AO33" s="271"/>
      <c r="AP33" s="316">
        <f>AN33-AO33</f>
        <v>0</v>
      </c>
      <c r="AQ33" s="278">
        <f t="shared" si="18"/>
        <v>0</v>
      </c>
      <c r="AR33" s="278">
        <f t="shared" si="19"/>
        <v>0</v>
      </c>
      <c r="AS33" s="278">
        <f t="shared" si="20"/>
        <v>0</v>
      </c>
      <c r="AT33" s="278">
        <f t="shared" si="21"/>
        <v>0</v>
      </c>
    </row>
    <row r="34" spans="1:46" s="308" customFormat="1" ht="18" customHeight="1" thickBot="1">
      <c r="A34" s="429"/>
      <c r="B34" s="937" t="s">
        <v>1156</v>
      </c>
      <c r="C34" s="278">
        <f t="shared" ref="C34:AT34" si="22">SUM(C30:C33)</f>
        <v>0</v>
      </c>
      <c r="D34" s="278">
        <f t="shared" si="22"/>
        <v>0</v>
      </c>
      <c r="E34" s="278">
        <f t="shared" si="22"/>
        <v>0</v>
      </c>
      <c r="F34" s="278">
        <f t="shared" si="22"/>
        <v>0</v>
      </c>
      <c r="G34" s="278">
        <f t="shared" si="22"/>
        <v>0</v>
      </c>
      <c r="H34" s="278">
        <f t="shared" si="22"/>
        <v>0</v>
      </c>
      <c r="I34" s="278">
        <f t="shared" si="22"/>
        <v>0</v>
      </c>
      <c r="J34" s="278">
        <f t="shared" si="22"/>
        <v>0</v>
      </c>
      <c r="K34" s="278">
        <f t="shared" si="22"/>
        <v>0</v>
      </c>
      <c r="L34" s="278">
        <f t="shared" si="22"/>
        <v>0</v>
      </c>
      <c r="M34" s="278">
        <f t="shared" si="22"/>
        <v>0</v>
      </c>
      <c r="N34" s="278">
        <f t="shared" si="22"/>
        <v>0</v>
      </c>
      <c r="O34" s="278">
        <f t="shared" si="22"/>
        <v>0</v>
      </c>
      <c r="P34" s="278">
        <f t="shared" si="22"/>
        <v>0</v>
      </c>
      <c r="Q34" s="278">
        <f t="shared" si="22"/>
        <v>0</v>
      </c>
      <c r="R34" s="278">
        <f t="shared" si="22"/>
        <v>0</v>
      </c>
      <c r="S34" s="278">
        <f t="shared" si="22"/>
        <v>0</v>
      </c>
      <c r="T34" s="278">
        <f t="shared" si="22"/>
        <v>0</v>
      </c>
      <c r="U34" s="278">
        <f t="shared" si="22"/>
        <v>0</v>
      </c>
      <c r="V34" s="278">
        <f t="shared" si="22"/>
        <v>0</v>
      </c>
      <c r="W34" s="278">
        <f t="shared" si="22"/>
        <v>0</v>
      </c>
      <c r="X34" s="278">
        <f t="shared" si="22"/>
        <v>0</v>
      </c>
      <c r="Y34" s="278">
        <f t="shared" si="22"/>
        <v>0</v>
      </c>
      <c r="Z34" s="278">
        <f t="shared" si="22"/>
        <v>0</v>
      </c>
      <c r="AA34" s="278">
        <f t="shared" ref="AA34:AD34" si="23">SUM(AA30:AA33)</f>
        <v>0</v>
      </c>
      <c r="AB34" s="278">
        <f t="shared" si="23"/>
        <v>0</v>
      </c>
      <c r="AC34" s="278">
        <f t="shared" si="23"/>
        <v>0</v>
      </c>
      <c r="AD34" s="278">
        <f t="shared" si="23"/>
        <v>0</v>
      </c>
      <c r="AE34" s="278">
        <f t="shared" ref="AE34:AH34" si="24">SUM(AE30:AE33)</f>
        <v>0</v>
      </c>
      <c r="AF34" s="278">
        <f t="shared" si="24"/>
        <v>0</v>
      </c>
      <c r="AG34" s="278">
        <f t="shared" si="24"/>
        <v>0</v>
      </c>
      <c r="AH34" s="278">
        <f t="shared" si="24"/>
        <v>0</v>
      </c>
      <c r="AI34" s="278">
        <f t="shared" ref="AI34:AL34" si="25">SUM(AI30:AI33)</f>
        <v>0</v>
      </c>
      <c r="AJ34" s="278">
        <f t="shared" si="25"/>
        <v>0</v>
      </c>
      <c r="AK34" s="278">
        <f t="shared" si="25"/>
        <v>0</v>
      </c>
      <c r="AL34" s="278">
        <f t="shared" si="25"/>
        <v>0</v>
      </c>
      <c r="AM34" s="278">
        <f t="shared" ref="AM34:AP34" si="26">SUM(AM30:AM33)</f>
        <v>0</v>
      </c>
      <c r="AN34" s="278">
        <f t="shared" si="26"/>
        <v>0</v>
      </c>
      <c r="AO34" s="278">
        <f t="shared" si="26"/>
        <v>0</v>
      </c>
      <c r="AP34" s="278">
        <f t="shared" si="26"/>
        <v>0</v>
      </c>
      <c r="AQ34" s="278">
        <f t="shared" si="22"/>
        <v>0</v>
      </c>
      <c r="AR34" s="278">
        <f t="shared" si="22"/>
        <v>0</v>
      </c>
      <c r="AS34" s="278">
        <f t="shared" si="22"/>
        <v>0</v>
      </c>
      <c r="AT34" s="278">
        <f t="shared" si="22"/>
        <v>0</v>
      </c>
    </row>
    <row r="35" spans="1:46" s="308" customFormat="1" ht="30" customHeight="1">
      <c r="A35" s="429"/>
      <c r="B35" s="435" t="s">
        <v>843</v>
      </c>
      <c r="C35" s="277">
        <f t="shared" ref="C35:AS35" si="27">+C27-C34</f>
        <v>0</v>
      </c>
      <c r="D35" s="277">
        <f t="shared" si="27"/>
        <v>0</v>
      </c>
      <c r="E35" s="277">
        <f t="shared" si="27"/>
        <v>0</v>
      </c>
      <c r="F35" s="277">
        <f>+F27+F34</f>
        <v>0</v>
      </c>
      <c r="G35" s="277">
        <f t="shared" si="27"/>
        <v>0</v>
      </c>
      <c r="H35" s="277">
        <f t="shared" si="27"/>
        <v>0</v>
      </c>
      <c r="I35" s="277">
        <f t="shared" si="27"/>
        <v>0</v>
      </c>
      <c r="J35" s="277">
        <f>+J27+J34</f>
        <v>0</v>
      </c>
      <c r="K35" s="277">
        <f t="shared" si="27"/>
        <v>0</v>
      </c>
      <c r="L35" s="277">
        <f t="shared" si="27"/>
        <v>0</v>
      </c>
      <c r="M35" s="277">
        <f t="shared" si="27"/>
        <v>0</v>
      </c>
      <c r="N35" s="277">
        <f>+N27+N34</f>
        <v>0</v>
      </c>
      <c r="O35" s="277">
        <f t="shared" si="27"/>
        <v>0</v>
      </c>
      <c r="P35" s="277">
        <f t="shared" si="27"/>
        <v>0</v>
      </c>
      <c r="Q35" s="277">
        <f t="shared" si="27"/>
        <v>0</v>
      </c>
      <c r="R35" s="277">
        <f>+R27+R34</f>
        <v>0</v>
      </c>
      <c r="S35" s="277">
        <f t="shared" si="27"/>
        <v>0</v>
      </c>
      <c r="T35" s="277">
        <f t="shared" si="27"/>
        <v>0</v>
      </c>
      <c r="U35" s="277">
        <f t="shared" si="27"/>
        <v>0</v>
      </c>
      <c r="V35" s="277">
        <f>+V27+V34</f>
        <v>0</v>
      </c>
      <c r="W35" s="277">
        <f t="shared" si="27"/>
        <v>0</v>
      </c>
      <c r="X35" s="277">
        <f t="shared" si="27"/>
        <v>0</v>
      </c>
      <c r="Y35" s="277">
        <f t="shared" si="27"/>
        <v>0</v>
      </c>
      <c r="Z35" s="277">
        <f>+Z27+Z34</f>
        <v>0</v>
      </c>
      <c r="AA35" s="277">
        <f t="shared" ref="AA35:AC35" si="28">+AA27-AA34</f>
        <v>0</v>
      </c>
      <c r="AB35" s="277">
        <f t="shared" si="28"/>
        <v>0</v>
      </c>
      <c r="AC35" s="277">
        <f t="shared" si="28"/>
        <v>0</v>
      </c>
      <c r="AD35" s="277">
        <f>+AD27+AD34</f>
        <v>0</v>
      </c>
      <c r="AE35" s="277">
        <f t="shared" ref="AE35:AG35" si="29">+AE27-AE34</f>
        <v>0</v>
      </c>
      <c r="AF35" s="277">
        <f t="shared" si="29"/>
        <v>0</v>
      </c>
      <c r="AG35" s="277">
        <f t="shared" si="29"/>
        <v>0</v>
      </c>
      <c r="AH35" s="277">
        <f>+AH27+AH34</f>
        <v>0</v>
      </c>
      <c r="AI35" s="277">
        <f t="shared" ref="AI35:AK35" si="30">+AI27-AI34</f>
        <v>0</v>
      </c>
      <c r="AJ35" s="277">
        <f t="shared" si="30"/>
        <v>0</v>
      </c>
      <c r="AK35" s="277">
        <f t="shared" si="30"/>
        <v>0</v>
      </c>
      <c r="AL35" s="277">
        <f>+AL27+AL34</f>
        <v>0</v>
      </c>
      <c r="AM35" s="277">
        <f t="shared" ref="AM35:AO35" si="31">+AM27-AM34</f>
        <v>0</v>
      </c>
      <c r="AN35" s="277">
        <f t="shared" si="31"/>
        <v>0</v>
      </c>
      <c r="AO35" s="277">
        <f t="shared" si="31"/>
        <v>0</v>
      </c>
      <c r="AP35" s="277">
        <f>+AP27+AP34</f>
        <v>0</v>
      </c>
      <c r="AQ35" s="277">
        <f t="shared" si="27"/>
        <v>0</v>
      </c>
      <c r="AR35" s="277">
        <f t="shared" si="27"/>
        <v>0</v>
      </c>
      <c r="AS35" s="277">
        <f t="shared" si="27"/>
        <v>0</v>
      </c>
      <c r="AT35" s="277">
        <f>+AT27+AT34</f>
        <v>0</v>
      </c>
    </row>
    <row r="36" spans="1:46" s="308" customFormat="1" ht="18" customHeight="1">
      <c r="A36" s="429"/>
      <c r="B36" s="431" t="s">
        <v>1158</v>
      </c>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row>
    <row r="37" spans="1:46" ht="18" customHeight="1">
      <c r="A37" s="301">
        <v>382010</v>
      </c>
      <c r="B37" s="263" t="s">
        <v>1159</v>
      </c>
      <c r="C37" s="269"/>
      <c r="D37" s="269"/>
      <c r="E37" s="269"/>
      <c r="F37" s="314">
        <f t="shared" ref="F37:F43" si="32">-D37+E37</f>
        <v>0</v>
      </c>
      <c r="G37" s="269"/>
      <c r="H37" s="269"/>
      <c r="I37" s="269"/>
      <c r="J37" s="314">
        <f t="shared" ref="J37:J43" si="33">-H37+I37</f>
        <v>0</v>
      </c>
      <c r="K37" s="269"/>
      <c r="L37" s="269"/>
      <c r="M37" s="269"/>
      <c r="N37" s="314">
        <f t="shared" ref="N37:N43" si="34">-L37+M37</f>
        <v>0</v>
      </c>
      <c r="O37" s="269"/>
      <c r="P37" s="269"/>
      <c r="Q37" s="269"/>
      <c r="R37" s="314">
        <f t="shared" ref="R37:R43" si="35">-P37+Q37</f>
        <v>0</v>
      </c>
      <c r="S37" s="269"/>
      <c r="T37" s="269"/>
      <c r="U37" s="269"/>
      <c r="V37" s="314">
        <f t="shared" ref="V37:V43" si="36">-T37+U37</f>
        <v>0</v>
      </c>
      <c r="W37" s="269"/>
      <c r="X37" s="269"/>
      <c r="Y37" s="269"/>
      <c r="Z37" s="314">
        <f t="shared" ref="Z37:Z43" si="37">-X37+Y37</f>
        <v>0</v>
      </c>
      <c r="AA37" s="269"/>
      <c r="AB37" s="269"/>
      <c r="AC37" s="269"/>
      <c r="AD37" s="314">
        <f t="shared" ref="AD37:AD43" si="38">-AB37+AC37</f>
        <v>0</v>
      </c>
      <c r="AE37" s="269"/>
      <c r="AF37" s="269"/>
      <c r="AG37" s="269"/>
      <c r="AH37" s="314">
        <f t="shared" ref="AH37:AH43" si="39">-AF37+AG37</f>
        <v>0</v>
      </c>
      <c r="AI37" s="269"/>
      <c r="AJ37" s="269"/>
      <c r="AK37" s="269"/>
      <c r="AL37" s="314">
        <f t="shared" ref="AL37:AL43" si="40">-AJ37+AK37</f>
        <v>0</v>
      </c>
      <c r="AM37" s="269"/>
      <c r="AN37" s="269"/>
      <c r="AO37" s="269"/>
      <c r="AP37" s="314">
        <f t="shared" ref="AP37:AP43" si="41">-AN37+AO37</f>
        <v>0</v>
      </c>
      <c r="AQ37" s="277">
        <f t="shared" ref="AQ37:AQ43" si="42">+C37+G37+K37+O37+S37+W37+AA37+AE37+AI37+AM37</f>
        <v>0</v>
      </c>
      <c r="AR37" s="277">
        <f t="shared" ref="AR37:AR43" si="43">+D37+H37+L37+P37+T37+X37+AB37+AF37+AJ37+AN37</f>
        <v>0</v>
      </c>
      <c r="AS37" s="277">
        <f t="shared" ref="AS37:AS43" si="44">+E37+I37+M37+Q37+U37+Y37+AC37+AG37+AK37+AO37</f>
        <v>0</v>
      </c>
      <c r="AT37" s="277">
        <f t="shared" ref="AT37:AT43" si="45">+F37+J37+N37+R37+V37+Z37+AD37+AH37+AL37+AP37</f>
        <v>0</v>
      </c>
    </row>
    <row r="38" spans="1:46" ht="18" customHeight="1">
      <c r="A38" s="301">
        <v>383000</v>
      </c>
      <c r="B38" s="263" t="s">
        <v>1161</v>
      </c>
      <c r="C38" s="269"/>
      <c r="D38" s="269"/>
      <c r="E38" s="269"/>
      <c r="F38" s="314">
        <f t="shared" si="32"/>
        <v>0</v>
      </c>
      <c r="G38" s="269"/>
      <c r="H38" s="269"/>
      <c r="I38" s="269"/>
      <c r="J38" s="314">
        <f t="shared" si="33"/>
        <v>0</v>
      </c>
      <c r="K38" s="269"/>
      <c r="L38" s="269"/>
      <c r="M38" s="269"/>
      <c r="N38" s="314">
        <f t="shared" si="34"/>
        <v>0</v>
      </c>
      <c r="O38" s="269"/>
      <c r="P38" s="269"/>
      <c r="Q38" s="269"/>
      <c r="R38" s="314">
        <f t="shared" si="35"/>
        <v>0</v>
      </c>
      <c r="S38" s="269"/>
      <c r="T38" s="269"/>
      <c r="U38" s="269"/>
      <c r="V38" s="314">
        <f t="shared" si="36"/>
        <v>0</v>
      </c>
      <c r="W38" s="269"/>
      <c r="X38" s="269"/>
      <c r="Y38" s="269"/>
      <c r="Z38" s="314">
        <f t="shared" si="37"/>
        <v>0</v>
      </c>
      <c r="AA38" s="269"/>
      <c r="AB38" s="269"/>
      <c r="AC38" s="269"/>
      <c r="AD38" s="314">
        <f t="shared" si="38"/>
        <v>0</v>
      </c>
      <c r="AE38" s="269"/>
      <c r="AF38" s="269"/>
      <c r="AG38" s="269"/>
      <c r="AH38" s="314">
        <f t="shared" si="39"/>
        <v>0</v>
      </c>
      <c r="AI38" s="269"/>
      <c r="AJ38" s="269"/>
      <c r="AK38" s="269"/>
      <c r="AL38" s="314">
        <f t="shared" si="40"/>
        <v>0</v>
      </c>
      <c r="AM38" s="269"/>
      <c r="AN38" s="269"/>
      <c r="AO38" s="269"/>
      <c r="AP38" s="314">
        <f t="shared" si="41"/>
        <v>0</v>
      </c>
      <c r="AQ38" s="277">
        <f t="shared" si="42"/>
        <v>0</v>
      </c>
      <c r="AR38" s="277">
        <f t="shared" si="43"/>
        <v>0</v>
      </c>
      <c r="AS38" s="277">
        <f t="shared" si="44"/>
        <v>0</v>
      </c>
      <c r="AT38" s="277">
        <f t="shared" si="45"/>
        <v>0</v>
      </c>
    </row>
    <row r="39" spans="1:46" ht="18" customHeight="1">
      <c r="A39" s="301">
        <v>520000</v>
      </c>
      <c r="B39" s="263" t="s">
        <v>1791</v>
      </c>
      <c r="C39" s="269"/>
      <c r="D39" s="269"/>
      <c r="E39" s="269"/>
      <c r="F39" s="314">
        <f t="shared" si="32"/>
        <v>0</v>
      </c>
      <c r="G39" s="269"/>
      <c r="H39" s="269"/>
      <c r="I39" s="269"/>
      <c r="J39" s="314">
        <f t="shared" si="33"/>
        <v>0</v>
      </c>
      <c r="K39" s="269"/>
      <c r="L39" s="269"/>
      <c r="M39" s="269"/>
      <c r="N39" s="314">
        <f t="shared" si="34"/>
        <v>0</v>
      </c>
      <c r="O39" s="269"/>
      <c r="P39" s="269"/>
      <c r="Q39" s="269"/>
      <c r="R39" s="314">
        <f t="shared" si="35"/>
        <v>0</v>
      </c>
      <c r="S39" s="269"/>
      <c r="T39" s="269"/>
      <c r="U39" s="269"/>
      <c r="V39" s="314">
        <f t="shared" si="36"/>
        <v>0</v>
      </c>
      <c r="W39" s="269"/>
      <c r="X39" s="269"/>
      <c r="Y39" s="269"/>
      <c r="Z39" s="314">
        <f t="shared" si="37"/>
        <v>0</v>
      </c>
      <c r="AA39" s="269"/>
      <c r="AB39" s="269"/>
      <c r="AC39" s="269"/>
      <c r="AD39" s="314">
        <f t="shared" si="38"/>
        <v>0</v>
      </c>
      <c r="AE39" s="269"/>
      <c r="AF39" s="269"/>
      <c r="AG39" s="269"/>
      <c r="AH39" s="314">
        <f t="shared" si="39"/>
        <v>0</v>
      </c>
      <c r="AI39" s="269"/>
      <c r="AJ39" s="269"/>
      <c r="AK39" s="269"/>
      <c r="AL39" s="314">
        <f t="shared" si="40"/>
        <v>0</v>
      </c>
      <c r="AM39" s="269"/>
      <c r="AN39" s="269"/>
      <c r="AO39" s="269"/>
      <c r="AP39" s="314">
        <f t="shared" si="41"/>
        <v>0</v>
      </c>
      <c r="AQ39" s="277">
        <f t="shared" si="42"/>
        <v>0</v>
      </c>
      <c r="AR39" s="277">
        <f t="shared" si="43"/>
        <v>0</v>
      </c>
      <c r="AS39" s="277">
        <f t="shared" si="44"/>
        <v>0</v>
      </c>
      <c r="AT39" s="277">
        <f t="shared" si="45"/>
        <v>0</v>
      </c>
    </row>
    <row r="40" spans="1:46" ht="18" customHeight="1">
      <c r="A40" s="301">
        <v>384000</v>
      </c>
      <c r="B40" s="263" t="s">
        <v>1755</v>
      </c>
      <c r="C40" s="269"/>
      <c r="D40" s="269"/>
      <c r="E40" s="269"/>
      <c r="F40" s="314">
        <f t="shared" si="32"/>
        <v>0</v>
      </c>
      <c r="G40" s="269"/>
      <c r="H40" s="269"/>
      <c r="I40" s="269"/>
      <c r="J40" s="314">
        <f t="shared" si="33"/>
        <v>0</v>
      </c>
      <c r="K40" s="269"/>
      <c r="L40" s="269"/>
      <c r="M40" s="269"/>
      <c r="N40" s="314">
        <f t="shared" si="34"/>
        <v>0</v>
      </c>
      <c r="O40" s="269"/>
      <c r="P40" s="269"/>
      <c r="Q40" s="269"/>
      <c r="R40" s="314">
        <f t="shared" si="35"/>
        <v>0</v>
      </c>
      <c r="S40" s="269"/>
      <c r="T40" s="269"/>
      <c r="U40" s="269"/>
      <c r="V40" s="314">
        <f t="shared" si="36"/>
        <v>0</v>
      </c>
      <c r="W40" s="269"/>
      <c r="X40" s="269"/>
      <c r="Y40" s="269"/>
      <c r="Z40" s="314">
        <f t="shared" si="37"/>
        <v>0</v>
      </c>
      <c r="AA40" s="269"/>
      <c r="AB40" s="269"/>
      <c r="AC40" s="269"/>
      <c r="AD40" s="314">
        <f t="shared" si="38"/>
        <v>0</v>
      </c>
      <c r="AE40" s="269"/>
      <c r="AF40" s="269"/>
      <c r="AG40" s="269"/>
      <c r="AH40" s="314">
        <f t="shared" si="39"/>
        <v>0</v>
      </c>
      <c r="AI40" s="269"/>
      <c r="AJ40" s="269"/>
      <c r="AK40" s="269"/>
      <c r="AL40" s="314">
        <f t="shared" si="40"/>
        <v>0</v>
      </c>
      <c r="AM40" s="269"/>
      <c r="AN40" s="269"/>
      <c r="AO40" s="269"/>
      <c r="AP40" s="314">
        <f t="shared" si="41"/>
        <v>0</v>
      </c>
      <c r="AQ40" s="277">
        <f t="shared" si="42"/>
        <v>0</v>
      </c>
      <c r="AR40" s="277">
        <f t="shared" si="43"/>
        <v>0</v>
      </c>
      <c r="AS40" s="277">
        <f t="shared" si="44"/>
        <v>0</v>
      </c>
      <c r="AT40" s="277">
        <f t="shared" si="45"/>
        <v>0</v>
      </c>
    </row>
    <row r="41" spans="1:46" ht="18" customHeight="1">
      <c r="A41" s="301">
        <v>385000</v>
      </c>
      <c r="B41" s="263" t="s">
        <v>1751</v>
      </c>
      <c r="C41" s="269"/>
      <c r="D41" s="269"/>
      <c r="E41" s="269"/>
      <c r="F41" s="314">
        <f t="shared" si="32"/>
        <v>0</v>
      </c>
      <c r="G41" s="269"/>
      <c r="H41" s="269"/>
      <c r="I41" s="269"/>
      <c r="J41" s="314">
        <f t="shared" si="33"/>
        <v>0</v>
      </c>
      <c r="K41" s="269"/>
      <c r="L41" s="269"/>
      <c r="M41" s="269"/>
      <c r="N41" s="314">
        <f t="shared" si="34"/>
        <v>0</v>
      </c>
      <c r="O41" s="269"/>
      <c r="P41" s="269"/>
      <c r="Q41" s="269"/>
      <c r="R41" s="314">
        <f t="shared" si="35"/>
        <v>0</v>
      </c>
      <c r="S41" s="269"/>
      <c r="T41" s="269"/>
      <c r="U41" s="269"/>
      <c r="V41" s="314">
        <f t="shared" si="36"/>
        <v>0</v>
      </c>
      <c r="W41" s="269"/>
      <c r="X41" s="269"/>
      <c r="Y41" s="269"/>
      <c r="Z41" s="314">
        <f t="shared" si="37"/>
        <v>0</v>
      </c>
      <c r="AA41" s="269"/>
      <c r="AB41" s="269"/>
      <c r="AC41" s="269"/>
      <c r="AD41" s="314">
        <f t="shared" si="38"/>
        <v>0</v>
      </c>
      <c r="AE41" s="269"/>
      <c r="AF41" s="269"/>
      <c r="AG41" s="269"/>
      <c r="AH41" s="314">
        <f t="shared" si="39"/>
        <v>0</v>
      </c>
      <c r="AI41" s="269"/>
      <c r="AJ41" s="269"/>
      <c r="AK41" s="269"/>
      <c r="AL41" s="314">
        <f t="shared" si="40"/>
        <v>0</v>
      </c>
      <c r="AM41" s="269"/>
      <c r="AN41" s="269"/>
      <c r="AO41" s="269"/>
      <c r="AP41" s="314">
        <f t="shared" si="41"/>
        <v>0</v>
      </c>
      <c r="AQ41" s="277">
        <f t="shared" si="42"/>
        <v>0</v>
      </c>
      <c r="AR41" s="277">
        <f t="shared" si="43"/>
        <v>0</v>
      </c>
      <c r="AS41" s="277">
        <f t="shared" si="44"/>
        <v>0</v>
      </c>
      <c r="AT41" s="277">
        <f t="shared" si="45"/>
        <v>0</v>
      </c>
    </row>
    <row r="42" spans="1:46" ht="18" customHeight="1">
      <c r="A42" s="301">
        <v>524000</v>
      </c>
      <c r="B42" s="263" t="s">
        <v>1756</v>
      </c>
      <c r="C42" s="269"/>
      <c r="D42" s="269"/>
      <c r="E42" s="269"/>
      <c r="F42" s="314">
        <f t="shared" si="32"/>
        <v>0</v>
      </c>
      <c r="G42" s="269"/>
      <c r="H42" s="269"/>
      <c r="I42" s="269"/>
      <c r="J42" s="314">
        <f t="shared" si="33"/>
        <v>0</v>
      </c>
      <c r="K42" s="269"/>
      <c r="L42" s="269"/>
      <c r="M42" s="269"/>
      <c r="N42" s="314">
        <f t="shared" si="34"/>
        <v>0</v>
      </c>
      <c r="O42" s="269"/>
      <c r="P42" s="269"/>
      <c r="Q42" s="269"/>
      <c r="R42" s="314">
        <f t="shared" si="35"/>
        <v>0</v>
      </c>
      <c r="S42" s="269"/>
      <c r="T42" s="269"/>
      <c r="U42" s="269"/>
      <c r="V42" s="314">
        <f t="shared" si="36"/>
        <v>0</v>
      </c>
      <c r="W42" s="269"/>
      <c r="X42" s="269"/>
      <c r="Y42" s="269"/>
      <c r="Z42" s="314">
        <f t="shared" si="37"/>
        <v>0</v>
      </c>
      <c r="AA42" s="269"/>
      <c r="AB42" s="269"/>
      <c r="AC42" s="269"/>
      <c r="AD42" s="314">
        <f t="shared" si="38"/>
        <v>0</v>
      </c>
      <c r="AE42" s="269"/>
      <c r="AF42" s="269"/>
      <c r="AG42" s="269"/>
      <c r="AH42" s="314">
        <f t="shared" si="39"/>
        <v>0</v>
      </c>
      <c r="AI42" s="269"/>
      <c r="AJ42" s="269"/>
      <c r="AK42" s="269"/>
      <c r="AL42" s="314">
        <f t="shared" si="40"/>
        <v>0</v>
      </c>
      <c r="AM42" s="269"/>
      <c r="AN42" s="269"/>
      <c r="AO42" s="269"/>
      <c r="AP42" s="314">
        <f t="shared" si="41"/>
        <v>0</v>
      </c>
      <c r="AQ42" s="307">
        <f t="shared" si="42"/>
        <v>0</v>
      </c>
      <c r="AR42" s="307">
        <f t="shared" si="43"/>
        <v>0</v>
      </c>
      <c r="AS42" s="307">
        <f t="shared" si="44"/>
        <v>0</v>
      </c>
      <c r="AT42" s="307">
        <f t="shared" si="45"/>
        <v>0</v>
      </c>
    </row>
    <row r="43" spans="1:46" ht="18" customHeight="1" thickBot="1">
      <c r="A43" s="301">
        <v>525000</v>
      </c>
      <c r="B43" s="263" t="s">
        <v>1758</v>
      </c>
      <c r="C43" s="271"/>
      <c r="D43" s="271"/>
      <c r="E43" s="271"/>
      <c r="F43" s="316">
        <f t="shared" si="32"/>
        <v>0</v>
      </c>
      <c r="G43" s="271"/>
      <c r="H43" s="271"/>
      <c r="I43" s="271"/>
      <c r="J43" s="316">
        <f t="shared" si="33"/>
        <v>0</v>
      </c>
      <c r="K43" s="271"/>
      <c r="L43" s="271"/>
      <c r="M43" s="271"/>
      <c r="N43" s="316">
        <f t="shared" si="34"/>
        <v>0</v>
      </c>
      <c r="O43" s="271"/>
      <c r="P43" s="271"/>
      <c r="Q43" s="271"/>
      <c r="R43" s="316">
        <f t="shared" si="35"/>
        <v>0</v>
      </c>
      <c r="S43" s="271"/>
      <c r="T43" s="271"/>
      <c r="U43" s="271"/>
      <c r="V43" s="316">
        <f t="shared" si="36"/>
        <v>0</v>
      </c>
      <c r="W43" s="271"/>
      <c r="X43" s="271"/>
      <c r="Y43" s="271"/>
      <c r="Z43" s="316">
        <f t="shared" si="37"/>
        <v>0</v>
      </c>
      <c r="AA43" s="271"/>
      <c r="AB43" s="271"/>
      <c r="AC43" s="271"/>
      <c r="AD43" s="316">
        <f t="shared" si="38"/>
        <v>0</v>
      </c>
      <c r="AE43" s="271"/>
      <c r="AF43" s="271"/>
      <c r="AG43" s="271"/>
      <c r="AH43" s="316">
        <f t="shared" si="39"/>
        <v>0</v>
      </c>
      <c r="AI43" s="271"/>
      <c r="AJ43" s="271"/>
      <c r="AK43" s="271"/>
      <c r="AL43" s="316">
        <f t="shared" si="40"/>
        <v>0</v>
      </c>
      <c r="AM43" s="271"/>
      <c r="AN43" s="271"/>
      <c r="AO43" s="271"/>
      <c r="AP43" s="316">
        <f t="shared" si="41"/>
        <v>0</v>
      </c>
      <c r="AQ43" s="278">
        <f t="shared" si="42"/>
        <v>0</v>
      </c>
      <c r="AR43" s="278">
        <f t="shared" si="43"/>
        <v>0</v>
      </c>
      <c r="AS43" s="278">
        <f t="shared" si="44"/>
        <v>0</v>
      </c>
      <c r="AT43" s="278">
        <f t="shared" si="45"/>
        <v>0</v>
      </c>
    </row>
    <row r="44" spans="1:46" s="308" customFormat="1" ht="18" customHeight="1" thickBot="1">
      <c r="A44" s="429"/>
      <c r="B44" s="937" t="s">
        <v>237</v>
      </c>
      <c r="C44" s="278">
        <f t="shared" ref="C44:AT44" si="46">SUM(C37:C43)</f>
        <v>0</v>
      </c>
      <c r="D44" s="278">
        <f t="shared" si="46"/>
        <v>0</v>
      </c>
      <c r="E44" s="278">
        <f t="shared" si="46"/>
        <v>0</v>
      </c>
      <c r="F44" s="278">
        <f t="shared" si="46"/>
        <v>0</v>
      </c>
      <c r="G44" s="278">
        <f t="shared" si="46"/>
        <v>0</v>
      </c>
      <c r="H44" s="278">
        <f t="shared" si="46"/>
        <v>0</v>
      </c>
      <c r="I44" s="278">
        <f t="shared" si="46"/>
        <v>0</v>
      </c>
      <c r="J44" s="278">
        <f t="shared" si="46"/>
        <v>0</v>
      </c>
      <c r="K44" s="278">
        <f t="shared" si="46"/>
        <v>0</v>
      </c>
      <c r="L44" s="278">
        <f t="shared" si="46"/>
        <v>0</v>
      </c>
      <c r="M44" s="278">
        <f t="shared" si="46"/>
        <v>0</v>
      </c>
      <c r="N44" s="278">
        <f t="shared" si="46"/>
        <v>0</v>
      </c>
      <c r="O44" s="278">
        <f t="shared" si="46"/>
        <v>0</v>
      </c>
      <c r="P44" s="278">
        <f t="shared" si="46"/>
        <v>0</v>
      </c>
      <c r="Q44" s="278">
        <f t="shared" si="46"/>
        <v>0</v>
      </c>
      <c r="R44" s="278">
        <f t="shared" si="46"/>
        <v>0</v>
      </c>
      <c r="S44" s="278">
        <f t="shared" si="46"/>
        <v>0</v>
      </c>
      <c r="T44" s="278">
        <f t="shared" si="46"/>
        <v>0</v>
      </c>
      <c r="U44" s="278">
        <f t="shared" si="46"/>
        <v>0</v>
      </c>
      <c r="V44" s="278">
        <f t="shared" si="46"/>
        <v>0</v>
      </c>
      <c r="W44" s="278">
        <f t="shared" si="46"/>
        <v>0</v>
      </c>
      <c r="X44" s="278">
        <f t="shared" si="46"/>
        <v>0</v>
      </c>
      <c r="Y44" s="278">
        <f t="shared" si="46"/>
        <v>0</v>
      </c>
      <c r="Z44" s="278">
        <f t="shared" si="46"/>
        <v>0</v>
      </c>
      <c r="AA44" s="278">
        <f t="shared" ref="AA44:AD44" si="47">SUM(AA37:AA43)</f>
        <v>0</v>
      </c>
      <c r="AB44" s="278">
        <f t="shared" si="47"/>
        <v>0</v>
      </c>
      <c r="AC44" s="278">
        <f t="shared" si="47"/>
        <v>0</v>
      </c>
      <c r="AD44" s="278">
        <f t="shared" si="47"/>
        <v>0</v>
      </c>
      <c r="AE44" s="278">
        <f t="shared" ref="AE44:AH44" si="48">SUM(AE37:AE43)</f>
        <v>0</v>
      </c>
      <c r="AF44" s="278">
        <f t="shared" si="48"/>
        <v>0</v>
      </c>
      <c r="AG44" s="278">
        <f t="shared" si="48"/>
        <v>0</v>
      </c>
      <c r="AH44" s="278">
        <f t="shared" si="48"/>
        <v>0</v>
      </c>
      <c r="AI44" s="278">
        <f t="shared" ref="AI44:AL44" si="49">SUM(AI37:AI43)</f>
        <v>0</v>
      </c>
      <c r="AJ44" s="278">
        <f t="shared" si="49"/>
        <v>0</v>
      </c>
      <c r="AK44" s="278">
        <f t="shared" si="49"/>
        <v>0</v>
      </c>
      <c r="AL44" s="278">
        <f t="shared" si="49"/>
        <v>0</v>
      </c>
      <c r="AM44" s="278">
        <f t="shared" ref="AM44:AP44" si="50">SUM(AM37:AM43)</f>
        <v>0</v>
      </c>
      <c r="AN44" s="278">
        <f t="shared" si="50"/>
        <v>0</v>
      </c>
      <c r="AO44" s="278">
        <f t="shared" si="50"/>
        <v>0</v>
      </c>
      <c r="AP44" s="278">
        <f t="shared" si="50"/>
        <v>0</v>
      </c>
      <c r="AQ44" s="278">
        <f t="shared" si="46"/>
        <v>0</v>
      </c>
      <c r="AR44" s="278">
        <f t="shared" si="46"/>
        <v>0</v>
      </c>
      <c r="AS44" s="278">
        <f t="shared" si="46"/>
        <v>0</v>
      </c>
      <c r="AT44" s="278">
        <f t="shared" si="46"/>
        <v>0</v>
      </c>
    </row>
    <row r="45" spans="1:46" s="308" customFormat="1" ht="18" customHeight="1">
      <c r="A45" s="429"/>
      <c r="B45" s="937" t="s">
        <v>175</v>
      </c>
      <c r="C45" s="277">
        <f t="shared" ref="C45:Z45" si="51">+C35+C44</f>
        <v>0</v>
      </c>
      <c r="D45" s="277">
        <f t="shared" si="51"/>
        <v>0</v>
      </c>
      <c r="E45" s="277">
        <f t="shared" si="51"/>
        <v>0</v>
      </c>
      <c r="F45" s="277">
        <f t="shared" si="51"/>
        <v>0</v>
      </c>
      <c r="G45" s="277">
        <f t="shared" si="51"/>
        <v>0</v>
      </c>
      <c r="H45" s="277">
        <f t="shared" si="51"/>
        <v>0</v>
      </c>
      <c r="I45" s="277">
        <f t="shared" si="51"/>
        <v>0</v>
      </c>
      <c r="J45" s="277">
        <f t="shared" si="51"/>
        <v>0</v>
      </c>
      <c r="K45" s="277">
        <f t="shared" si="51"/>
        <v>0</v>
      </c>
      <c r="L45" s="277">
        <f t="shared" si="51"/>
        <v>0</v>
      </c>
      <c r="M45" s="277">
        <f t="shared" si="51"/>
        <v>0</v>
      </c>
      <c r="N45" s="277">
        <f t="shared" si="51"/>
        <v>0</v>
      </c>
      <c r="O45" s="277">
        <f t="shared" si="51"/>
        <v>0</v>
      </c>
      <c r="P45" s="277">
        <f t="shared" si="51"/>
        <v>0</v>
      </c>
      <c r="Q45" s="277">
        <f t="shared" si="51"/>
        <v>0</v>
      </c>
      <c r="R45" s="277">
        <f t="shared" si="51"/>
        <v>0</v>
      </c>
      <c r="S45" s="277">
        <f t="shared" si="51"/>
        <v>0</v>
      </c>
      <c r="T45" s="277">
        <f t="shared" si="51"/>
        <v>0</v>
      </c>
      <c r="U45" s="277">
        <f t="shared" si="51"/>
        <v>0</v>
      </c>
      <c r="V45" s="277">
        <f t="shared" si="51"/>
        <v>0</v>
      </c>
      <c r="W45" s="277">
        <f t="shared" si="51"/>
        <v>0</v>
      </c>
      <c r="X45" s="277">
        <f t="shared" si="51"/>
        <v>0</v>
      </c>
      <c r="Y45" s="277">
        <f t="shared" si="51"/>
        <v>0</v>
      </c>
      <c r="Z45" s="277">
        <f t="shared" si="51"/>
        <v>0</v>
      </c>
      <c r="AA45" s="277">
        <f t="shared" ref="AA45:AD45" si="52">+AA35+AA44</f>
        <v>0</v>
      </c>
      <c r="AB45" s="277">
        <f t="shared" si="52"/>
        <v>0</v>
      </c>
      <c r="AC45" s="277">
        <f t="shared" si="52"/>
        <v>0</v>
      </c>
      <c r="AD45" s="277">
        <f t="shared" si="52"/>
        <v>0</v>
      </c>
      <c r="AE45" s="277">
        <f t="shared" ref="AE45:AH45" si="53">+AE35+AE44</f>
        <v>0</v>
      </c>
      <c r="AF45" s="277">
        <f t="shared" si="53"/>
        <v>0</v>
      </c>
      <c r="AG45" s="277">
        <f t="shared" si="53"/>
        <v>0</v>
      </c>
      <c r="AH45" s="277">
        <f t="shared" si="53"/>
        <v>0</v>
      </c>
      <c r="AI45" s="277">
        <f t="shared" ref="AI45:AL45" si="54">+AI35+AI44</f>
        <v>0</v>
      </c>
      <c r="AJ45" s="277">
        <f t="shared" si="54"/>
        <v>0</v>
      </c>
      <c r="AK45" s="277">
        <f t="shared" si="54"/>
        <v>0</v>
      </c>
      <c r="AL45" s="277">
        <f t="shared" si="54"/>
        <v>0</v>
      </c>
      <c r="AM45" s="277">
        <f t="shared" ref="AM45:AP45" si="55">+AM35+AM44</f>
        <v>0</v>
      </c>
      <c r="AN45" s="277">
        <f t="shared" si="55"/>
        <v>0</v>
      </c>
      <c r="AO45" s="277">
        <f t="shared" si="55"/>
        <v>0</v>
      </c>
      <c r="AP45" s="277">
        <f t="shared" si="55"/>
        <v>0</v>
      </c>
      <c r="AQ45" s="277">
        <f>+C45+G45+K45+O45+S45+W45+AA45+AE45+AI45+AM45</f>
        <v>0</v>
      </c>
      <c r="AR45" s="277">
        <f>+D45+H45+L45+P45+T45+X45+AB45+AF45+AJ45+AN45</f>
        <v>0</v>
      </c>
      <c r="AS45" s="277">
        <f>+E45+I45+M45+Q45+U45+Y45+AC45+AG45+AK45+AO45</f>
        <v>0</v>
      </c>
      <c r="AT45" s="277">
        <f>+F45+J45+N45+R45+V45+Z45+AD45+AH45+AL45+AP45</f>
        <v>0</v>
      </c>
    </row>
    <row r="46" spans="1:46" ht="30" customHeight="1">
      <c r="A46" s="301"/>
      <c r="B46" s="324" t="str">
        <f>+'GENERAL FUND-OPERATING(48-53)'!B295</f>
        <v>Fund balances - July 1, 2016 as previously reported</v>
      </c>
      <c r="C46" s="277"/>
      <c r="D46" s="277"/>
      <c r="E46" s="269"/>
      <c r="F46" s="314"/>
      <c r="G46" s="277"/>
      <c r="H46" s="277"/>
      <c r="I46" s="269"/>
      <c r="J46" s="314"/>
      <c r="K46" s="277"/>
      <c r="L46" s="277"/>
      <c r="M46" s="269"/>
      <c r="N46" s="314"/>
      <c r="O46" s="277"/>
      <c r="P46" s="277"/>
      <c r="Q46" s="269"/>
      <c r="R46" s="314"/>
      <c r="S46" s="277"/>
      <c r="T46" s="277"/>
      <c r="U46" s="269"/>
      <c r="V46" s="314"/>
      <c r="W46" s="277"/>
      <c r="X46" s="277"/>
      <c r="Y46" s="269"/>
      <c r="Z46" s="314"/>
      <c r="AA46" s="277"/>
      <c r="AB46" s="277"/>
      <c r="AC46" s="269"/>
      <c r="AD46" s="314"/>
      <c r="AE46" s="277"/>
      <c r="AF46" s="277"/>
      <c r="AG46" s="269"/>
      <c r="AH46" s="314"/>
      <c r="AI46" s="277"/>
      <c r="AJ46" s="277"/>
      <c r="AK46" s="269"/>
      <c r="AL46" s="314"/>
      <c r="AM46" s="277"/>
      <c r="AN46" s="277"/>
      <c r="AO46" s="269"/>
      <c r="AP46" s="314"/>
      <c r="AQ46" s="277"/>
      <c r="AR46" s="277"/>
      <c r="AS46" s="307">
        <f t="shared" ref="AS46:AS47" si="56">+E46+I46+M46+Q46+U46+Y46+AC46+AG46+AK46+AO46</f>
        <v>0</v>
      </c>
      <c r="AT46" s="314"/>
    </row>
    <row r="47" spans="1:46" ht="18" customHeight="1" thickBot="1">
      <c r="A47" s="301"/>
      <c r="B47" s="268" t="s">
        <v>699</v>
      </c>
      <c r="C47" s="307"/>
      <c r="D47" s="307"/>
      <c r="E47" s="271"/>
      <c r="F47" s="307"/>
      <c r="G47" s="307"/>
      <c r="H47" s="307"/>
      <c r="I47" s="271"/>
      <c r="J47" s="307"/>
      <c r="K47" s="307"/>
      <c r="L47" s="307"/>
      <c r="M47" s="271"/>
      <c r="N47" s="307"/>
      <c r="O47" s="307"/>
      <c r="P47" s="307"/>
      <c r="Q47" s="271"/>
      <c r="R47" s="307"/>
      <c r="S47" s="307"/>
      <c r="T47" s="307"/>
      <c r="U47" s="271"/>
      <c r="V47" s="307"/>
      <c r="W47" s="307"/>
      <c r="X47" s="307"/>
      <c r="Y47" s="271"/>
      <c r="Z47" s="307"/>
      <c r="AA47" s="307"/>
      <c r="AB47" s="307"/>
      <c r="AC47" s="271"/>
      <c r="AD47" s="307"/>
      <c r="AE47" s="307"/>
      <c r="AF47" s="307"/>
      <c r="AG47" s="271"/>
      <c r="AH47" s="307"/>
      <c r="AI47" s="307"/>
      <c r="AJ47" s="307"/>
      <c r="AK47" s="271"/>
      <c r="AL47" s="307"/>
      <c r="AM47" s="307"/>
      <c r="AN47" s="307"/>
      <c r="AO47" s="271"/>
      <c r="AP47" s="307"/>
      <c r="AQ47" s="307"/>
      <c r="AR47" s="307"/>
      <c r="AS47" s="278">
        <f t="shared" si="56"/>
        <v>0</v>
      </c>
      <c r="AT47" s="307"/>
    </row>
    <row r="48" spans="1:46" s="308" customFormat="1" ht="30" customHeight="1" thickBot="1">
      <c r="A48" s="411"/>
      <c r="B48" s="548" t="str">
        <f>+'GENERAL FUND-OPERATING(48-53)'!B297</f>
        <v>Fund balances - July 1, 2016 as restated</v>
      </c>
      <c r="C48" s="307"/>
      <c r="D48" s="307"/>
      <c r="E48" s="277">
        <f>+E46+E47</f>
        <v>0</v>
      </c>
      <c r="F48" s="307"/>
      <c r="G48" s="307"/>
      <c r="H48" s="307"/>
      <c r="I48" s="277">
        <f>+I46+I47</f>
        <v>0</v>
      </c>
      <c r="J48" s="307"/>
      <c r="K48" s="307"/>
      <c r="L48" s="307"/>
      <c r="M48" s="277">
        <f>+M46+M47</f>
        <v>0</v>
      </c>
      <c r="N48" s="307"/>
      <c r="O48" s="307"/>
      <c r="P48" s="307"/>
      <c r="Q48" s="277">
        <f>+Q46+Q47</f>
        <v>0</v>
      </c>
      <c r="R48" s="307"/>
      <c r="S48" s="307"/>
      <c r="T48" s="307"/>
      <c r="U48" s="277">
        <f>+U46+U47</f>
        <v>0</v>
      </c>
      <c r="V48" s="307"/>
      <c r="W48" s="307"/>
      <c r="X48" s="307"/>
      <c r="Y48" s="277">
        <f>+Y46+Y47</f>
        <v>0</v>
      </c>
      <c r="Z48" s="307"/>
      <c r="AA48" s="307"/>
      <c r="AB48" s="307"/>
      <c r="AC48" s="277">
        <f>+AC46+AC47</f>
        <v>0</v>
      </c>
      <c r="AD48" s="307"/>
      <c r="AE48" s="307"/>
      <c r="AF48" s="307"/>
      <c r="AG48" s="277">
        <f>+AG46+AG47</f>
        <v>0</v>
      </c>
      <c r="AH48" s="307"/>
      <c r="AI48" s="307"/>
      <c r="AJ48" s="307"/>
      <c r="AK48" s="277">
        <f>+AK46+AK47</f>
        <v>0</v>
      </c>
      <c r="AL48" s="307"/>
      <c r="AM48" s="307"/>
      <c r="AN48" s="307"/>
      <c r="AO48" s="277">
        <f>+AO46+AO47</f>
        <v>0</v>
      </c>
      <c r="AP48" s="307"/>
      <c r="AQ48" s="307"/>
      <c r="AR48" s="307"/>
      <c r="AS48" s="277">
        <f>+AS46+AS47</f>
        <v>0</v>
      </c>
      <c r="AT48" s="307"/>
    </row>
    <row r="49" spans="1:46" s="308" customFormat="1" ht="18" customHeight="1" thickBot="1">
      <c r="A49" s="411"/>
      <c r="B49" s="431" t="str">
        <f>+'GENERAL FUND-OPERATING(48-53)'!B298</f>
        <v>Fund balances - June 30, 2017</v>
      </c>
      <c r="C49" s="307"/>
      <c r="D49" s="307"/>
      <c r="E49" s="280">
        <f>+E45+E48</f>
        <v>0</v>
      </c>
      <c r="F49" s="307"/>
      <c r="G49" s="307"/>
      <c r="H49" s="307"/>
      <c r="I49" s="280">
        <f>+I45+I48</f>
        <v>0</v>
      </c>
      <c r="J49" s="307"/>
      <c r="K49" s="307"/>
      <c r="L49" s="307"/>
      <c r="M49" s="280">
        <f>+M45+M48</f>
        <v>0</v>
      </c>
      <c r="N49" s="307"/>
      <c r="O49" s="307"/>
      <c r="P49" s="307"/>
      <c r="Q49" s="280">
        <f>+Q45+Q48</f>
        <v>0</v>
      </c>
      <c r="R49" s="307"/>
      <c r="S49" s="307"/>
      <c r="T49" s="307"/>
      <c r="U49" s="280">
        <f>+U45+U48</f>
        <v>0</v>
      </c>
      <c r="V49" s="307"/>
      <c r="W49" s="307"/>
      <c r="X49" s="307"/>
      <c r="Y49" s="280">
        <f>+Y45+Y48</f>
        <v>0</v>
      </c>
      <c r="Z49" s="307"/>
      <c r="AA49" s="307"/>
      <c r="AB49" s="307"/>
      <c r="AC49" s="280">
        <f>+AC45+AC48</f>
        <v>0</v>
      </c>
      <c r="AD49" s="307"/>
      <c r="AE49" s="307"/>
      <c r="AF49" s="307"/>
      <c r="AG49" s="280">
        <f>+AG45+AG48</f>
        <v>0</v>
      </c>
      <c r="AH49" s="307"/>
      <c r="AI49" s="307"/>
      <c r="AJ49" s="307"/>
      <c r="AK49" s="280">
        <f>+AK45+AK48</f>
        <v>0</v>
      </c>
      <c r="AL49" s="307"/>
      <c r="AM49" s="307"/>
      <c r="AN49" s="307"/>
      <c r="AO49" s="280">
        <f>+AO45+AO48</f>
        <v>0</v>
      </c>
      <c r="AP49" s="307"/>
      <c r="AQ49" s="307"/>
      <c r="AR49" s="307"/>
      <c r="AS49" s="280">
        <f>+AS45+AS48</f>
        <v>0</v>
      </c>
      <c r="AT49" s="307"/>
    </row>
    <row r="50" spans="1:46" ht="15.75" thickTop="1">
      <c r="A50" s="263"/>
      <c r="B50" s="263"/>
      <c r="C50" s="263"/>
      <c r="D50" s="263"/>
      <c r="E50" s="263"/>
      <c r="F50" s="411"/>
      <c r="G50" s="263"/>
      <c r="H50" s="263"/>
      <c r="I50" s="263"/>
      <c r="J50" s="411"/>
      <c r="K50" s="263"/>
      <c r="L50" s="263"/>
      <c r="M50" s="263"/>
      <c r="N50" s="263"/>
      <c r="O50" s="263"/>
      <c r="P50" s="263"/>
      <c r="R50" s="308"/>
      <c r="V50" s="308"/>
      <c r="Z50" s="308"/>
      <c r="AD50" s="308"/>
      <c r="AH50" s="308"/>
      <c r="AL50" s="308"/>
      <c r="AP50" s="308"/>
      <c r="AQ50" s="308"/>
      <c r="AR50" s="308"/>
      <c r="AS50" s="308"/>
      <c r="AT50" s="308"/>
    </row>
    <row r="51" spans="1:46" ht="15.75">
      <c r="A51" s="263"/>
      <c r="B51" s="263"/>
      <c r="C51" s="263"/>
      <c r="D51" s="433" t="s">
        <v>1343</v>
      </c>
      <c r="E51" s="263"/>
      <c r="F51" s="411"/>
      <c r="G51" s="263"/>
      <c r="H51" s="433" t="s">
        <v>1343</v>
      </c>
      <c r="I51" s="263"/>
      <c r="J51" s="411"/>
      <c r="K51" s="263"/>
      <c r="L51" s="433" t="s">
        <v>1343</v>
      </c>
      <c r="M51" s="263"/>
      <c r="N51" s="263"/>
      <c r="O51" s="263"/>
      <c r="P51" s="433" t="s">
        <v>1343</v>
      </c>
      <c r="Q51" s="263"/>
      <c r="R51" s="411"/>
      <c r="S51" s="263"/>
      <c r="T51" s="433" t="s">
        <v>1343</v>
      </c>
      <c r="U51" s="263"/>
      <c r="V51" s="411"/>
      <c r="W51" s="263"/>
      <c r="X51" s="433" t="s">
        <v>1343</v>
      </c>
      <c r="Y51" s="263"/>
      <c r="Z51" s="411"/>
      <c r="AA51" s="263"/>
      <c r="AB51" s="433" t="s">
        <v>1343</v>
      </c>
      <c r="AC51" s="263"/>
      <c r="AD51" s="411"/>
      <c r="AE51" s="263"/>
      <c r="AF51" s="433" t="s">
        <v>1343</v>
      </c>
      <c r="AG51" s="263"/>
      <c r="AH51" s="411"/>
      <c r="AI51" s="263"/>
      <c r="AJ51" s="433" t="s">
        <v>1343</v>
      </c>
      <c r="AK51" s="263"/>
      <c r="AL51" s="411"/>
      <c r="AM51" s="263"/>
      <c r="AN51" s="433" t="s">
        <v>1343</v>
      </c>
      <c r="AO51" s="263"/>
      <c r="AP51" s="411"/>
      <c r="AQ51" s="263"/>
      <c r="AR51" s="433" t="s">
        <v>1344</v>
      </c>
      <c r="AS51" s="263"/>
      <c r="AT51" s="263"/>
    </row>
    <row r="52" spans="1:46" ht="15">
      <c r="A52" s="263"/>
      <c r="B52" s="263"/>
      <c r="C52" s="263"/>
      <c r="D52" s="263"/>
      <c r="E52" s="263"/>
      <c r="F52" s="263"/>
      <c r="G52" s="263"/>
      <c r="H52" s="263"/>
      <c r="I52" s="263"/>
      <c r="J52" s="263"/>
      <c r="K52" s="263"/>
      <c r="L52" s="263"/>
      <c r="M52" s="263"/>
      <c r="N52" s="263"/>
      <c r="O52" s="263"/>
      <c r="P52" s="263"/>
    </row>
    <row r="53" spans="1:46" ht="15">
      <c r="A53" s="263"/>
      <c r="B53" s="263"/>
      <c r="C53" s="263"/>
      <c r="D53" s="263"/>
      <c r="E53" s="263"/>
      <c r="F53" s="263"/>
      <c r="G53" s="263"/>
      <c r="H53" s="263"/>
      <c r="I53" s="263"/>
      <c r="J53" s="263"/>
      <c r="K53" s="263"/>
      <c r="L53" s="263"/>
      <c r="M53" s="263"/>
      <c r="N53" s="263"/>
      <c r="O53" s="263"/>
      <c r="P53" s="263"/>
    </row>
    <row r="54" spans="1:46" ht="15">
      <c r="A54" s="263"/>
      <c r="B54" s="263"/>
      <c r="C54" s="263"/>
      <c r="D54" s="263"/>
      <c r="E54" s="263"/>
      <c r="F54" s="263"/>
      <c r="G54" s="263"/>
      <c r="H54" s="263"/>
      <c r="I54" s="263"/>
      <c r="J54" s="263"/>
      <c r="K54" s="263"/>
      <c r="L54" s="263"/>
      <c r="M54" s="263"/>
      <c r="N54" s="263"/>
      <c r="O54" s="263"/>
      <c r="P54" s="263"/>
    </row>
    <row r="55" spans="1:46" ht="15">
      <c r="A55" s="263"/>
      <c r="B55" s="263"/>
      <c r="C55" s="263"/>
      <c r="D55" s="263"/>
      <c r="E55" s="263"/>
      <c r="F55" s="263"/>
      <c r="G55" s="263"/>
      <c r="H55" s="263"/>
      <c r="I55" s="263"/>
      <c r="J55" s="263"/>
      <c r="K55" s="263"/>
      <c r="L55" s="263"/>
      <c r="M55" s="263"/>
      <c r="N55" s="263"/>
      <c r="O55" s="263"/>
      <c r="P55" s="263"/>
    </row>
    <row r="56" spans="1:46" ht="15">
      <c r="A56" s="263"/>
      <c r="B56" s="263"/>
      <c r="C56" s="263"/>
      <c r="D56" s="263"/>
      <c r="E56" s="263"/>
      <c r="F56" s="263"/>
      <c r="G56" s="263"/>
      <c r="H56" s="263"/>
      <c r="I56" s="263"/>
      <c r="J56" s="263"/>
      <c r="K56" s="263"/>
      <c r="L56" s="263"/>
      <c r="M56" s="263"/>
      <c r="N56" s="263"/>
      <c r="O56" s="263"/>
      <c r="P56" s="263"/>
    </row>
    <row r="57" spans="1:46" ht="15">
      <c r="A57" s="263"/>
      <c r="B57" s="263"/>
      <c r="C57" s="263"/>
      <c r="D57" s="263"/>
      <c r="E57" s="263"/>
      <c r="F57" s="263"/>
      <c r="G57" s="263"/>
      <c r="H57" s="263"/>
      <c r="I57" s="263"/>
      <c r="J57" s="263"/>
      <c r="K57" s="263"/>
      <c r="L57" s="263"/>
      <c r="M57" s="263"/>
      <c r="N57" s="263"/>
      <c r="O57" s="263"/>
      <c r="P57" s="263"/>
    </row>
    <row r="58" spans="1:46" ht="15">
      <c r="A58" s="263"/>
      <c r="B58" s="263"/>
      <c r="C58" s="263"/>
      <c r="D58" s="263"/>
      <c r="E58" s="263"/>
      <c r="F58" s="263"/>
      <c r="G58" s="263"/>
      <c r="H58" s="263"/>
      <c r="I58" s="263"/>
      <c r="J58" s="263"/>
      <c r="K58" s="263"/>
      <c r="L58" s="263"/>
      <c r="M58" s="263"/>
      <c r="N58" s="263"/>
      <c r="O58" s="263"/>
      <c r="P58" s="263"/>
    </row>
    <row r="59" spans="1:46" ht="15">
      <c r="A59" s="263"/>
      <c r="B59" s="263"/>
      <c r="C59" s="263"/>
      <c r="D59" s="263"/>
      <c r="E59" s="263"/>
      <c r="F59" s="263"/>
      <c r="G59" s="263"/>
      <c r="H59" s="263"/>
      <c r="I59" s="263"/>
      <c r="J59" s="263"/>
      <c r="K59" s="263"/>
      <c r="L59" s="263"/>
      <c r="M59" s="263"/>
      <c r="N59" s="263"/>
      <c r="O59" s="263"/>
      <c r="P59" s="263"/>
    </row>
    <row r="60" spans="1:46" ht="15">
      <c r="A60" s="263"/>
      <c r="B60" s="263"/>
      <c r="C60" s="263"/>
      <c r="D60" s="263"/>
      <c r="E60" s="263"/>
      <c r="F60" s="263"/>
      <c r="G60" s="263"/>
      <c r="H60" s="263"/>
      <c r="I60" s="263"/>
      <c r="J60" s="263"/>
      <c r="K60" s="263"/>
      <c r="L60" s="263"/>
      <c r="M60" s="263"/>
      <c r="N60" s="263"/>
      <c r="O60" s="263"/>
      <c r="P60" s="263"/>
    </row>
    <row r="61" spans="1:46" ht="15">
      <c r="A61" s="263"/>
      <c r="B61" s="263"/>
      <c r="C61" s="263"/>
      <c r="D61" s="263"/>
      <c r="E61" s="263"/>
      <c r="F61" s="263"/>
      <c r="G61" s="263"/>
      <c r="H61" s="263"/>
      <c r="I61" s="263"/>
      <c r="J61" s="263"/>
      <c r="K61" s="263"/>
      <c r="L61" s="263"/>
      <c r="M61" s="263"/>
      <c r="N61" s="263"/>
      <c r="O61" s="263"/>
      <c r="P61" s="263"/>
    </row>
    <row r="62" spans="1:46" ht="15">
      <c r="A62" s="263"/>
      <c r="B62" s="263"/>
      <c r="C62" s="263"/>
      <c r="D62" s="263"/>
      <c r="E62" s="263"/>
      <c r="F62" s="263"/>
      <c r="G62" s="263"/>
      <c r="H62" s="263"/>
      <c r="I62" s="263"/>
      <c r="J62" s="263"/>
      <c r="K62" s="263"/>
      <c r="L62" s="263"/>
      <c r="M62" s="263"/>
      <c r="N62" s="263"/>
      <c r="O62" s="263"/>
      <c r="P62" s="263"/>
    </row>
    <row r="63" spans="1:46" ht="15">
      <c r="A63" s="263"/>
      <c r="B63" s="263"/>
      <c r="C63" s="263"/>
      <c r="D63" s="263"/>
      <c r="E63" s="263"/>
      <c r="F63" s="263"/>
      <c r="G63" s="263"/>
      <c r="H63" s="263"/>
      <c r="I63" s="263"/>
      <c r="J63" s="263"/>
      <c r="K63" s="263"/>
      <c r="L63" s="263"/>
      <c r="M63" s="263"/>
      <c r="N63" s="263"/>
      <c r="O63" s="263"/>
      <c r="P63" s="263"/>
    </row>
    <row r="64" spans="1:46" ht="15">
      <c r="A64" s="263"/>
      <c r="B64" s="263"/>
      <c r="C64" s="263"/>
      <c r="D64" s="263"/>
      <c r="E64" s="263"/>
      <c r="F64" s="263"/>
      <c r="G64" s="263"/>
      <c r="H64" s="263"/>
      <c r="I64" s="263"/>
      <c r="J64" s="263"/>
      <c r="K64" s="263"/>
      <c r="L64" s="263"/>
      <c r="M64" s="263"/>
      <c r="N64" s="263"/>
      <c r="O64" s="263"/>
      <c r="P64" s="263"/>
    </row>
    <row r="65" spans="1:16" ht="15">
      <c r="A65" s="263"/>
      <c r="B65" s="263"/>
      <c r="C65" s="263"/>
      <c r="D65" s="263"/>
      <c r="E65" s="263"/>
      <c r="F65" s="263"/>
      <c r="G65" s="263"/>
      <c r="H65" s="263"/>
      <c r="I65" s="263"/>
      <c r="J65" s="263"/>
      <c r="K65" s="263"/>
      <c r="L65" s="263"/>
      <c r="M65" s="263"/>
      <c r="N65" s="263"/>
      <c r="O65" s="263"/>
      <c r="P65" s="263"/>
    </row>
    <row r="66" spans="1:16" ht="15">
      <c r="A66" s="263"/>
      <c r="B66" s="263"/>
      <c r="C66" s="263"/>
      <c r="D66" s="263"/>
      <c r="E66" s="263"/>
      <c r="F66" s="263"/>
      <c r="G66" s="263"/>
      <c r="H66" s="263"/>
      <c r="I66" s="263"/>
      <c r="J66" s="263"/>
      <c r="K66" s="263"/>
      <c r="L66" s="263"/>
      <c r="M66" s="263"/>
      <c r="N66" s="263"/>
      <c r="O66" s="263"/>
      <c r="P66" s="263"/>
    </row>
    <row r="67" spans="1:16" ht="15">
      <c r="A67" s="263"/>
      <c r="B67" s="263"/>
      <c r="C67" s="263"/>
      <c r="D67" s="263"/>
      <c r="E67" s="263"/>
      <c r="F67" s="263"/>
      <c r="G67" s="263"/>
      <c r="H67" s="263"/>
      <c r="I67" s="263"/>
      <c r="J67" s="263"/>
      <c r="K67" s="263"/>
      <c r="L67" s="263"/>
      <c r="M67" s="263"/>
      <c r="N67" s="263"/>
      <c r="O67" s="263"/>
      <c r="P67" s="263"/>
    </row>
    <row r="68" spans="1:16" ht="15">
      <c r="A68" s="263"/>
      <c r="B68" s="263"/>
      <c r="C68" s="263"/>
      <c r="D68" s="263"/>
      <c r="E68" s="263"/>
      <c r="F68" s="263"/>
      <c r="G68" s="263"/>
      <c r="H68" s="263"/>
      <c r="I68" s="263"/>
      <c r="J68" s="263"/>
      <c r="K68" s="263"/>
      <c r="L68" s="263"/>
      <c r="M68" s="263"/>
      <c r="N68" s="263"/>
      <c r="O68" s="263"/>
      <c r="P68" s="263"/>
    </row>
    <row r="69" spans="1:16" ht="15">
      <c r="A69" s="263"/>
      <c r="B69" s="263"/>
      <c r="C69" s="263"/>
      <c r="D69" s="263"/>
      <c r="E69" s="263"/>
      <c r="F69" s="263"/>
      <c r="G69" s="263"/>
      <c r="H69" s="263"/>
      <c r="I69" s="263"/>
      <c r="J69" s="263"/>
      <c r="K69" s="263"/>
      <c r="L69" s="263"/>
      <c r="M69" s="263"/>
      <c r="N69" s="263"/>
      <c r="O69" s="263"/>
      <c r="P69" s="263"/>
    </row>
    <row r="70" spans="1:16" ht="15">
      <c r="A70" s="263"/>
      <c r="B70" s="263"/>
      <c r="C70" s="263"/>
      <c r="D70" s="263"/>
      <c r="E70" s="263"/>
      <c r="F70" s="263"/>
      <c r="G70" s="263"/>
      <c r="H70" s="263"/>
      <c r="I70" s="263"/>
      <c r="J70" s="263"/>
      <c r="K70" s="263"/>
      <c r="L70" s="263"/>
      <c r="M70" s="263"/>
      <c r="N70" s="263"/>
      <c r="O70" s="263"/>
      <c r="P70" s="263"/>
    </row>
    <row r="71" spans="1:16" ht="15">
      <c r="A71" s="263"/>
      <c r="B71" s="263"/>
      <c r="C71" s="263"/>
      <c r="D71" s="263"/>
      <c r="E71" s="263"/>
      <c r="F71" s="263"/>
      <c r="G71" s="263"/>
      <c r="H71" s="263"/>
      <c r="I71" s="263"/>
      <c r="J71" s="263"/>
      <c r="K71" s="263"/>
      <c r="L71" s="263"/>
      <c r="M71" s="263"/>
      <c r="N71" s="263"/>
      <c r="O71" s="263"/>
      <c r="P71" s="263"/>
    </row>
    <row r="72" spans="1:16" ht="15">
      <c r="A72" s="263"/>
      <c r="B72" s="263"/>
      <c r="C72" s="263"/>
      <c r="D72" s="263"/>
      <c r="E72" s="263"/>
      <c r="F72" s="263"/>
      <c r="G72" s="263"/>
      <c r="H72" s="263"/>
      <c r="I72" s="263"/>
      <c r="J72" s="263"/>
      <c r="K72" s="263"/>
      <c r="L72" s="263"/>
      <c r="M72" s="263"/>
      <c r="N72" s="263"/>
      <c r="O72" s="263"/>
      <c r="P72" s="263"/>
    </row>
    <row r="73" spans="1:16" ht="15">
      <c r="A73" s="263"/>
      <c r="B73" s="263"/>
      <c r="C73" s="263"/>
      <c r="D73" s="263"/>
      <c r="E73" s="263"/>
      <c r="F73" s="263"/>
      <c r="G73" s="263"/>
      <c r="H73" s="263"/>
      <c r="I73" s="263"/>
      <c r="J73" s="263"/>
      <c r="K73" s="263"/>
      <c r="L73" s="263"/>
      <c r="M73" s="263"/>
      <c r="N73" s="263"/>
      <c r="O73" s="263"/>
      <c r="P73" s="263"/>
    </row>
    <row r="74" spans="1:16" ht="15">
      <c r="A74" s="263"/>
      <c r="B74" s="263"/>
      <c r="C74" s="263"/>
      <c r="D74" s="263"/>
      <c r="E74" s="263"/>
      <c r="F74" s="263"/>
      <c r="G74" s="263"/>
      <c r="H74" s="263"/>
      <c r="I74" s="263"/>
      <c r="J74" s="263"/>
      <c r="K74" s="263"/>
      <c r="L74" s="263"/>
      <c r="M74" s="263"/>
      <c r="N74" s="263"/>
      <c r="O74" s="263"/>
      <c r="P74" s="263"/>
    </row>
    <row r="75" spans="1:16" ht="15">
      <c r="A75" s="263"/>
      <c r="B75" s="263"/>
      <c r="C75" s="263"/>
      <c r="D75" s="263"/>
      <c r="E75" s="263"/>
      <c r="F75" s="263"/>
      <c r="G75" s="263"/>
      <c r="H75" s="263"/>
      <c r="I75" s="263"/>
      <c r="J75" s="263"/>
      <c r="K75" s="263"/>
      <c r="L75" s="263"/>
      <c r="M75" s="263"/>
      <c r="N75" s="263"/>
      <c r="O75" s="263"/>
      <c r="P75" s="263"/>
    </row>
    <row r="76" spans="1:16" ht="15">
      <c r="A76" s="263"/>
      <c r="B76" s="263"/>
      <c r="C76" s="263"/>
      <c r="D76" s="263"/>
      <c r="E76" s="263"/>
      <c r="F76" s="263"/>
      <c r="G76" s="263"/>
      <c r="H76" s="263"/>
      <c r="I76" s="263"/>
      <c r="J76" s="263"/>
      <c r="K76" s="263"/>
      <c r="L76" s="263"/>
      <c r="M76" s="263"/>
      <c r="N76" s="263"/>
      <c r="O76" s="263"/>
      <c r="P76" s="263"/>
    </row>
    <row r="77" spans="1:16" ht="15">
      <c r="A77" s="263"/>
      <c r="B77" s="263"/>
      <c r="C77" s="263"/>
      <c r="D77" s="263"/>
      <c r="E77" s="263"/>
      <c r="F77" s="263"/>
      <c r="G77" s="263"/>
      <c r="H77" s="263"/>
      <c r="I77" s="263"/>
      <c r="J77" s="263"/>
      <c r="K77" s="263"/>
      <c r="L77" s="263"/>
      <c r="M77" s="263"/>
      <c r="N77" s="263"/>
      <c r="O77" s="263"/>
      <c r="P77" s="263"/>
    </row>
    <row r="78" spans="1:16" ht="15">
      <c r="A78" s="263"/>
      <c r="B78" s="263"/>
      <c r="C78" s="263"/>
      <c r="D78" s="263"/>
      <c r="E78" s="263"/>
      <c r="F78" s="263"/>
      <c r="G78" s="263"/>
      <c r="H78" s="263"/>
      <c r="I78" s="263"/>
      <c r="J78" s="263"/>
      <c r="K78" s="263"/>
      <c r="L78" s="263"/>
      <c r="M78" s="263"/>
      <c r="N78" s="263"/>
      <c r="O78" s="263"/>
      <c r="P78" s="263"/>
    </row>
    <row r="79" spans="1:16" ht="15">
      <c r="A79" s="263"/>
      <c r="B79" s="263"/>
      <c r="C79" s="263"/>
      <c r="D79" s="263"/>
      <c r="E79" s="263"/>
      <c r="F79" s="263"/>
      <c r="G79" s="263"/>
      <c r="H79" s="263"/>
      <c r="I79" s="263"/>
      <c r="J79" s="263"/>
      <c r="K79" s="263"/>
      <c r="L79" s="263"/>
      <c r="M79" s="263"/>
      <c r="N79" s="263"/>
      <c r="O79" s="263"/>
      <c r="P79" s="263"/>
    </row>
    <row r="80" spans="1:16" ht="15">
      <c r="A80" s="263"/>
      <c r="B80" s="263"/>
      <c r="C80" s="263"/>
      <c r="D80" s="263"/>
      <c r="E80" s="263"/>
      <c r="F80" s="263"/>
      <c r="G80" s="263"/>
      <c r="H80" s="263"/>
      <c r="I80" s="263"/>
      <c r="J80" s="263"/>
      <c r="K80" s="263"/>
      <c r="L80" s="263"/>
      <c r="M80" s="263"/>
      <c r="N80" s="263"/>
      <c r="O80" s="263"/>
      <c r="P80" s="263"/>
    </row>
    <row r="81" spans="1:16" ht="15">
      <c r="A81" s="263"/>
      <c r="B81" s="263"/>
      <c r="C81" s="263"/>
      <c r="D81" s="263"/>
      <c r="E81" s="263"/>
      <c r="F81" s="263"/>
      <c r="G81" s="263"/>
      <c r="H81" s="263"/>
      <c r="I81" s="263"/>
      <c r="J81" s="263"/>
      <c r="K81" s="263"/>
      <c r="L81" s="263"/>
      <c r="M81" s="263"/>
      <c r="N81" s="263"/>
      <c r="O81" s="263"/>
      <c r="P81" s="263"/>
    </row>
    <row r="82" spans="1:16" ht="15">
      <c r="A82" s="263"/>
      <c r="B82" s="263"/>
      <c r="C82" s="263"/>
      <c r="D82" s="263"/>
      <c r="E82" s="263"/>
      <c r="F82" s="263"/>
      <c r="G82" s="263"/>
      <c r="H82" s="263"/>
      <c r="I82" s="263"/>
      <c r="J82" s="263"/>
      <c r="K82" s="263"/>
      <c r="L82" s="263"/>
      <c r="M82" s="263"/>
      <c r="N82" s="263"/>
      <c r="O82" s="263"/>
      <c r="P82" s="263"/>
    </row>
    <row r="83" spans="1:16" ht="15">
      <c r="A83" s="263"/>
      <c r="B83" s="263"/>
      <c r="C83" s="263"/>
      <c r="D83" s="263"/>
      <c r="E83" s="263"/>
      <c r="F83" s="263"/>
      <c r="G83" s="263"/>
      <c r="H83" s="263"/>
      <c r="I83" s="263"/>
      <c r="J83" s="263"/>
      <c r="K83" s="263"/>
      <c r="L83" s="263"/>
      <c r="M83" s="263"/>
      <c r="N83" s="263"/>
      <c r="O83" s="263"/>
      <c r="P83" s="263"/>
    </row>
    <row r="84" spans="1:16" ht="15">
      <c r="A84" s="263"/>
      <c r="B84" s="263"/>
      <c r="C84" s="263"/>
      <c r="D84" s="263"/>
      <c r="E84" s="263"/>
      <c r="F84" s="263"/>
      <c r="G84" s="263"/>
      <c r="H84" s="263"/>
      <c r="I84" s="263"/>
      <c r="J84" s="263"/>
      <c r="K84" s="263"/>
      <c r="L84" s="263"/>
      <c r="M84" s="263"/>
      <c r="N84" s="263"/>
      <c r="O84" s="263"/>
      <c r="P84" s="263"/>
    </row>
    <row r="85" spans="1:16" ht="15">
      <c r="A85" s="263"/>
      <c r="B85" s="263"/>
      <c r="C85" s="263"/>
      <c r="D85" s="263"/>
      <c r="E85" s="263"/>
      <c r="F85" s="263"/>
      <c r="G85" s="263"/>
      <c r="H85" s="263"/>
      <c r="I85" s="263"/>
      <c r="J85" s="263"/>
      <c r="K85" s="263"/>
      <c r="L85" s="263"/>
      <c r="M85" s="263"/>
      <c r="N85" s="263"/>
      <c r="O85" s="263"/>
      <c r="P85" s="263"/>
    </row>
    <row r="86" spans="1:16" ht="15">
      <c r="A86" s="263"/>
      <c r="B86" s="263"/>
      <c r="C86" s="263"/>
      <c r="D86" s="263"/>
      <c r="E86" s="263"/>
      <c r="F86" s="263"/>
      <c r="G86" s="263"/>
      <c r="H86" s="263"/>
      <c r="I86" s="263"/>
      <c r="J86" s="263"/>
      <c r="K86" s="263"/>
      <c r="L86" s="263"/>
      <c r="M86" s="263"/>
      <c r="N86" s="263"/>
      <c r="O86" s="263"/>
      <c r="P86" s="263"/>
    </row>
    <row r="87" spans="1:16" ht="15">
      <c r="A87" s="263"/>
      <c r="B87" s="263"/>
      <c r="C87" s="263"/>
      <c r="D87" s="263"/>
      <c r="E87" s="263"/>
      <c r="F87" s="263"/>
      <c r="G87" s="263"/>
      <c r="H87" s="263"/>
      <c r="I87" s="263"/>
      <c r="J87" s="263"/>
      <c r="K87" s="263"/>
      <c r="L87" s="263"/>
      <c r="M87" s="263"/>
      <c r="N87" s="263"/>
      <c r="O87" s="263"/>
      <c r="P87" s="263"/>
    </row>
    <row r="88" spans="1:16" ht="15">
      <c r="A88" s="263"/>
      <c r="B88" s="263"/>
      <c r="C88" s="263"/>
      <c r="D88" s="263"/>
      <c r="E88" s="263"/>
      <c r="F88" s="263"/>
      <c r="G88" s="263"/>
      <c r="H88" s="263"/>
      <c r="I88" s="263"/>
      <c r="J88" s="263"/>
      <c r="K88" s="263"/>
      <c r="L88" s="263"/>
      <c r="M88" s="263"/>
      <c r="N88" s="263"/>
      <c r="O88" s="263"/>
      <c r="P88" s="263"/>
    </row>
    <row r="89" spans="1:16" ht="15">
      <c r="A89" s="263"/>
      <c r="B89" s="263"/>
      <c r="C89" s="263"/>
      <c r="D89" s="263"/>
      <c r="E89" s="263"/>
      <c r="F89" s="263"/>
      <c r="G89" s="263"/>
      <c r="H89" s="263"/>
      <c r="I89" s="263"/>
      <c r="J89" s="263"/>
      <c r="K89" s="263"/>
      <c r="L89" s="263"/>
      <c r="M89" s="263"/>
      <c r="N89" s="263"/>
      <c r="O89" s="263"/>
      <c r="P89" s="263"/>
    </row>
    <row r="90" spans="1:16" ht="15">
      <c r="A90" s="263"/>
      <c r="B90" s="263"/>
      <c r="C90" s="263"/>
      <c r="D90" s="263"/>
      <c r="E90" s="263"/>
      <c r="F90" s="263"/>
      <c r="G90" s="263"/>
      <c r="H90" s="263"/>
      <c r="I90" s="263"/>
      <c r="J90" s="263"/>
      <c r="K90" s="263"/>
      <c r="L90" s="263"/>
      <c r="M90" s="263"/>
      <c r="N90" s="263"/>
      <c r="O90" s="263"/>
      <c r="P90" s="263"/>
    </row>
    <row r="91" spans="1:16" ht="15">
      <c r="A91" s="263"/>
      <c r="B91" s="263"/>
      <c r="C91" s="263"/>
      <c r="D91" s="263"/>
      <c r="E91" s="263"/>
      <c r="F91" s="263"/>
      <c r="G91" s="263"/>
      <c r="H91" s="263"/>
      <c r="I91" s="263"/>
      <c r="J91" s="263"/>
      <c r="K91" s="263"/>
      <c r="L91" s="263"/>
      <c r="M91" s="263"/>
      <c r="N91" s="263"/>
      <c r="O91" s="263"/>
      <c r="P91" s="263"/>
    </row>
    <row r="92" spans="1:16" ht="15">
      <c r="A92" s="263"/>
      <c r="B92" s="263"/>
      <c r="C92" s="263"/>
      <c r="D92" s="263"/>
      <c r="E92" s="263"/>
      <c r="F92" s="263"/>
      <c r="G92" s="263"/>
      <c r="H92" s="263"/>
      <c r="I92" s="263"/>
      <c r="J92" s="263"/>
      <c r="K92" s="263"/>
      <c r="L92" s="263"/>
      <c r="M92" s="263"/>
      <c r="N92" s="263"/>
      <c r="O92" s="263"/>
      <c r="P92" s="263"/>
    </row>
    <row r="93" spans="1:16" ht="15">
      <c r="A93" s="263"/>
      <c r="B93" s="263"/>
      <c r="C93" s="263"/>
      <c r="D93" s="263"/>
      <c r="E93" s="263"/>
      <c r="F93" s="263"/>
      <c r="G93" s="263"/>
      <c r="H93" s="263"/>
      <c r="I93" s="263"/>
      <c r="J93" s="263"/>
      <c r="K93" s="263"/>
      <c r="L93" s="263"/>
      <c r="M93" s="263"/>
      <c r="N93" s="263"/>
      <c r="O93" s="263"/>
      <c r="P93" s="263"/>
    </row>
    <row r="94" spans="1:16" ht="15">
      <c r="A94" s="263"/>
      <c r="B94" s="263"/>
      <c r="C94" s="263"/>
      <c r="D94" s="263"/>
      <c r="E94" s="263"/>
      <c r="F94" s="263"/>
      <c r="G94" s="263"/>
      <c r="H94" s="263"/>
      <c r="I94" s="263"/>
      <c r="J94" s="263"/>
      <c r="K94" s="263"/>
      <c r="L94" s="263"/>
      <c r="M94" s="263"/>
      <c r="N94" s="263"/>
      <c r="O94" s="263"/>
      <c r="P94" s="263"/>
    </row>
    <row r="95" spans="1:16" ht="15">
      <c r="A95" s="263"/>
      <c r="B95" s="263"/>
      <c r="C95" s="263"/>
      <c r="D95" s="263"/>
      <c r="E95" s="263"/>
      <c r="F95" s="263"/>
      <c r="G95" s="263"/>
      <c r="H95" s="263"/>
      <c r="I95" s="263"/>
      <c r="J95" s="263"/>
      <c r="K95" s="263"/>
      <c r="L95" s="263"/>
      <c r="M95" s="263"/>
      <c r="N95" s="263"/>
      <c r="O95" s="263"/>
      <c r="P95" s="263"/>
    </row>
    <row r="96" spans="1:16" ht="15">
      <c r="A96" s="263"/>
      <c r="B96" s="263"/>
      <c r="C96" s="263"/>
      <c r="D96" s="263"/>
      <c r="E96" s="263"/>
      <c r="F96" s="263"/>
      <c r="G96" s="263"/>
      <c r="H96" s="263"/>
      <c r="I96" s="263"/>
      <c r="J96" s="263"/>
      <c r="K96" s="263"/>
      <c r="L96" s="263"/>
      <c r="M96" s="263"/>
      <c r="N96" s="263"/>
      <c r="O96" s="263"/>
      <c r="P96" s="263"/>
    </row>
    <row r="97" spans="1:16" ht="15">
      <c r="A97" s="263"/>
      <c r="B97" s="263"/>
      <c r="C97" s="263"/>
      <c r="D97" s="263"/>
      <c r="E97" s="263"/>
      <c r="F97" s="263"/>
      <c r="G97" s="263"/>
      <c r="H97" s="263"/>
      <c r="I97" s="263"/>
      <c r="J97" s="263"/>
      <c r="K97" s="263"/>
      <c r="L97" s="263"/>
      <c r="M97" s="263"/>
      <c r="N97" s="263"/>
      <c r="O97" s="263"/>
      <c r="P97" s="263"/>
    </row>
    <row r="98" spans="1:16" ht="15">
      <c r="A98" s="263"/>
      <c r="B98" s="263"/>
      <c r="C98" s="263"/>
      <c r="D98" s="263"/>
      <c r="E98" s="263"/>
      <c r="F98" s="263"/>
      <c r="G98" s="263"/>
      <c r="H98" s="263"/>
      <c r="I98" s="263"/>
      <c r="J98" s="263"/>
      <c r="K98" s="263"/>
      <c r="L98" s="263"/>
      <c r="M98" s="263"/>
      <c r="N98" s="263"/>
      <c r="O98" s="263"/>
      <c r="P98" s="263"/>
    </row>
    <row r="99" spans="1:16" ht="15">
      <c r="A99" s="263"/>
      <c r="B99" s="263"/>
      <c r="C99" s="263"/>
      <c r="D99" s="263"/>
      <c r="E99" s="263"/>
      <c r="F99" s="263"/>
      <c r="G99" s="263"/>
      <c r="H99" s="263"/>
      <c r="I99" s="263"/>
      <c r="J99" s="263"/>
      <c r="K99" s="263"/>
      <c r="L99" s="263"/>
      <c r="M99" s="263"/>
      <c r="N99" s="263"/>
      <c r="O99" s="263"/>
      <c r="P99" s="263"/>
    </row>
    <row r="100" spans="1:16" ht="15">
      <c r="A100" s="263"/>
      <c r="B100" s="263"/>
      <c r="C100" s="263"/>
      <c r="D100" s="263"/>
      <c r="E100" s="263"/>
      <c r="F100" s="263"/>
      <c r="G100" s="263"/>
      <c r="H100" s="263"/>
      <c r="I100" s="263"/>
      <c r="J100" s="263"/>
      <c r="K100" s="263"/>
      <c r="L100" s="263"/>
      <c r="M100" s="263"/>
      <c r="N100" s="263"/>
      <c r="O100" s="263"/>
      <c r="P100" s="263"/>
    </row>
    <row r="101" spans="1:16" ht="15">
      <c r="A101" s="263"/>
      <c r="B101" s="263"/>
      <c r="C101" s="263"/>
      <c r="D101" s="263"/>
      <c r="E101" s="263"/>
      <c r="F101" s="263"/>
      <c r="G101" s="263"/>
      <c r="H101" s="263"/>
      <c r="I101" s="263"/>
      <c r="J101" s="263"/>
      <c r="K101" s="263"/>
      <c r="L101" s="263"/>
      <c r="M101" s="263"/>
      <c r="N101" s="263"/>
      <c r="O101" s="263"/>
      <c r="P101" s="263"/>
    </row>
    <row r="102" spans="1:16" ht="15">
      <c r="A102" s="263"/>
      <c r="B102" s="263"/>
      <c r="C102" s="263"/>
      <c r="D102" s="263"/>
      <c r="E102" s="263"/>
      <c r="F102" s="263"/>
      <c r="G102" s="263"/>
      <c r="H102" s="263"/>
      <c r="I102" s="263"/>
      <c r="J102" s="263"/>
      <c r="K102" s="263"/>
      <c r="L102" s="263"/>
      <c r="M102" s="263"/>
      <c r="N102" s="263"/>
      <c r="O102" s="263"/>
      <c r="P102" s="263"/>
    </row>
    <row r="103" spans="1:16" ht="15">
      <c r="A103" s="263"/>
      <c r="B103" s="263"/>
      <c r="C103" s="263"/>
      <c r="D103" s="263"/>
      <c r="E103" s="263"/>
      <c r="F103" s="263"/>
      <c r="G103" s="263"/>
      <c r="H103" s="263"/>
      <c r="I103" s="263"/>
      <c r="J103" s="263"/>
      <c r="K103" s="263"/>
      <c r="L103" s="263"/>
      <c r="M103" s="263"/>
      <c r="N103" s="263"/>
      <c r="O103" s="263"/>
      <c r="P103" s="263"/>
    </row>
    <row r="104" spans="1:16" ht="15">
      <c r="A104" s="263"/>
      <c r="B104" s="263"/>
      <c r="C104" s="263"/>
      <c r="D104" s="263"/>
      <c r="E104" s="263"/>
      <c r="F104" s="263"/>
      <c r="G104" s="263"/>
      <c r="H104" s="263"/>
      <c r="I104" s="263"/>
      <c r="J104" s="263"/>
      <c r="K104" s="263"/>
      <c r="L104" s="263"/>
      <c r="M104" s="263"/>
      <c r="N104" s="263"/>
      <c r="O104" s="263"/>
      <c r="P104" s="263"/>
    </row>
    <row r="105" spans="1:16" ht="15">
      <c r="A105" s="263"/>
      <c r="B105" s="263"/>
      <c r="C105" s="263"/>
      <c r="D105" s="263"/>
      <c r="E105" s="263"/>
      <c r="F105" s="263"/>
      <c r="G105" s="263"/>
      <c r="H105" s="263"/>
      <c r="I105" s="263"/>
      <c r="J105" s="263"/>
      <c r="K105" s="263"/>
      <c r="L105" s="263"/>
      <c r="M105" s="263"/>
      <c r="N105" s="263"/>
      <c r="O105" s="263"/>
      <c r="P105" s="263"/>
    </row>
    <row r="106" spans="1:16" ht="15">
      <c r="A106" s="263"/>
      <c r="B106" s="263"/>
      <c r="C106" s="263"/>
      <c r="D106" s="263"/>
      <c r="E106" s="263"/>
      <c r="F106" s="263"/>
      <c r="G106" s="263"/>
      <c r="H106" s="263"/>
      <c r="I106" s="263"/>
      <c r="J106" s="263"/>
      <c r="K106" s="263"/>
      <c r="L106" s="263"/>
      <c r="M106" s="263"/>
      <c r="N106" s="263"/>
      <c r="O106" s="263"/>
      <c r="P106" s="263"/>
    </row>
    <row r="107" spans="1:16" ht="15">
      <c r="A107" s="263"/>
      <c r="B107" s="263"/>
      <c r="C107" s="263"/>
      <c r="D107" s="263"/>
      <c r="E107" s="263"/>
      <c r="F107" s="263"/>
      <c r="G107" s="263"/>
      <c r="H107" s="263"/>
      <c r="I107" s="263"/>
      <c r="J107" s="263"/>
      <c r="K107" s="263"/>
      <c r="L107" s="263"/>
      <c r="M107" s="263"/>
      <c r="N107" s="263"/>
      <c r="O107" s="263"/>
      <c r="P107" s="263"/>
    </row>
    <row r="108" spans="1:16" ht="15">
      <c r="A108" s="263"/>
      <c r="B108" s="263"/>
      <c r="C108" s="263"/>
      <c r="D108" s="263"/>
      <c r="E108" s="263"/>
      <c r="F108" s="263"/>
      <c r="G108" s="263"/>
      <c r="H108" s="263"/>
      <c r="I108" s="263"/>
      <c r="J108" s="263"/>
      <c r="K108" s="263"/>
      <c r="L108" s="263"/>
      <c r="M108" s="263"/>
      <c r="N108" s="263"/>
      <c r="O108" s="263"/>
      <c r="P108" s="263"/>
    </row>
    <row r="109" spans="1:16" ht="15">
      <c r="A109" s="263"/>
      <c r="B109" s="263"/>
      <c r="C109" s="263"/>
      <c r="D109" s="263"/>
      <c r="E109" s="263"/>
      <c r="F109" s="263"/>
      <c r="G109" s="263"/>
      <c r="H109" s="263"/>
      <c r="I109" s="263"/>
      <c r="J109" s="263"/>
      <c r="K109" s="263"/>
      <c r="L109" s="263"/>
      <c r="M109" s="263"/>
      <c r="N109" s="263"/>
      <c r="O109" s="263"/>
      <c r="P109" s="263"/>
    </row>
    <row r="110" spans="1:16" ht="15">
      <c r="A110" s="263"/>
      <c r="B110" s="263"/>
      <c r="C110" s="263"/>
      <c r="D110" s="263"/>
      <c r="E110" s="263"/>
      <c r="F110" s="263"/>
      <c r="G110" s="263"/>
      <c r="H110" s="263"/>
      <c r="I110" s="263"/>
      <c r="J110" s="263"/>
      <c r="K110" s="263"/>
      <c r="L110" s="263"/>
      <c r="M110" s="263"/>
      <c r="N110" s="263"/>
      <c r="O110" s="263"/>
      <c r="P110" s="263"/>
    </row>
    <row r="111" spans="1:16" ht="15">
      <c r="A111" s="263"/>
      <c r="B111" s="263"/>
      <c r="C111" s="263"/>
      <c r="D111" s="263"/>
      <c r="E111" s="263"/>
      <c r="F111" s="263"/>
      <c r="G111" s="263"/>
      <c r="H111" s="263"/>
      <c r="I111" s="263"/>
      <c r="J111" s="263"/>
      <c r="K111" s="263"/>
      <c r="L111" s="263"/>
      <c r="M111" s="263"/>
      <c r="N111" s="263"/>
      <c r="O111" s="263"/>
      <c r="P111" s="263"/>
    </row>
    <row r="112" spans="1:16" ht="15">
      <c r="A112" s="263"/>
      <c r="B112" s="263"/>
      <c r="C112" s="263"/>
      <c r="D112" s="263"/>
      <c r="E112" s="263"/>
      <c r="F112" s="263"/>
      <c r="G112" s="263"/>
      <c r="H112" s="263"/>
      <c r="I112" s="263"/>
      <c r="J112" s="263"/>
      <c r="K112" s="263"/>
      <c r="L112" s="263"/>
      <c r="M112" s="263"/>
      <c r="N112" s="263"/>
      <c r="O112" s="263"/>
      <c r="P112" s="263"/>
    </row>
    <row r="113" spans="1:16" ht="15">
      <c r="A113" s="263"/>
      <c r="B113" s="263"/>
      <c r="C113" s="263"/>
      <c r="D113" s="263"/>
      <c r="E113" s="263"/>
      <c r="F113" s="263"/>
      <c r="G113" s="263"/>
      <c r="H113" s="263"/>
      <c r="I113" s="263"/>
      <c r="J113" s="263"/>
      <c r="K113" s="263"/>
      <c r="L113" s="263"/>
      <c r="M113" s="263"/>
      <c r="N113" s="263"/>
      <c r="O113" s="263"/>
      <c r="P113" s="263"/>
    </row>
    <row r="114" spans="1:16" ht="15">
      <c r="A114" s="263"/>
      <c r="B114" s="263"/>
      <c r="C114" s="263"/>
      <c r="D114" s="263"/>
      <c r="E114" s="263"/>
      <c r="F114" s="263"/>
      <c r="G114" s="263"/>
      <c r="H114" s="263"/>
      <c r="I114" s="263"/>
      <c r="J114" s="263"/>
      <c r="K114" s="263"/>
      <c r="L114" s="263"/>
      <c r="M114" s="263"/>
      <c r="N114" s="263"/>
      <c r="O114" s="263"/>
      <c r="P114" s="263"/>
    </row>
  </sheetData>
  <sheetProtection algorithmName="SHA-512" hashValue="8pGAG2W3AqA955x8QgsFooJX2pjemLfq2qc4bxPw8eocUBg0DZaEJs+vJSB7LE4q1gOKty+9cniQKBhOjyxlLg==" saltValue="9M4nNNW/4NmiVQR5HHdZUg==" spinCount="100000" sheet="1" scenarios="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C2:F2"/>
    <mergeCell ref="G2:J2"/>
    <mergeCell ref="K2:N2"/>
    <mergeCell ref="O2:R2"/>
    <mergeCell ref="S2:V2"/>
    <mergeCell ref="AI1:AL1"/>
    <mergeCell ref="AI2:AL2"/>
    <mergeCell ref="AM1:AP1"/>
    <mergeCell ref="AM2:AP2"/>
    <mergeCell ref="W1:Z1"/>
    <mergeCell ref="AA1:AD1"/>
    <mergeCell ref="AA2:AD2"/>
    <mergeCell ref="AE1:AH1"/>
    <mergeCell ref="AE2:AH2"/>
    <mergeCell ref="W2:Z2"/>
  </mergeCells>
  <phoneticPr fontId="0" type="noConversion"/>
  <printOptions horizontalCentered="1" verticalCentered="1" gridLines="1"/>
  <pageMargins left="0.5" right="0.5" top="1" bottom="0.5" header="0" footer="0"/>
  <pageSetup scale="71" orientation="portrait" r:id="rId2"/>
  <headerFooter alignWithMargins="0">
    <oddHeader xml:space="preserve">&amp;C&amp;"Arial,Bold"&amp;14TOWN OF BROADUS
COMBINING STATEMENT OF REVENUES, EXPENDITURES, AND CHANGES IN FUND BALANCES
BUDGET AND ACTUAL
NONMAJOR DEBT SERVICE FUNDS
FISCAL YEAR ENDED JUNE 30, 2017
</oddHeader>
  </headerFooter>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4"/>
  <sheetViews>
    <sheetView zoomScaleNormal="100" workbookViewId="0">
      <pane xSplit="2" ySplit="5" topLeftCell="C6" activePane="bottomRight" state="frozen"/>
      <selection pane="topRight" activeCell="C1" sqref="C1"/>
      <selection pane="bottomLeft" activeCell="A6" sqref="A6"/>
      <selection pane="bottomRight" activeCell="D1" sqref="D1:M1048576"/>
    </sheetView>
  </sheetViews>
  <sheetFormatPr defaultColWidth="8.85546875" defaultRowHeight="12.75"/>
  <cols>
    <col min="1" max="1" width="13.7109375" style="261" customWidth="1"/>
    <col min="2" max="2" width="45.7109375" style="261" customWidth="1"/>
    <col min="3" max="3" width="18.7109375" style="261" customWidth="1"/>
    <col min="4" max="10" width="18.7109375" style="261" hidden="1" customWidth="1"/>
    <col min="11" max="11" width="20.85546875" style="261" hidden="1" customWidth="1"/>
    <col min="12" max="13" width="18.7109375" style="261" hidden="1" customWidth="1"/>
    <col min="14" max="14" width="18.7109375" style="261" customWidth="1"/>
    <col min="15" max="16384" width="8.85546875" style="261"/>
  </cols>
  <sheetData>
    <row r="1" spans="1:19" ht="15.75">
      <c r="A1" s="282"/>
      <c r="B1" s="282"/>
      <c r="C1" s="266" t="s">
        <v>3693</v>
      </c>
      <c r="D1" s="266" t="s">
        <v>1016</v>
      </c>
      <c r="E1" s="266" t="s">
        <v>1016</v>
      </c>
      <c r="F1" s="266" t="s">
        <v>1016</v>
      </c>
      <c r="G1" s="266" t="s">
        <v>1016</v>
      </c>
      <c r="H1" s="266" t="s">
        <v>1016</v>
      </c>
      <c r="I1" s="266" t="s">
        <v>1016</v>
      </c>
      <c r="J1" s="266" t="s">
        <v>1016</v>
      </c>
      <c r="K1" s="266" t="s">
        <v>1016</v>
      </c>
      <c r="L1" s="266" t="s">
        <v>1016</v>
      </c>
      <c r="M1" s="266" t="s">
        <v>1016</v>
      </c>
      <c r="N1" s="430" t="s">
        <v>1031</v>
      </c>
      <c r="O1" s="266"/>
      <c r="P1" s="263"/>
      <c r="Q1" s="263"/>
      <c r="R1" s="263"/>
      <c r="S1" s="263"/>
    </row>
    <row r="2" spans="1:19" ht="15.75">
      <c r="A2" s="263"/>
      <c r="B2" s="263"/>
      <c r="C2" s="1736" t="s">
        <v>3694</v>
      </c>
      <c r="D2" s="1736" t="s">
        <v>1017</v>
      </c>
      <c r="E2" s="1736" t="s">
        <v>1017</v>
      </c>
      <c r="F2" s="1736" t="s">
        <v>1017</v>
      </c>
      <c r="G2" s="1736" t="s">
        <v>1017</v>
      </c>
      <c r="H2" s="1736" t="s">
        <v>1017</v>
      </c>
      <c r="I2" s="1736" t="s">
        <v>1017</v>
      </c>
      <c r="J2" s="1736" t="s">
        <v>1017</v>
      </c>
      <c r="K2" s="1736" t="s">
        <v>1017</v>
      </c>
      <c r="L2" s="1736" t="s">
        <v>1017</v>
      </c>
      <c r="M2" s="1736" t="s">
        <v>1017</v>
      </c>
      <c r="N2" s="430" t="s">
        <v>1037</v>
      </c>
      <c r="O2" s="266"/>
      <c r="P2" s="263"/>
      <c r="Q2" s="263"/>
      <c r="R2" s="263"/>
      <c r="S2" s="263"/>
    </row>
    <row r="3" spans="1:19" ht="15.75">
      <c r="A3" s="266" t="s">
        <v>1013</v>
      </c>
      <c r="B3" s="266"/>
      <c r="C3" s="1736"/>
      <c r="D3" s="1736"/>
      <c r="E3" s="1736"/>
      <c r="F3" s="1736"/>
      <c r="G3" s="1736"/>
      <c r="H3" s="1736"/>
      <c r="I3" s="1736"/>
      <c r="J3" s="1736"/>
      <c r="K3" s="1736"/>
      <c r="L3" s="1736"/>
      <c r="M3" s="1736"/>
      <c r="N3" s="430" t="s">
        <v>1038</v>
      </c>
      <c r="O3" s="263"/>
      <c r="P3" s="263"/>
      <c r="Q3" s="263"/>
      <c r="R3" s="263"/>
      <c r="S3" s="263"/>
    </row>
    <row r="4" spans="1:19" ht="16.5" thickBot="1">
      <c r="A4" s="267" t="s">
        <v>1014</v>
      </c>
      <c r="B4" s="267" t="s">
        <v>1015</v>
      </c>
      <c r="C4" s="1737"/>
      <c r="D4" s="1737"/>
      <c r="E4" s="1737"/>
      <c r="F4" s="1737"/>
      <c r="G4" s="1737"/>
      <c r="H4" s="1737"/>
      <c r="I4" s="1737"/>
      <c r="J4" s="1737"/>
      <c r="K4" s="1737"/>
      <c r="L4" s="1737"/>
      <c r="M4" s="1737"/>
      <c r="N4" s="676" t="s">
        <v>1032</v>
      </c>
      <c r="O4" s="263"/>
      <c r="P4" s="263"/>
      <c r="Q4" s="263"/>
      <c r="R4" s="263"/>
      <c r="S4" s="263"/>
    </row>
    <row r="5" spans="1:19" s="308" customFormat="1" ht="17.100000000000001" customHeight="1">
      <c r="A5" s="428"/>
      <c r="B5" s="677" t="s">
        <v>1060</v>
      </c>
      <c r="C5" s="432"/>
      <c r="D5" s="432"/>
      <c r="E5" s="432"/>
      <c r="F5" s="432"/>
      <c r="G5" s="432"/>
      <c r="H5" s="432"/>
      <c r="I5" s="432"/>
      <c r="J5" s="432"/>
      <c r="K5" s="432"/>
      <c r="L5" s="432"/>
      <c r="M5" s="432"/>
      <c r="N5" s="432"/>
      <c r="O5" s="411"/>
      <c r="P5" s="411"/>
      <c r="Q5" s="411"/>
      <c r="R5" s="411"/>
      <c r="S5" s="411"/>
    </row>
    <row r="6" spans="1:19" ht="17.100000000000001" customHeight="1">
      <c r="A6" s="300">
        <v>101000</v>
      </c>
      <c r="B6" s="263" t="s">
        <v>1061</v>
      </c>
      <c r="C6" s="269">
        <v>8995.02</v>
      </c>
      <c r="D6" s="269"/>
      <c r="E6" s="269"/>
      <c r="F6" s="269"/>
      <c r="G6" s="269"/>
      <c r="H6" s="269"/>
      <c r="I6" s="269"/>
      <c r="J6" s="269"/>
      <c r="K6" s="269"/>
      <c r="L6" s="269"/>
      <c r="M6" s="269"/>
      <c r="N6" s="277">
        <f t="shared" ref="N6:N11" si="0">SUM(C6:M6)</f>
        <v>8995.02</v>
      </c>
      <c r="O6" s="263"/>
      <c r="P6" s="263"/>
      <c r="Q6" s="263"/>
      <c r="R6" s="263"/>
      <c r="S6" s="263"/>
    </row>
    <row r="7" spans="1:19" ht="17.100000000000001" customHeight="1">
      <c r="A7" s="300">
        <v>103000</v>
      </c>
      <c r="B7" s="263" t="s">
        <v>1205</v>
      </c>
      <c r="C7" s="269"/>
      <c r="D7" s="269"/>
      <c r="E7" s="269"/>
      <c r="F7" s="269"/>
      <c r="G7" s="269"/>
      <c r="H7" s="269"/>
      <c r="I7" s="269"/>
      <c r="J7" s="269"/>
      <c r="K7" s="269"/>
      <c r="L7" s="269"/>
      <c r="M7" s="269"/>
      <c r="N7" s="277">
        <f t="shared" si="0"/>
        <v>0</v>
      </c>
      <c r="O7" s="263"/>
      <c r="P7" s="263"/>
      <c r="Q7" s="263"/>
      <c r="R7" s="263"/>
      <c r="S7" s="263"/>
    </row>
    <row r="8" spans="1:19" ht="17.100000000000001" customHeight="1">
      <c r="A8" s="300">
        <v>101100</v>
      </c>
      <c r="B8" s="263" t="s">
        <v>1062</v>
      </c>
      <c r="C8" s="269"/>
      <c r="D8" s="269"/>
      <c r="E8" s="269"/>
      <c r="F8" s="269"/>
      <c r="G8" s="269"/>
      <c r="H8" s="269"/>
      <c r="I8" s="269"/>
      <c r="J8" s="269"/>
      <c r="K8" s="269"/>
      <c r="L8" s="269"/>
      <c r="M8" s="269"/>
      <c r="N8" s="277">
        <f t="shared" si="0"/>
        <v>0</v>
      </c>
      <c r="O8" s="263"/>
      <c r="P8" s="263"/>
      <c r="Q8" s="263"/>
      <c r="R8" s="263"/>
      <c r="S8" s="263"/>
    </row>
    <row r="9" spans="1:19" ht="17.100000000000001" customHeight="1">
      <c r="A9" s="300">
        <v>102000</v>
      </c>
      <c r="B9" s="263" t="s">
        <v>1018</v>
      </c>
      <c r="C9" s="269"/>
      <c r="D9" s="269"/>
      <c r="E9" s="269"/>
      <c r="F9" s="269"/>
      <c r="G9" s="269"/>
      <c r="H9" s="269"/>
      <c r="I9" s="269"/>
      <c r="J9" s="269"/>
      <c r="K9" s="269"/>
      <c r="L9" s="269"/>
      <c r="M9" s="269"/>
      <c r="N9" s="277">
        <f t="shared" si="0"/>
        <v>0</v>
      </c>
      <c r="O9" s="263"/>
      <c r="P9" s="263"/>
      <c r="Q9" s="263"/>
      <c r="R9" s="263"/>
      <c r="S9" s="263"/>
    </row>
    <row r="10" spans="1:19" ht="17.100000000000001" customHeight="1">
      <c r="A10" s="300">
        <v>102300</v>
      </c>
      <c r="B10" s="263" t="s">
        <v>1019</v>
      </c>
      <c r="C10" s="269"/>
      <c r="D10" s="269"/>
      <c r="E10" s="269"/>
      <c r="F10" s="269"/>
      <c r="G10" s="269"/>
      <c r="H10" s="269"/>
      <c r="I10" s="269"/>
      <c r="J10" s="269"/>
      <c r="K10" s="269"/>
      <c r="L10" s="269"/>
      <c r="M10" s="269"/>
      <c r="N10" s="277">
        <f t="shared" si="0"/>
        <v>0</v>
      </c>
      <c r="O10" s="263"/>
      <c r="P10" s="263"/>
      <c r="Q10" s="263"/>
      <c r="R10" s="263"/>
      <c r="S10" s="263"/>
    </row>
    <row r="11" spans="1:19" ht="17.100000000000001" customHeight="1">
      <c r="A11" s="300">
        <v>106000</v>
      </c>
      <c r="B11" s="263" t="s">
        <v>1020</v>
      </c>
      <c r="C11" s="269"/>
      <c r="D11" s="269"/>
      <c r="E11" s="269"/>
      <c r="F11" s="269"/>
      <c r="G11" s="269"/>
      <c r="H11" s="269"/>
      <c r="I11" s="269"/>
      <c r="J11" s="269"/>
      <c r="K11" s="269"/>
      <c r="L11" s="269"/>
      <c r="M11" s="269"/>
      <c r="N11" s="277">
        <f t="shared" si="0"/>
        <v>0</v>
      </c>
      <c r="O11" s="263"/>
      <c r="P11" s="263"/>
      <c r="Q11" s="263"/>
      <c r="R11" s="263"/>
      <c r="S11" s="263"/>
    </row>
    <row r="12" spans="1:19" s="308" customFormat="1" ht="17.100000000000001" customHeight="1">
      <c r="A12" s="428"/>
      <c r="B12" s="411" t="s">
        <v>1021</v>
      </c>
      <c r="C12" s="277"/>
      <c r="D12" s="277"/>
      <c r="E12" s="277"/>
      <c r="F12" s="277"/>
      <c r="G12" s="277"/>
      <c r="H12" s="277"/>
      <c r="I12" s="277"/>
      <c r="J12" s="277"/>
      <c r="K12" s="277"/>
      <c r="L12" s="277"/>
      <c r="M12" s="277"/>
      <c r="N12" s="277"/>
      <c r="O12" s="411"/>
      <c r="P12" s="411"/>
      <c r="Q12" s="411"/>
      <c r="R12" s="411"/>
      <c r="S12" s="411"/>
    </row>
    <row r="13" spans="1:19" ht="17.100000000000001" customHeight="1">
      <c r="A13" s="300">
        <v>111000</v>
      </c>
      <c r="B13" s="263" t="s">
        <v>1022</v>
      </c>
      <c r="C13" s="269"/>
      <c r="D13" s="269"/>
      <c r="E13" s="269"/>
      <c r="F13" s="269"/>
      <c r="G13" s="269"/>
      <c r="H13" s="269"/>
      <c r="I13" s="269"/>
      <c r="J13" s="269"/>
      <c r="K13" s="269"/>
      <c r="L13" s="269"/>
      <c r="M13" s="269"/>
      <c r="N13" s="277">
        <f t="shared" ref="N13:N25" si="1">SUM(C13:M13)</f>
        <v>0</v>
      </c>
      <c r="O13" s="263"/>
      <c r="P13" s="263"/>
      <c r="Q13" s="263"/>
      <c r="R13" s="263"/>
      <c r="S13" s="263"/>
    </row>
    <row r="14" spans="1:19" ht="17.100000000000001" customHeight="1">
      <c r="A14" s="300">
        <v>113000</v>
      </c>
      <c r="B14" s="263" t="s">
        <v>1023</v>
      </c>
      <c r="C14" s="269"/>
      <c r="D14" s="269"/>
      <c r="E14" s="269"/>
      <c r="F14" s="269"/>
      <c r="G14" s="269"/>
      <c r="H14" s="269"/>
      <c r="I14" s="269"/>
      <c r="J14" s="269"/>
      <c r="K14" s="269"/>
      <c r="L14" s="269"/>
      <c r="M14" s="269"/>
      <c r="N14" s="277">
        <f t="shared" si="1"/>
        <v>0</v>
      </c>
      <c r="O14" s="263"/>
      <c r="P14" s="263"/>
      <c r="Q14" s="263"/>
      <c r="R14" s="263"/>
      <c r="S14" s="263"/>
    </row>
    <row r="15" spans="1:19" ht="17.100000000000001" customHeight="1">
      <c r="A15" s="300">
        <v>114000</v>
      </c>
      <c r="B15" s="263" t="s">
        <v>1024</v>
      </c>
      <c r="C15" s="269"/>
      <c r="D15" s="269"/>
      <c r="E15" s="269"/>
      <c r="F15" s="269"/>
      <c r="G15" s="269"/>
      <c r="H15" s="269"/>
      <c r="I15" s="269"/>
      <c r="J15" s="269"/>
      <c r="K15" s="269"/>
      <c r="L15" s="269"/>
      <c r="M15" s="269"/>
      <c r="N15" s="277">
        <f t="shared" si="1"/>
        <v>0</v>
      </c>
      <c r="O15" s="263"/>
      <c r="P15" s="263"/>
      <c r="Q15" s="263"/>
      <c r="R15" s="263"/>
      <c r="S15" s="263"/>
    </row>
    <row r="16" spans="1:19" ht="17.100000000000001" customHeight="1">
      <c r="A16" s="300">
        <v>115000</v>
      </c>
      <c r="B16" s="263" t="s">
        <v>1025</v>
      </c>
      <c r="C16" s="269"/>
      <c r="D16" s="269"/>
      <c r="E16" s="269"/>
      <c r="F16" s="269"/>
      <c r="G16" s="269"/>
      <c r="H16" s="269"/>
      <c r="I16" s="269"/>
      <c r="J16" s="269"/>
      <c r="K16" s="269"/>
      <c r="L16" s="269"/>
      <c r="M16" s="269"/>
      <c r="N16" s="277">
        <f t="shared" si="1"/>
        <v>0</v>
      </c>
      <c r="O16" s="263"/>
      <c r="P16" s="263"/>
      <c r="Q16" s="263"/>
      <c r="R16" s="263"/>
      <c r="S16" s="263"/>
    </row>
    <row r="17" spans="1:19" ht="17.100000000000001" customHeight="1">
      <c r="A17" s="300">
        <v>116000</v>
      </c>
      <c r="B17" s="263" t="s">
        <v>1026</v>
      </c>
      <c r="C17" s="269"/>
      <c r="D17" s="269"/>
      <c r="E17" s="269"/>
      <c r="F17" s="269"/>
      <c r="G17" s="269"/>
      <c r="H17" s="269"/>
      <c r="I17" s="269"/>
      <c r="J17" s="269"/>
      <c r="K17" s="269"/>
      <c r="L17" s="269"/>
      <c r="M17" s="269"/>
      <c r="N17" s="277">
        <f t="shared" si="1"/>
        <v>0</v>
      </c>
      <c r="O17" s="263"/>
      <c r="P17" s="263"/>
      <c r="Q17" s="263"/>
      <c r="R17" s="263"/>
      <c r="S17" s="263"/>
    </row>
    <row r="18" spans="1:19" ht="17.100000000000001" customHeight="1">
      <c r="A18" s="300">
        <v>118000</v>
      </c>
      <c r="B18" s="263" t="s">
        <v>825</v>
      </c>
      <c r="C18" s="269"/>
      <c r="D18" s="269"/>
      <c r="E18" s="269"/>
      <c r="F18" s="269"/>
      <c r="G18" s="269"/>
      <c r="H18" s="269"/>
      <c r="I18" s="269"/>
      <c r="J18" s="269"/>
      <c r="K18" s="269"/>
      <c r="L18" s="269"/>
      <c r="M18" s="269"/>
      <c r="N18" s="277">
        <f t="shared" si="1"/>
        <v>0</v>
      </c>
      <c r="O18" s="263"/>
      <c r="P18" s="263"/>
      <c r="Q18" s="263"/>
      <c r="R18" s="263"/>
      <c r="S18" s="263"/>
    </row>
    <row r="19" spans="1:19" ht="30" customHeight="1">
      <c r="A19" s="300">
        <v>120000</v>
      </c>
      <c r="B19" s="270" t="s">
        <v>666</v>
      </c>
      <c r="C19" s="269"/>
      <c r="D19" s="269"/>
      <c r="E19" s="269"/>
      <c r="F19" s="269"/>
      <c r="G19" s="269"/>
      <c r="H19" s="269"/>
      <c r="I19" s="269"/>
      <c r="J19" s="269"/>
      <c r="K19" s="269"/>
      <c r="L19" s="269"/>
      <c r="M19" s="269"/>
      <c r="N19" s="277">
        <f t="shared" si="1"/>
        <v>0</v>
      </c>
      <c r="O19" s="263"/>
      <c r="P19" s="263"/>
      <c r="Q19" s="263"/>
      <c r="R19" s="263"/>
      <c r="S19" s="263"/>
    </row>
    <row r="20" spans="1:19" ht="17.100000000000001" customHeight="1">
      <c r="A20" s="300">
        <v>131000</v>
      </c>
      <c r="B20" s="263" t="s">
        <v>249</v>
      </c>
      <c r="C20" s="269"/>
      <c r="D20" s="269"/>
      <c r="E20" s="269"/>
      <c r="F20" s="269"/>
      <c r="G20" s="269"/>
      <c r="H20" s="269"/>
      <c r="I20" s="269"/>
      <c r="J20" s="269"/>
      <c r="K20" s="269"/>
      <c r="L20" s="269"/>
      <c r="M20" s="269"/>
      <c r="N20" s="277">
        <f t="shared" si="1"/>
        <v>0</v>
      </c>
      <c r="O20" s="263"/>
      <c r="P20" s="263"/>
      <c r="Q20" s="263"/>
      <c r="R20" s="263"/>
      <c r="S20" s="263"/>
    </row>
    <row r="21" spans="1:19" ht="17.100000000000001" customHeight="1">
      <c r="A21" s="300">
        <v>132000</v>
      </c>
      <c r="B21" s="263" t="s">
        <v>250</v>
      </c>
      <c r="C21" s="269"/>
      <c r="D21" s="269"/>
      <c r="E21" s="269"/>
      <c r="F21" s="269"/>
      <c r="G21" s="269"/>
      <c r="H21" s="269"/>
      <c r="I21" s="269"/>
      <c r="J21" s="269"/>
      <c r="K21" s="269"/>
      <c r="L21" s="269"/>
      <c r="M21" s="269"/>
      <c r="N21" s="277">
        <f t="shared" si="1"/>
        <v>0</v>
      </c>
      <c r="O21" s="263"/>
      <c r="P21" s="263"/>
      <c r="Q21" s="263"/>
      <c r="R21" s="263"/>
      <c r="S21" s="263"/>
    </row>
    <row r="22" spans="1:19" ht="17.100000000000001" customHeight="1">
      <c r="A22" s="300">
        <v>133000</v>
      </c>
      <c r="B22" s="263" t="s">
        <v>1209</v>
      </c>
      <c r="C22" s="269"/>
      <c r="D22" s="269"/>
      <c r="E22" s="269"/>
      <c r="F22" s="269"/>
      <c r="G22" s="269"/>
      <c r="H22" s="269"/>
      <c r="I22" s="269"/>
      <c r="J22" s="269"/>
      <c r="K22" s="269"/>
      <c r="L22" s="269"/>
      <c r="M22" s="269"/>
      <c r="N22" s="277">
        <f t="shared" si="1"/>
        <v>0</v>
      </c>
      <c r="O22" s="263"/>
      <c r="P22" s="263"/>
      <c r="Q22" s="263"/>
      <c r="R22" s="263"/>
      <c r="S22" s="263"/>
    </row>
    <row r="23" spans="1:19" ht="17.100000000000001" customHeight="1">
      <c r="A23" s="300">
        <v>140000</v>
      </c>
      <c r="B23" s="263" t="s">
        <v>202</v>
      </c>
      <c r="C23" s="269"/>
      <c r="D23" s="269"/>
      <c r="E23" s="269"/>
      <c r="F23" s="269"/>
      <c r="G23" s="269"/>
      <c r="H23" s="269"/>
      <c r="I23" s="269"/>
      <c r="J23" s="269"/>
      <c r="K23" s="269"/>
      <c r="L23" s="269"/>
      <c r="M23" s="269"/>
      <c r="N23" s="277">
        <f t="shared" si="1"/>
        <v>0</v>
      </c>
      <c r="O23" s="263"/>
      <c r="P23" s="263"/>
      <c r="Q23" s="263"/>
      <c r="R23" s="263"/>
      <c r="S23" s="263"/>
    </row>
    <row r="24" spans="1:19" ht="17.100000000000001" customHeight="1">
      <c r="A24" s="300">
        <v>150000</v>
      </c>
      <c r="B24" s="263" t="s">
        <v>1065</v>
      </c>
      <c r="C24" s="269"/>
      <c r="D24" s="269"/>
      <c r="E24" s="269"/>
      <c r="F24" s="269"/>
      <c r="G24" s="269"/>
      <c r="H24" s="269"/>
      <c r="I24" s="269"/>
      <c r="J24" s="269"/>
      <c r="K24" s="269"/>
      <c r="L24" s="269"/>
      <c r="M24" s="269"/>
      <c r="N24" s="277">
        <f t="shared" si="1"/>
        <v>0</v>
      </c>
      <c r="O24" s="263"/>
      <c r="P24" s="263"/>
      <c r="Q24" s="263"/>
      <c r="R24" s="263"/>
      <c r="S24" s="263"/>
    </row>
    <row r="25" spans="1:19" ht="17.100000000000001" customHeight="1" thickBot="1">
      <c r="A25" s="300">
        <v>170000</v>
      </c>
      <c r="B25" s="263" t="s">
        <v>180</v>
      </c>
      <c r="C25" s="271"/>
      <c r="D25" s="271"/>
      <c r="E25" s="271"/>
      <c r="F25" s="271"/>
      <c r="G25" s="271"/>
      <c r="H25" s="271"/>
      <c r="I25" s="271"/>
      <c r="J25" s="271"/>
      <c r="K25" s="271"/>
      <c r="L25" s="271"/>
      <c r="M25" s="271"/>
      <c r="N25" s="278">
        <f t="shared" si="1"/>
        <v>0</v>
      </c>
      <c r="O25" s="263"/>
      <c r="P25" s="263"/>
      <c r="Q25" s="263"/>
      <c r="R25" s="263"/>
      <c r="S25" s="263"/>
    </row>
    <row r="26" spans="1:19" s="308" customFormat="1" ht="17.100000000000001" customHeight="1">
      <c r="A26" s="428"/>
      <c r="B26" s="430" t="s">
        <v>1027</v>
      </c>
      <c r="C26" s="277">
        <f>SUM(C6:C25)</f>
        <v>8995.02</v>
      </c>
      <c r="D26" s="277">
        <f t="shared" ref="D26:N26" si="2">SUM(D6:D25)</f>
        <v>0</v>
      </c>
      <c r="E26" s="277">
        <f t="shared" si="2"/>
        <v>0</v>
      </c>
      <c r="F26" s="277">
        <f t="shared" si="2"/>
        <v>0</v>
      </c>
      <c r="G26" s="277">
        <f t="shared" si="2"/>
        <v>0</v>
      </c>
      <c r="H26" s="277">
        <f t="shared" si="2"/>
        <v>0</v>
      </c>
      <c r="I26" s="277">
        <f t="shared" si="2"/>
        <v>0</v>
      </c>
      <c r="J26" s="277">
        <f t="shared" si="2"/>
        <v>0</v>
      </c>
      <c r="K26" s="277">
        <f t="shared" si="2"/>
        <v>0</v>
      </c>
      <c r="L26" s="277">
        <f t="shared" si="2"/>
        <v>0</v>
      </c>
      <c r="M26" s="277">
        <f t="shared" si="2"/>
        <v>0</v>
      </c>
      <c r="N26" s="277">
        <f t="shared" si="2"/>
        <v>8995.02</v>
      </c>
      <c r="O26" s="411"/>
      <c r="P26" s="411"/>
      <c r="Q26" s="411"/>
      <c r="R26" s="411"/>
      <c r="S26" s="411"/>
    </row>
    <row r="27" spans="1:19" s="308" customFormat="1" ht="9.75" customHeight="1">
      <c r="A27" s="428"/>
      <c r="B27" s="430"/>
      <c r="C27" s="277"/>
      <c r="D27" s="277"/>
      <c r="E27" s="277"/>
      <c r="F27" s="277"/>
      <c r="G27" s="277"/>
      <c r="H27" s="277"/>
      <c r="I27" s="277"/>
      <c r="J27" s="277"/>
      <c r="K27" s="277"/>
      <c r="L27" s="277"/>
      <c r="M27" s="277"/>
      <c r="N27" s="277"/>
      <c r="O27" s="411"/>
      <c r="P27" s="411"/>
      <c r="Q27" s="411"/>
      <c r="R27" s="411"/>
      <c r="S27" s="411"/>
    </row>
    <row r="28" spans="1:19" s="308" customFormat="1" ht="17.100000000000001" customHeight="1">
      <c r="A28" s="429"/>
      <c r="B28" s="677" t="s">
        <v>1903</v>
      </c>
      <c r="C28" s="277"/>
      <c r="D28" s="277"/>
      <c r="E28" s="277"/>
      <c r="F28" s="277"/>
      <c r="G28" s="277"/>
      <c r="H28" s="277"/>
      <c r="I28" s="277"/>
      <c r="J28" s="277"/>
      <c r="K28" s="277"/>
      <c r="L28" s="277"/>
      <c r="M28" s="277"/>
      <c r="N28" s="277"/>
      <c r="O28" s="411"/>
      <c r="P28" s="411"/>
      <c r="Q28" s="411"/>
      <c r="R28" s="411"/>
      <c r="S28" s="411"/>
    </row>
    <row r="29" spans="1:19" ht="17.100000000000001" customHeight="1">
      <c r="A29" s="300">
        <v>190000</v>
      </c>
      <c r="B29" s="263" t="s">
        <v>1904</v>
      </c>
      <c r="C29" s="269"/>
      <c r="D29" s="269"/>
      <c r="E29" s="269"/>
      <c r="F29" s="269"/>
      <c r="G29" s="269"/>
      <c r="H29" s="269"/>
      <c r="I29" s="269"/>
      <c r="J29" s="269"/>
      <c r="K29" s="269"/>
      <c r="L29" s="269"/>
      <c r="M29" s="269"/>
      <c r="N29" s="277">
        <f t="shared" ref="N29:N30" si="3">SUM(C29:M29)</f>
        <v>0</v>
      </c>
      <c r="O29" s="263"/>
      <c r="P29" s="263"/>
      <c r="Q29" s="263"/>
      <c r="R29" s="263"/>
      <c r="S29" s="263"/>
    </row>
    <row r="30" spans="1:19" ht="17.100000000000001" customHeight="1" thickBot="1">
      <c r="A30" s="300" t="s">
        <v>1957</v>
      </c>
      <c r="B30" s="263" t="s">
        <v>1914</v>
      </c>
      <c r="C30" s="271"/>
      <c r="D30" s="271"/>
      <c r="E30" s="271"/>
      <c r="F30" s="271"/>
      <c r="G30" s="271"/>
      <c r="H30" s="271"/>
      <c r="I30" s="271"/>
      <c r="J30" s="271"/>
      <c r="K30" s="271"/>
      <c r="L30" s="271"/>
      <c r="M30" s="271"/>
      <c r="N30" s="278">
        <f t="shared" si="3"/>
        <v>0</v>
      </c>
      <c r="O30" s="263"/>
      <c r="P30" s="263"/>
      <c r="Q30" s="263"/>
      <c r="R30" s="263"/>
      <c r="S30" s="263"/>
    </row>
    <row r="31" spans="1:19" s="308" customFormat="1" ht="17.100000000000001" customHeight="1">
      <c r="A31" s="429"/>
      <c r="B31" s="430" t="s">
        <v>1905</v>
      </c>
      <c r="C31" s="277">
        <f>SUM(C29:C30)</f>
        <v>0</v>
      </c>
      <c r="D31" s="277">
        <f t="shared" ref="D31:N31" si="4">SUM(D29:D30)</f>
        <v>0</v>
      </c>
      <c r="E31" s="277">
        <f t="shared" si="4"/>
        <v>0</v>
      </c>
      <c r="F31" s="277">
        <f t="shared" si="4"/>
        <v>0</v>
      </c>
      <c r="G31" s="277">
        <f t="shared" si="4"/>
        <v>0</v>
      </c>
      <c r="H31" s="277">
        <f t="shared" si="4"/>
        <v>0</v>
      </c>
      <c r="I31" s="277">
        <f t="shared" si="4"/>
        <v>0</v>
      </c>
      <c r="J31" s="277">
        <f t="shared" si="4"/>
        <v>0</v>
      </c>
      <c r="K31" s="277">
        <f t="shared" si="4"/>
        <v>0</v>
      </c>
      <c r="L31" s="277">
        <f t="shared" si="4"/>
        <v>0</v>
      </c>
      <c r="M31" s="277">
        <f t="shared" si="4"/>
        <v>0</v>
      </c>
      <c r="N31" s="277">
        <f t="shared" si="4"/>
        <v>0</v>
      </c>
      <c r="O31" s="411"/>
      <c r="P31" s="411"/>
      <c r="Q31" s="411"/>
      <c r="R31" s="411"/>
      <c r="S31" s="411"/>
    </row>
    <row r="32" spans="1:19" s="308" customFormat="1" ht="9.75" customHeight="1">
      <c r="A32" s="428"/>
      <c r="B32" s="411"/>
      <c r="C32" s="277"/>
      <c r="D32" s="277"/>
      <c r="E32" s="277"/>
      <c r="F32" s="277"/>
      <c r="G32" s="277"/>
      <c r="H32" s="277"/>
      <c r="I32" s="277"/>
      <c r="J32" s="277"/>
      <c r="K32" s="277"/>
      <c r="L32" s="277"/>
      <c r="M32" s="277"/>
      <c r="N32" s="277"/>
      <c r="O32" s="411"/>
      <c r="P32" s="411"/>
      <c r="Q32" s="411"/>
      <c r="R32" s="411"/>
      <c r="S32" s="411"/>
    </row>
    <row r="33" spans="1:19" s="308" customFormat="1" ht="17.100000000000001" customHeight="1">
      <c r="A33" s="428"/>
      <c r="B33" s="431" t="s">
        <v>1070</v>
      </c>
      <c r="C33" s="277"/>
      <c r="D33" s="277"/>
      <c r="E33" s="277"/>
      <c r="F33" s="277"/>
      <c r="G33" s="277"/>
      <c r="H33" s="277"/>
      <c r="I33" s="277"/>
      <c r="J33" s="277"/>
      <c r="K33" s="277"/>
      <c r="L33" s="277"/>
      <c r="M33" s="277"/>
      <c r="N33" s="277"/>
      <c r="O33" s="411"/>
      <c r="P33" s="411"/>
      <c r="Q33" s="411"/>
      <c r="R33" s="411"/>
      <c r="S33" s="411"/>
    </row>
    <row r="34" spans="1:19" ht="17.100000000000001" customHeight="1">
      <c r="A34" s="300">
        <v>201000</v>
      </c>
      <c r="B34" s="263" t="s">
        <v>728</v>
      </c>
      <c r="C34" s="269"/>
      <c r="D34" s="269"/>
      <c r="E34" s="269"/>
      <c r="F34" s="269"/>
      <c r="G34" s="269"/>
      <c r="H34" s="269"/>
      <c r="I34" s="269"/>
      <c r="J34" s="269"/>
      <c r="K34" s="269"/>
      <c r="L34" s="269"/>
      <c r="M34" s="269"/>
      <c r="N34" s="277">
        <f t="shared" ref="N34:N44" si="5">SUM(C34:M34)</f>
        <v>0</v>
      </c>
      <c r="O34" s="263"/>
      <c r="P34" s="263"/>
      <c r="Q34" s="263"/>
      <c r="R34" s="263"/>
      <c r="S34" s="263"/>
    </row>
    <row r="35" spans="1:19" ht="17.100000000000001" customHeight="1">
      <c r="A35" s="300">
        <v>202100</v>
      </c>
      <c r="B35" s="263" t="s">
        <v>205</v>
      </c>
      <c r="C35" s="269"/>
      <c r="D35" s="269"/>
      <c r="E35" s="269"/>
      <c r="F35" s="269"/>
      <c r="G35" s="269"/>
      <c r="H35" s="269"/>
      <c r="I35" s="269"/>
      <c r="J35" s="269"/>
      <c r="K35" s="269"/>
      <c r="L35" s="269"/>
      <c r="M35" s="269"/>
      <c r="N35" s="277">
        <f t="shared" si="5"/>
        <v>0</v>
      </c>
      <c r="O35" s="263"/>
      <c r="P35" s="263"/>
      <c r="Q35" s="263"/>
      <c r="R35" s="263"/>
      <c r="S35" s="263"/>
    </row>
    <row r="36" spans="1:19" ht="17.100000000000001" customHeight="1">
      <c r="A36" s="300">
        <v>203100</v>
      </c>
      <c r="B36" s="263" t="s">
        <v>288</v>
      </c>
      <c r="C36" s="269"/>
      <c r="D36" s="269"/>
      <c r="E36" s="269"/>
      <c r="F36" s="269"/>
      <c r="G36" s="269"/>
      <c r="H36" s="269"/>
      <c r="I36" s="269"/>
      <c r="J36" s="269"/>
      <c r="K36" s="269"/>
      <c r="L36" s="269"/>
      <c r="M36" s="269"/>
      <c r="N36" s="277">
        <f t="shared" si="5"/>
        <v>0</v>
      </c>
      <c r="O36" s="263"/>
      <c r="P36" s="263"/>
      <c r="Q36" s="263"/>
      <c r="R36" s="263"/>
      <c r="S36" s="263"/>
    </row>
    <row r="37" spans="1:19" ht="17.100000000000001" customHeight="1">
      <c r="A37" s="300">
        <v>204000</v>
      </c>
      <c r="B37" s="263" t="s">
        <v>814</v>
      </c>
      <c r="C37" s="269"/>
      <c r="D37" s="269"/>
      <c r="E37" s="269"/>
      <c r="F37" s="269"/>
      <c r="G37" s="269"/>
      <c r="H37" s="269"/>
      <c r="I37" s="269"/>
      <c r="J37" s="269"/>
      <c r="K37" s="269"/>
      <c r="L37" s="269"/>
      <c r="M37" s="269"/>
      <c r="N37" s="277">
        <f t="shared" si="5"/>
        <v>0</v>
      </c>
      <c r="O37" s="263"/>
      <c r="P37" s="263"/>
      <c r="Q37" s="263"/>
      <c r="R37" s="263"/>
      <c r="S37" s="263"/>
    </row>
    <row r="38" spans="1:19" ht="17.100000000000001" customHeight="1">
      <c r="A38" s="300">
        <v>205200</v>
      </c>
      <c r="B38" s="263" t="s">
        <v>287</v>
      </c>
      <c r="C38" s="269"/>
      <c r="D38" s="269"/>
      <c r="E38" s="269"/>
      <c r="F38" s="269"/>
      <c r="G38" s="269"/>
      <c r="H38" s="269"/>
      <c r="I38" s="269"/>
      <c r="J38" s="269"/>
      <c r="K38" s="269"/>
      <c r="L38" s="269"/>
      <c r="M38" s="269"/>
      <c r="N38" s="277">
        <f t="shared" si="5"/>
        <v>0</v>
      </c>
      <c r="O38" s="263"/>
      <c r="P38" s="263"/>
      <c r="Q38" s="263"/>
      <c r="R38" s="263"/>
      <c r="S38" s="263"/>
    </row>
    <row r="39" spans="1:19" ht="17.100000000000001" customHeight="1">
      <c r="A39" s="300">
        <v>206100</v>
      </c>
      <c r="B39" s="263" t="s">
        <v>1180</v>
      </c>
      <c r="C39" s="269"/>
      <c r="D39" s="269"/>
      <c r="E39" s="269"/>
      <c r="F39" s="269"/>
      <c r="G39" s="269"/>
      <c r="H39" s="269"/>
      <c r="I39" s="269"/>
      <c r="J39" s="269"/>
      <c r="K39" s="269"/>
      <c r="L39" s="269"/>
      <c r="M39" s="269"/>
      <c r="N39" s="277">
        <f t="shared" si="5"/>
        <v>0</v>
      </c>
      <c r="O39" s="263"/>
      <c r="P39" s="263"/>
      <c r="Q39" s="263"/>
      <c r="R39" s="263"/>
      <c r="S39" s="263"/>
    </row>
    <row r="40" spans="1:19" ht="17.100000000000001" customHeight="1">
      <c r="A40" s="300">
        <v>211000</v>
      </c>
      <c r="B40" s="263" t="s">
        <v>1182</v>
      </c>
      <c r="C40" s="269"/>
      <c r="D40" s="269"/>
      <c r="E40" s="269"/>
      <c r="F40" s="269"/>
      <c r="G40" s="269"/>
      <c r="H40" s="269"/>
      <c r="I40" s="269"/>
      <c r="J40" s="269"/>
      <c r="K40" s="269"/>
      <c r="L40" s="269"/>
      <c r="M40" s="269"/>
      <c r="N40" s="277">
        <f t="shared" si="5"/>
        <v>0</v>
      </c>
      <c r="O40" s="263"/>
      <c r="P40" s="263"/>
      <c r="Q40" s="263"/>
      <c r="R40" s="263"/>
      <c r="S40" s="263"/>
    </row>
    <row r="41" spans="1:19" ht="17.100000000000001" customHeight="1">
      <c r="A41" s="300">
        <v>212000</v>
      </c>
      <c r="B41" s="263" t="s">
        <v>475</v>
      </c>
      <c r="C41" s="269"/>
      <c r="D41" s="269"/>
      <c r="E41" s="269"/>
      <c r="F41" s="269"/>
      <c r="G41" s="269"/>
      <c r="H41" s="269"/>
      <c r="I41" s="269"/>
      <c r="J41" s="269"/>
      <c r="K41" s="269"/>
      <c r="L41" s="269"/>
      <c r="M41" s="269"/>
      <c r="N41" s="277">
        <f t="shared" si="5"/>
        <v>0</v>
      </c>
      <c r="O41" s="263"/>
      <c r="P41" s="263"/>
      <c r="Q41" s="263"/>
      <c r="R41" s="263"/>
      <c r="S41" s="263"/>
    </row>
    <row r="42" spans="1:19" ht="17.100000000000001" customHeight="1">
      <c r="A42" s="300">
        <v>214000</v>
      </c>
      <c r="B42" s="263" t="s">
        <v>811</v>
      </c>
      <c r="C42" s="269"/>
      <c r="D42" s="269"/>
      <c r="E42" s="269"/>
      <c r="F42" s="269"/>
      <c r="G42" s="269"/>
      <c r="H42" s="269"/>
      <c r="I42" s="269"/>
      <c r="J42" s="269"/>
      <c r="K42" s="269"/>
      <c r="L42" s="269"/>
      <c r="M42" s="269"/>
      <c r="N42" s="277">
        <f t="shared" si="5"/>
        <v>0</v>
      </c>
      <c r="O42" s="263"/>
      <c r="P42" s="263"/>
      <c r="Q42" s="263"/>
      <c r="R42" s="263"/>
      <c r="S42" s="263"/>
    </row>
    <row r="43" spans="1:19" ht="17.100000000000001" customHeight="1">
      <c r="A43" s="300">
        <v>216000</v>
      </c>
      <c r="B43" s="263" t="s">
        <v>2033</v>
      </c>
      <c r="C43" s="269"/>
      <c r="D43" s="269"/>
      <c r="E43" s="269"/>
      <c r="F43" s="269"/>
      <c r="G43" s="269"/>
      <c r="H43" s="269"/>
      <c r="I43" s="269"/>
      <c r="J43" s="269"/>
      <c r="K43" s="269"/>
      <c r="L43" s="269"/>
      <c r="M43" s="269"/>
      <c r="N43" s="277">
        <f t="shared" si="5"/>
        <v>0</v>
      </c>
      <c r="O43" s="263"/>
      <c r="P43" s="263"/>
      <c r="Q43" s="263"/>
      <c r="R43" s="263"/>
      <c r="S43" s="263"/>
    </row>
    <row r="44" spans="1:19" ht="17.100000000000001" customHeight="1" thickBot="1">
      <c r="A44" s="300">
        <v>233000</v>
      </c>
      <c r="B44" s="263" t="s">
        <v>266</v>
      </c>
      <c r="C44" s="271"/>
      <c r="D44" s="271"/>
      <c r="E44" s="271"/>
      <c r="F44" s="271"/>
      <c r="G44" s="271"/>
      <c r="H44" s="271"/>
      <c r="I44" s="271"/>
      <c r="J44" s="271"/>
      <c r="K44" s="271"/>
      <c r="L44" s="271"/>
      <c r="M44" s="271"/>
      <c r="N44" s="278">
        <f t="shared" si="5"/>
        <v>0</v>
      </c>
      <c r="O44" s="263"/>
      <c r="P44" s="263"/>
      <c r="Q44" s="263"/>
      <c r="R44" s="263"/>
      <c r="S44" s="263"/>
    </row>
    <row r="45" spans="1:19" s="308" customFormat="1" ht="17.100000000000001" customHeight="1">
      <c r="A45" s="428"/>
      <c r="B45" s="430" t="s">
        <v>1028</v>
      </c>
      <c r="C45" s="277">
        <f t="shared" ref="C45:N45" si="6">SUM(C34:C44)</f>
        <v>0</v>
      </c>
      <c r="D45" s="277">
        <f t="shared" si="6"/>
        <v>0</v>
      </c>
      <c r="E45" s="277">
        <f t="shared" si="6"/>
        <v>0</v>
      </c>
      <c r="F45" s="277">
        <f t="shared" si="6"/>
        <v>0</v>
      </c>
      <c r="G45" s="277">
        <f t="shared" si="6"/>
        <v>0</v>
      </c>
      <c r="H45" s="277">
        <f t="shared" si="6"/>
        <v>0</v>
      </c>
      <c r="I45" s="277">
        <f t="shared" si="6"/>
        <v>0</v>
      </c>
      <c r="J45" s="277">
        <f t="shared" si="6"/>
        <v>0</v>
      </c>
      <c r="K45" s="277">
        <f t="shared" si="6"/>
        <v>0</v>
      </c>
      <c r="L45" s="277">
        <f t="shared" si="6"/>
        <v>0</v>
      </c>
      <c r="M45" s="277">
        <f t="shared" si="6"/>
        <v>0</v>
      </c>
      <c r="N45" s="277">
        <f t="shared" si="6"/>
        <v>0</v>
      </c>
      <c r="O45" s="411"/>
      <c r="P45" s="411"/>
      <c r="Q45" s="411"/>
      <c r="R45" s="411"/>
      <c r="S45" s="411"/>
    </row>
    <row r="46" spans="1:19" s="308" customFormat="1" ht="9.75" customHeight="1">
      <c r="A46" s="428"/>
      <c r="B46" s="430"/>
      <c r="C46" s="277"/>
      <c r="D46" s="277"/>
      <c r="E46" s="277"/>
      <c r="F46" s="277"/>
      <c r="G46" s="277"/>
      <c r="H46" s="277"/>
      <c r="I46" s="277"/>
      <c r="J46" s="277"/>
      <c r="K46" s="277"/>
      <c r="L46" s="277"/>
      <c r="M46" s="277"/>
      <c r="N46" s="277"/>
      <c r="O46" s="411"/>
      <c r="P46" s="411"/>
      <c r="Q46" s="411"/>
      <c r="R46" s="411"/>
      <c r="S46" s="411"/>
    </row>
    <row r="47" spans="1:19" s="308" customFormat="1" ht="17.100000000000001" customHeight="1">
      <c r="A47" s="429"/>
      <c r="B47" s="677" t="s">
        <v>1906</v>
      </c>
      <c r="C47" s="277"/>
      <c r="D47" s="277"/>
      <c r="E47" s="277"/>
      <c r="F47" s="277"/>
      <c r="G47" s="277"/>
      <c r="H47" s="277"/>
      <c r="I47" s="277"/>
      <c r="J47" s="277"/>
      <c r="K47" s="277"/>
      <c r="L47" s="277"/>
      <c r="M47" s="277"/>
      <c r="N47" s="277"/>
      <c r="O47" s="411"/>
      <c r="P47" s="411"/>
      <c r="Q47" s="411"/>
      <c r="R47" s="411"/>
      <c r="S47" s="411"/>
    </row>
    <row r="48" spans="1:19" ht="17.100000000000001" customHeight="1">
      <c r="A48" s="300">
        <v>220000</v>
      </c>
      <c r="B48" s="263" t="s">
        <v>1908</v>
      </c>
      <c r="C48" s="269"/>
      <c r="D48" s="269"/>
      <c r="E48" s="269"/>
      <c r="F48" s="269"/>
      <c r="G48" s="269"/>
      <c r="H48" s="269"/>
      <c r="I48" s="269"/>
      <c r="J48" s="269"/>
      <c r="K48" s="269"/>
      <c r="L48" s="269"/>
      <c r="M48" s="269"/>
      <c r="N48" s="277">
        <f t="shared" ref="N48:N49" si="7">SUM(C48:M48)</f>
        <v>0</v>
      </c>
      <c r="O48" s="263"/>
      <c r="P48" s="263"/>
      <c r="Q48" s="263"/>
      <c r="R48" s="263"/>
      <c r="S48" s="263"/>
    </row>
    <row r="49" spans="1:19" ht="17.100000000000001" customHeight="1" thickBot="1">
      <c r="A49" s="300">
        <v>223000</v>
      </c>
      <c r="B49" s="263" t="s">
        <v>1907</v>
      </c>
      <c r="C49" s="271"/>
      <c r="D49" s="271"/>
      <c r="E49" s="271"/>
      <c r="F49" s="271"/>
      <c r="G49" s="271"/>
      <c r="H49" s="271"/>
      <c r="I49" s="271"/>
      <c r="J49" s="271"/>
      <c r="K49" s="271"/>
      <c r="L49" s="271"/>
      <c r="M49" s="271"/>
      <c r="N49" s="278">
        <f t="shared" si="7"/>
        <v>0</v>
      </c>
      <c r="O49" s="263"/>
      <c r="P49" s="263"/>
      <c r="Q49" s="263"/>
      <c r="R49" s="263"/>
      <c r="S49" s="263"/>
    </row>
    <row r="50" spans="1:19" s="308" customFormat="1" ht="17.100000000000001" customHeight="1">
      <c r="A50" s="429"/>
      <c r="B50" s="430" t="s">
        <v>1909</v>
      </c>
      <c r="C50" s="277">
        <f>SUM(C48:C49)</f>
        <v>0</v>
      </c>
      <c r="D50" s="277">
        <f t="shared" ref="D50:N50" si="8">SUM(D48:D49)</f>
        <v>0</v>
      </c>
      <c r="E50" s="277">
        <f t="shared" si="8"/>
        <v>0</v>
      </c>
      <c r="F50" s="277">
        <f t="shared" si="8"/>
        <v>0</v>
      </c>
      <c r="G50" s="277">
        <f t="shared" si="8"/>
        <v>0</v>
      </c>
      <c r="H50" s="277">
        <f t="shared" si="8"/>
        <v>0</v>
      </c>
      <c r="I50" s="277">
        <f t="shared" si="8"/>
        <v>0</v>
      </c>
      <c r="J50" s="277">
        <f t="shared" si="8"/>
        <v>0</v>
      </c>
      <c r="K50" s="277">
        <f t="shared" si="8"/>
        <v>0</v>
      </c>
      <c r="L50" s="277">
        <f t="shared" si="8"/>
        <v>0</v>
      </c>
      <c r="M50" s="277">
        <f t="shared" si="8"/>
        <v>0</v>
      </c>
      <c r="N50" s="277">
        <f t="shared" si="8"/>
        <v>0</v>
      </c>
      <c r="O50" s="411"/>
      <c r="P50" s="411"/>
      <c r="Q50" s="411"/>
      <c r="R50" s="411"/>
      <c r="S50" s="411"/>
    </row>
    <row r="51" spans="1:19" s="308" customFormat="1" ht="9.75" customHeight="1">
      <c r="A51" s="428"/>
      <c r="B51" s="411"/>
      <c r="C51" s="277"/>
      <c r="D51" s="277"/>
      <c r="E51" s="277"/>
      <c r="F51" s="277"/>
      <c r="G51" s="277"/>
      <c r="H51" s="277"/>
      <c r="I51" s="277"/>
      <c r="J51" s="277"/>
      <c r="K51" s="277"/>
      <c r="L51" s="277"/>
      <c r="M51" s="277"/>
      <c r="N51" s="277"/>
      <c r="O51" s="411"/>
      <c r="P51" s="411"/>
      <c r="Q51" s="411"/>
      <c r="R51" s="411"/>
      <c r="S51" s="411"/>
    </row>
    <row r="52" spans="1:19" s="308" customFormat="1" ht="17.100000000000001" customHeight="1">
      <c r="A52" s="428"/>
      <c r="B52" s="431" t="s">
        <v>1569</v>
      </c>
      <c r="C52" s="277"/>
      <c r="D52" s="277"/>
      <c r="E52" s="277"/>
      <c r="F52" s="277"/>
      <c r="G52" s="277"/>
      <c r="H52" s="277"/>
      <c r="I52" s="277"/>
      <c r="J52" s="277"/>
      <c r="K52" s="277"/>
      <c r="L52" s="277"/>
      <c r="M52" s="277"/>
      <c r="N52" s="277"/>
      <c r="O52" s="411"/>
      <c r="P52" s="411"/>
      <c r="Q52" s="411"/>
      <c r="R52" s="411"/>
      <c r="S52" s="411"/>
    </row>
    <row r="53" spans="1:19" ht="17.100000000000001" customHeight="1">
      <c r="A53" s="300">
        <v>250100</v>
      </c>
      <c r="B53" s="263" t="s">
        <v>1564</v>
      </c>
      <c r="C53" s="269"/>
      <c r="D53" s="269"/>
      <c r="E53" s="269"/>
      <c r="F53" s="269"/>
      <c r="G53" s="269"/>
      <c r="H53" s="269"/>
      <c r="I53" s="269"/>
      <c r="J53" s="269"/>
      <c r="K53" s="269"/>
      <c r="L53" s="269"/>
      <c r="M53" s="269"/>
      <c r="N53" s="277">
        <f>SUM(C53:M53)</f>
        <v>0</v>
      </c>
      <c r="O53" s="263"/>
      <c r="P53" s="263"/>
      <c r="Q53" s="263"/>
      <c r="R53" s="263"/>
      <c r="S53" s="263"/>
    </row>
    <row r="54" spans="1:19" ht="17.100000000000001" customHeight="1">
      <c r="A54" s="300">
        <v>250200</v>
      </c>
      <c r="B54" s="263" t="s">
        <v>1565</v>
      </c>
      <c r="C54" s="269"/>
      <c r="D54" s="269"/>
      <c r="E54" s="269"/>
      <c r="F54" s="269"/>
      <c r="G54" s="269"/>
      <c r="H54" s="269"/>
      <c r="I54" s="269"/>
      <c r="J54" s="269"/>
      <c r="K54" s="269"/>
      <c r="L54" s="269"/>
      <c r="M54" s="269"/>
      <c r="N54" s="277">
        <f>SUM(C54:M54)</f>
        <v>0</v>
      </c>
      <c r="O54" s="263"/>
      <c r="P54" s="263"/>
      <c r="Q54" s="263"/>
      <c r="R54" s="263"/>
      <c r="S54" s="263"/>
    </row>
    <row r="55" spans="1:19" ht="17.100000000000001" customHeight="1">
      <c r="A55" s="300">
        <v>260100</v>
      </c>
      <c r="B55" s="263" t="s">
        <v>1563</v>
      </c>
      <c r="C55" s="269"/>
      <c r="D55" s="269"/>
      <c r="E55" s="269"/>
      <c r="F55" s="269"/>
      <c r="G55" s="269"/>
      <c r="H55" s="269"/>
      <c r="I55" s="269"/>
      <c r="J55" s="269"/>
      <c r="K55" s="269"/>
      <c r="L55" s="269"/>
      <c r="M55" s="269"/>
      <c r="N55" s="277">
        <f>SUM(C55:M55)</f>
        <v>0</v>
      </c>
      <c r="O55" s="263"/>
      <c r="P55" s="263"/>
      <c r="Q55" s="263"/>
      <c r="R55" s="263"/>
      <c r="S55" s="263"/>
    </row>
    <row r="56" spans="1:19" ht="17.100000000000001" customHeight="1">
      <c r="A56" s="300">
        <v>260200</v>
      </c>
      <c r="B56" s="263" t="s">
        <v>1562</v>
      </c>
      <c r="C56" s="269"/>
      <c r="D56" s="269"/>
      <c r="E56" s="269"/>
      <c r="F56" s="269"/>
      <c r="G56" s="269"/>
      <c r="H56" s="269"/>
      <c r="I56" s="269"/>
      <c r="J56" s="269"/>
      <c r="K56" s="269"/>
      <c r="L56" s="269"/>
      <c r="M56" s="269"/>
      <c r="N56" s="277">
        <f>SUM(C56:M56)</f>
        <v>0</v>
      </c>
      <c r="O56" s="263"/>
      <c r="P56" s="263"/>
      <c r="Q56" s="263"/>
      <c r="R56" s="263"/>
      <c r="S56" s="263"/>
    </row>
    <row r="57" spans="1:19" ht="17.100000000000001" customHeight="1" thickBot="1">
      <c r="A57" s="300">
        <v>271000</v>
      </c>
      <c r="B57" s="263" t="s">
        <v>1567</v>
      </c>
      <c r="C57" s="271">
        <v>8995.02</v>
      </c>
      <c r="D57" s="271"/>
      <c r="E57" s="271"/>
      <c r="F57" s="271"/>
      <c r="G57" s="271"/>
      <c r="H57" s="271"/>
      <c r="I57" s="271"/>
      <c r="J57" s="271"/>
      <c r="K57" s="271"/>
      <c r="L57" s="271"/>
      <c r="M57" s="271"/>
      <c r="N57" s="278">
        <f>SUM(C57:M57)</f>
        <v>8995.02</v>
      </c>
      <c r="O57" s="263"/>
      <c r="P57" s="263"/>
      <c r="Q57" s="263"/>
      <c r="R57" s="263"/>
      <c r="S57" s="263"/>
    </row>
    <row r="58" spans="1:19" s="308" customFormat="1" ht="17.100000000000001" customHeight="1" thickBot="1">
      <c r="A58" s="428"/>
      <c r="B58" s="430" t="s">
        <v>1953</v>
      </c>
      <c r="C58" s="278">
        <f>SUM(C52:C57)</f>
        <v>8995.02</v>
      </c>
      <c r="D58" s="278">
        <f t="shared" ref="D58:N58" si="9">SUM(D52:D57)</f>
        <v>0</v>
      </c>
      <c r="E58" s="278">
        <f t="shared" si="9"/>
        <v>0</v>
      </c>
      <c r="F58" s="278">
        <f t="shared" si="9"/>
        <v>0</v>
      </c>
      <c r="G58" s="278">
        <f t="shared" si="9"/>
        <v>0</v>
      </c>
      <c r="H58" s="278">
        <f t="shared" si="9"/>
        <v>0</v>
      </c>
      <c r="I58" s="278">
        <f t="shared" si="9"/>
        <v>0</v>
      </c>
      <c r="J58" s="278">
        <f t="shared" si="9"/>
        <v>0</v>
      </c>
      <c r="K58" s="278">
        <f t="shared" si="9"/>
        <v>0</v>
      </c>
      <c r="L58" s="278">
        <f t="shared" si="9"/>
        <v>0</v>
      </c>
      <c r="M58" s="278">
        <f t="shared" si="9"/>
        <v>0</v>
      </c>
      <c r="N58" s="278">
        <f t="shared" si="9"/>
        <v>8995.02</v>
      </c>
      <c r="O58" s="411"/>
      <c r="P58" s="411"/>
      <c r="Q58" s="411"/>
      <c r="R58" s="411"/>
      <c r="S58" s="411"/>
    </row>
    <row r="59" spans="1:19" s="308" customFormat="1" ht="36.75" customHeight="1" thickBot="1">
      <c r="A59" s="428"/>
      <c r="B59" s="679" t="s">
        <v>1954</v>
      </c>
      <c r="C59" s="280">
        <f>+C45+C58+C50</f>
        <v>8995.02</v>
      </c>
      <c r="D59" s="280">
        <f t="shared" ref="D59:N59" si="10">+D45+D58+D50</f>
        <v>0</v>
      </c>
      <c r="E59" s="280">
        <f t="shared" si="10"/>
        <v>0</v>
      </c>
      <c r="F59" s="280">
        <f t="shared" si="10"/>
        <v>0</v>
      </c>
      <c r="G59" s="280">
        <f t="shared" si="10"/>
        <v>0</v>
      </c>
      <c r="H59" s="280">
        <f t="shared" si="10"/>
        <v>0</v>
      </c>
      <c r="I59" s="280">
        <f t="shared" si="10"/>
        <v>0</v>
      </c>
      <c r="J59" s="280">
        <f t="shared" si="10"/>
        <v>0</v>
      </c>
      <c r="K59" s="280">
        <f t="shared" si="10"/>
        <v>0</v>
      </c>
      <c r="L59" s="280">
        <f t="shared" si="10"/>
        <v>0</v>
      </c>
      <c r="M59" s="280">
        <f t="shared" si="10"/>
        <v>0</v>
      </c>
      <c r="N59" s="280">
        <f t="shared" si="10"/>
        <v>8995.02</v>
      </c>
      <c r="O59" s="411"/>
      <c r="P59" s="411"/>
      <c r="Q59" s="411"/>
      <c r="R59" s="411"/>
      <c r="S59" s="411"/>
    </row>
    <row r="60" spans="1:19" ht="16.5" thickTop="1">
      <c r="A60" s="300"/>
      <c r="B60" s="263"/>
      <c r="C60" s="422"/>
      <c r="D60" s="422" t="s">
        <v>1345</v>
      </c>
      <c r="E60" s="263"/>
      <c r="F60" s="422"/>
      <c r="G60" s="263"/>
      <c r="H60" s="422" t="s">
        <v>1345</v>
      </c>
      <c r="I60" s="422"/>
      <c r="J60" s="263"/>
      <c r="K60" s="263"/>
      <c r="L60" s="422" t="s">
        <v>720</v>
      </c>
      <c r="M60" s="263"/>
      <c r="N60" s="263"/>
      <c r="O60" s="263"/>
      <c r="P60" s="263"/>
      <c r="Q60" s="263"/>
      <c r="R60" s="263"/>
      <c r="S60" s="263"/>
    </row>
    <row r="61" spans="1:19" ht="15">
      <c r="A61" s="300"/>
      <c r="B61" s="263"/>
      <c r="C61" s="263"/>
      <c r="D61" s="263"/>
      <c r="E61" s="263"/>
      <c r="F61" s="263"/>
      <c r="G61" s="263"/>
      <c r="H61" s="263"/>
      <c r="I61" s="263"/>
      <c r="J61" s="263"/>
      <c r="K61" s="263"/>
      <c r="L61" s="263"/>
      <c r="M61" s="263"/>
      <c r="N61" s="263"/>
      <c r="O61" s="263"/>
      <c r="P61" s="263"/>
      <c r="Q61" s="263"/>
      <c r="R61" s="263"/>
      <c r="S61" s="263"/>
    </row>
    <row r="62" spans="1:19" ht="15">
      <c r="A62" s="300"/>
      <c r="B62" s="263"/>
      <c r="C62" s="263"/>
      <c r="D62" s="263"/>
      <c r="E62" s="263"/>
      <c r="F62" s="263"/>
      <c r="G62" s="263"/>
      <c r="H62" s="263"/>
      <c r="I62" s="263"/>
      <c r="J62" s="263"/>
      <c r="K62" s="263"/>
      <c r="L62" s="263"/>
      <c r="M62" s="263"/>
      <c r="N62" s="263"/>
      <c r="O62" s="263"/>
      <c r="P62" s="263"/>
      <c r="Q62" s="263"/>
      <c r="R62" s="263"/>
      <c r="S62" s="263"/>
    </row>
    <row r="63" spans="1:19" ht="15">
      <c r="A63" s="300"/>
      <c r="B63" s="263"/>
      <c r="C63" s="263"/>
      <c r="D63" s="263"/>
      <c r="E63" s="263"/>
      <c r="F63" s="263"/>
      <c r="G63" s="263"/>
      <c r="H63" s="263"/>
      <c r="I63" s="263"/>
      <c r="J63" s="263"/>
      <c r="K63" s="263"/>
      <c r="L63" s="263"/>
      <c r="M63" s="263"/>
      <c r="N63" s="263"/>
      <c r="O63" s="263"/>
      <c r="P63" s="263"/>
      <c r="Q63" s="263"/>
      <c r="R63" s="263"/>
      <c r="S63" s="263"/>
    </row>
    <row r="64" spans="1:19" ht="15">
      <c r="A64" s="300"/>
      <c r="B64" s="263"/>
      <c r="C64" s="263"/>
      <c r="D64" s="263"/>
      <c r="E64" s="263"/>
      <c r="F64" s="263"/>
      <c r="G64" s="263"/>
      <c r="H64" s="263"/>
      <c r="I64" s="263"/>
      <c r="J64" s="263"/>
      <c r="K64" s="263"/>
      <c r="L64" s="263"/>
      <c r="M64" s="263"/>
      <c r="N64" s="263"/>
      <c r="O64" s="263"/>
      <c r="P64" s="263"/>
      <c r="Q64" s="263"/>
      <c r="R64" s="263"/>
      <c r="S64" s="263"/>
    </row>
    <row r="65" spans="1:19" ht="15">
      <c r="A65" s="300"/>
      <c r="B65" s="263"/>
      <c r="C65" s="263"/>
      <c r="D65" s="263"/>
      <c r="E65" s="263"/>
      <c r="F65" s="263"/>
      <c r="G65" s="263"/>
      <c r="H65" s="263"/>
      <c r="I65" s="263"/>
      <c r="J65" s="263"/>
      <c r="K65" s="263"/>
      <c r="L65" s="263"/>
      <c r="M65" s="263"/>
      <c r="N65" s="263"/>
      <c r="O65" s="263"/>
      <c r="P65" s="263"/>
      <c r="Q65" s="263"/>
      <c r="R65" s="263"/>
      <c r="S65" s="263"/>
    </row>
    <row r="66" spans="1:19" ht="15">
      <c r="A66" s="300"/>
      <c r="B66" s="263"/>
      <c r="C66" s="263"/>
      <c r="D66" s="263"/>
      <c r="E66" s="263"/>
      <c r="F66" s="263"/>
      <c r="G66" s="263"/>
      <c r="H66" s="263"/>
      <c r="I66" s="263"/>
      <c r="J66" s="263"/>
      <c r="K66" s="263"/>
      <c r="L66" s="263"/>
      <c r="M66" s="263"/>
      <c r="N66" s="263"/>
      <c r="O66" s="263"/>
      <c r="P66" s="263"/>
      <c r="Q66" s="263"/>
      <c r="R66" s="263"/>
      <c r="S66" s="263"/>
    </row>
    <row r="67" spans="1:19" ht="15">
      <c r="A67" s="300"/>
      <c r="B67" s="263"/>
      <c r="C67" s="263"/>
      <c r="D67" s="263"/>
      <c r="E67" s="263"/>
      <c r="F67" s="263"/>
      <c r="G67" s="263"/>
      <c r="H67" s="263"/>
      <c r="I67" s="263"/>
      <c r="J67" s="263"/>
      <c r="K67" s="263"/>
      <c r="L67" s="263"/>
      <c r="M67" s="263"/>
      <c r="N67" s="263"/>
      <c r="O67" s="263"/>
      <c r="P67" s="263"/>
      <c r="Q67" s="263"/>
      <c r="R67" s="263"/>
      <c r="S67" s="263"/>
    </row>
    <row r="68" spans="1:19" ht="15">
      <c r="A68" s="300"/>
      <c r="B68" s="263"/>
      <c r="C68" s="263"/>
      <c r="D68" s="263"/>
      <c r="E68" s="263"/>
      <c r="F68" s="263"/>
      <c r="G68" s="263"/>
      <c r="H68" s="263"/>
      <c r="I68" s="263"/>
      <c r="J68" s="263"/>
      <c r="K68" s="263"/>
      <c r="L68" s="263"/>
      <c r="M68" s="263"/>
      <c r="N68" s="263"/>
      <c r="O68" s="263"/>
      <c r="P68" s="263"/>
      <c r="Q68" s="263"/>
      <c r="R68" s="263"/>
      <c r="S68" s="263"/>
    </row>
    <row r="69" spans="1:19" ht="15">
      <c r="A69" s="300"/>
      <c r="B69" s="263"/>
      <c r="C69" s="263"/>
      <c r="D69" s="263"/>
      <c r="E69" s="263"/>
      <c r="F69" s="263"/>
      <c r="G69" s="263"/>
      <c r="H69" s="263"/>
      <c r="I69" s="263"/>
      <c r="J69" s="263"/>
      <c r="K69" s="263"/>
      <c r="L69" s="263"/>
      <c r="M69" s="263"/>
      <c r="N69" s="263"/>
      <c r="O69" s="263"/>
      <c r="P69" s="263"/>
      <c r="Q69" s="263"/>
      <c r="R69" s="263"/>
      <c r="S69" s="263"/>
    </row>
    <row r="70" spans="1:19" ht="15">
      <c r="A70" s="300"/>
      <c r="B70" s="263"/>
      <c r="C70" s="263"/>
      <c r="D70" s="263"/>
      <c r="E70" s="263"/>
      <c r="F70" s="263"/>
      <c r="G70" s="263"/>
      <c r="H70" s="263"/>
      <c r="I70" s="263"/>
      <c r="J70" s="263"/>
      <c r="K70" s="263"/>
      <c r="L70" s="263"/>
      <c r="M70" s="263"/>
      <c r="N70" s="263"/>
      <c r="O70" s="263"/>
      <c r="P70" s="263"/>
      <c r="Q70" s="263"/>
      <c r="R70" s="263"/>
      <c r="S70" s="263"/>
    </row>
    <row r="71" spans="1:19" ht="15">
      <c r="A71" s="300"/>
      <c r="B71" s="263"/>
      <c r="C71" s="263"/>
      <c r="D71" s="263"/>
      <c r="E71" s="263"/>
      <c r="F71" s="263"/>
      <c r="G71" s="263"/>
      <c r="H71" s="263"/>
      <c r="I71" s="263"/>
      <c r="J71" s="263"/>
      <c r="K71" s="263"/>
      <c r="L71" s="263"/>
      <c r="M71" s="263"/>
      <c r="N71" s="263"/>
      <c r="O71" s="263"/>
      <c r="P71" s="263"/>
      <c r="Q71" s="263"/>
      <c r="R71" s="263"/>
      <c r="S71" s="263"/>
    </row>
    <row r="72" spans="1:19" ht="15">
      <c r="A72" s="300"/>
      <c r="B72" s="263"/>
      <c r="C72" s="263"/>
      <c r="D72" s="263"/>
      <c r="E72" s="263"/>
      <c r="F72" s="263"/>
      <c r="G72" s="263"/>
      <c r="H72" s="263"/>
      <c r="I72" s="263"/>
      <c r="J72" s="263"/>
      <c r="K72" s="263"/>
      <c r="L72" s="263"/>
      <c r="M72" s="263"/>
      <c r="N72" s="263"/>
      <c r="O72" s="263"/>
      <c r="P72" s="263"/>
      <c r="Q72" s="263"/>
      <c r="R72" s="263"/>
      <c r="S72" s="263"/>
    </row>
    <row r="73" spans="1:19" ht="15">
      <c r="A73" s="300"/>
      <c r="B73" s="263"/>
      <c r="C73" s="263"/>
      <c r="D73" s="263"/>
      <c r="E73" s="263"/>
      <c r="F73" s="263"/>
      <c r="G73" s="263"/>
      <c r="H73" s="263"/>
      <c r="I73" s="263"/>
      <c r="J73" s="263"/>
      <c r="K73" s="263"/>
      <c r="L73" s="263"/>
      <c r="M73" s="263"/>
      <c r="N73" s="263"/>
      <c r="O73" s="263"/>
      <c r="P73" s="263"/>
      <c r="Q73" s="263"/>
      <c r="R73" s="263"/>
      <c r="S73" s="263"/>
    </row>
    <row r="74" spans="1:19" ht="15">
      <c r="A74" s="300"/>
      <c r="B74" s="263"/>
      <c r="C74" s="263"/>
      <c r="D74" s="263"/>
      <c r="E74" s="263"/>
      <c r="F74" s="263"/>
      <c r="G74" s="263"/>
      <c r="H74" s="263"/>
      <c r="I74" s="263"/>
      <c r="J74" s="263"/>
      <c r="K74" s="263"/>
      <c r="L74" s="263"/>
      <c r="M74" s="263"/>
      <c r="N74" s="263"/>
      <c r="O74" s="263"/>
      <c r="P74" s="263"/>
      <c r="Q74" s="263"/>
      <c r="R74" s="263"/>
      <c r="S74" s="263"/>
    </row>
    <row r="75" spans="1:19" ht="15">
      <c r="A75" s="263"/>
      <c r="B75" s="263"/>
      <c r="C75" s="263"/>
      <c r="D75" s="263"/>
      <c r="E75" s="263"/>
      <c r="F75" s="263"/>
      <c r="G75" s="263"/>
      <c r="H75" s="263"/>
      <c r="I75" s="263"/>
      <c r="J75" s="263"/>
      <c r="K75" s="263"/>
      <c r="L75" s="263"/>
      <c r="M75" s="263"/>
      <c r="N75" s="263"/>
      <c r="O75" s="263"/>
      <c r="P75" s="263"/>
      <c r="Q75" s="263"/>
      <c r="R75" s="263"/>
      <c r="S75" s="263"/>
    </row>
    <row r="76" spans="1:19" ht="15">
      <c r="A76" s="263"/>
      <c r="B76" s="263"/>
      <c r="C76" s="263"/>
      <c r="D76" s="263"/>
      <c r="E76" s="263"/>
      <c r="F76" s="263"/>
      <c r="G76" s="263"/>
      <c r="H76" s="263"/>
      <c r="I76" s="263"/>
      <c r="J76" s="263"/>
      <c r="K76" s="263"/>
      <c r="L76" s="263"/>
      <c r="M76" s="263"/>
      <c r="N76" s="263"/>
      <c r="O76" s="263"/>
      <c r="P76" s="263"/>
      <c r="Q76" s="263"/>
      <c r="R76" s="263"/>
      <c r="S76" s="263"/>
    </row>
    <row r="77" spans="1:19" ht="15">
      <c r="A77" s="263"/>
      <c r="B77" s="263"/>
      <c r="C77" s="263"/>
      <c r="D77" s="263"/>
      <c r="E77" s="263"/>
      <c r="F77" s="263"/>
      <c r="G77" s="263"/>
      <c r="H77" s="263"/>
      <c r="I77" s="263"/>
      <c r="J77" s="263"/>
      <c r="K77" s="263"/>
      <c r="L77" s="263"/>
      <c r="M77" s="263"/>
      <c r="N77" s="263"/>
      <c r="O77" s="263"/>
      <c r="P77" s="263"/>
      <c r="Q77" s="263"/>
      <c r="R77" s="263"/>
      <c r="S77" s="263"/>
    </row>
    <row r="78" spans="1:19" ht="15">
      <c r="A78" s="263"/>
      <c r="B78" s="263"/>
      <c r="C78" s="263"/>
      <c r="D78" s="263"/>
      <c r="E78" s="263"/>
      <c r="F78" s="263"/>
      <c r="G78" s="263"/>
      <c r="H78" s="263"/>
      <c r="I78" s="263"/>
      <c r="J78" s="263"/>
      <c r="K78" s="263"/>
      <c r="L78" s="263"/>
      <c r="M78" s="263"/>
      <c r="N78" s="263"/>
      <c r="O78" s="263"/>
      <c r="P78" s="263"/>
      <c r="Q78" s="263"/>
      <c r="R78" s="263"/>
      <c r="S78" s="263"/>
    </row>
    <row r="79" spans="1:19" ht="15">
      <c r="A79" s="263"/>
      <c r="B79" s="263"/>
      <c r="C79" s="263"/>
      <c r="D79" s="263"/>
      <c r="E79" s="263"/>
      <c r="F79" s="263"/>
      <c r="G79" s="263"/>
      <c r="H79" s="263"/>
      <c r="I79" s="263"/>
      <c r="J79" s="263"/>
      <c r="K79" s="263"/>
      <c r="L79" s="263"/>
      <c r="M79" s="263"/>
      <c r="N79" s="263"/>
      <c r="O79" s="263"/>
      <c r="P79" s="263"/>
      <c r="Q79" s="263"/>
      <c r="R79" s="263"/>
      <c r="S79" s="263"/>
    </row>
    <row r="80" spans="1:19" ht="15">
      <c r="A80" s="263"/>
      <c r="B80" s="263"/>
      <c r="C80" s="263"/>
      <c r="D80" s="263"/>
      <c r="E80" s="263"/>
      <c r="F80" s="263"/>
      <c r="G80" s="263"/>
      <c r="H80" s="263"/>
      <c r="I80" s="263"/>
      <c r="J80" s="263"/>
      <c r="K80" s="263"/>
      <c r="L80" s="263"/>
      <c r="M80" s="263"/>
      <c r="N80" s="263"/>
      <c r="O80" s="263"/>
      <c r="P80" s="263"/>
      <c r="Q80" s="263"/>
      <c r="R80" s="263"/>
      <c r="S80" s="263"/>
    </row>
    <row r="81" spans="1:19" ht="15">
      <c r="A81" s="263"/>
      <c r="B81" s="263"/>
      <c r="C81" s="263"/>
      <c r="D81" s="263"/>
      <c r="E81" s="263"/>
      <c r="F81" s="263"/>
      <c r="G81" s="263"/>
      <c r="H81" s="263"/>
      <c r="I81" s="263"/>
      <c r="J81" s="263"/>
      <c r="K81" s="263"/>
      <c r="L81" s="263"/>
      <c r="M81" s="263"/>
      <c r="N81" s="263"/>
      <c r="O81" s="263"/>
      <c r="P81" s="263"/>
      <c r="Q81" s="263"/>
      <c r="R81" s="263"/>
      <c r="S81" s="263"/>
    </row>
    <row r="82" spans="1:19" ht="15">
      <c r="A82" s="263"/>
      <c r="B82" s="263"/>
      <c r="C82" s="263"/>
      <c r="D82" s="263"/>
      <c r="E82" s="263"/>
      <c r="F82" s="263"/>
      <c r="G82" s="263"/>
      <c r="H82" s="263"/>
      <c r="I82" s="263"/>
      <c r="J82" s="263"/>
      <c r="K82" s="263"/>
      <c r="L82" s="263"/>
      <c r="M82" s="263"/>
      <c r="N82" s="263"/>
      <c r="O82" s="263"/>
      <c r="P82" s="263"/>
      <c r="Q82" s="263"/>
      <c r="R82" s="263"/>
      <c r="S82" s="263"/>
    </row>
    <row r="83" spans="1:19" ht="15">
      <c r="A83" s="263"/>
      <c r="B83" s="263"/>
      <c r="C83" s="263"/>
      <c r="D83" s="263"/>
      <c r="E83" s="263"/>
      <c r="F83" s="263"/>
      <c r="G83" s="263"/>
      <c r="H83" s="263"/>
      <c r="I83" s="263"/>
      <c r="J83" s="263"/>
      <c r="K83" s="263"/>
      <c r="L83" s="263"/>
      <c r="M83" s="263"/>
      <c r="N83" s="263"/>
      <c r="O83" s="263"/>
      <c r="P83" s="263"/>
      <c r="Q83" s="263"/>
      <c r="R83" s="263"/>
      <c r="S83" s="263"/>
    </row>
    <row r="84" spans="1:19" ht="15">
      <c r="A84" s="263"/>
      <c r="B84" s="263"/>
      <c r="C84" s="263"/>
      <c r="D84" s="263"/>
      <c r="E84" s="263"/>
      <c r="F84" s="263"/>
      <c r="G84" s="263"/>
      <c r="H84" s="263"/>
      <c r="I84" s="263"/>
      <c r="J84" s="263"/>
      <c r="K84" s="263"/>
      <c r="L84" s="263"/>
      <c r="M84" s="263"/>
      <c r="N84" s="263"/>
      <c r="O84" s="263"/>
      <c r="P84" s="263"/>
      <c r="Q84" s="263"/>
      <c r="R84" s="263"/>
      <c r="S84" s="263"/>
    </row>
    <row r="85" spans="1:19" ht="15">
      <c r="A85" s="263"/>
      <c r="B85" s="263"/>
      <c r="C85" s="263"/>
      <c r="D85" s="263"/>
      <c r="E85" s="263"/>
      <c r="F85" s="263"/>
      <c r="G85" s="263"/>
      <c r="H85" s="263"/>
      <c r="I85" s="263"/>
      <c r="J85" s="263"/>
      <c r="K85" s="263"/>
      <c r="L85" s="263"/>
      <c r="M85" s="263"/>
      <c r="N85" s="263"/>
      <c r="O85" s="263"/>
      <c r="P85" s="263"/>
      <c r="Q85" s="263"/>
      <c r="R85" s="263"/>
      <c r="S85" s="263"/>
    </row>
    <row r="86" spans="1:19" ht="15">
      <c r="A86" s="263"/>
      <c r="B86" s="263"/>
      <c r="C86" s="263"/>
      <c r="D86" s="263"/>
      <c r="E86" s="263"/>
      <c r="F86" s="263"/>
      <c r="G86" s="263"/>
      <c r="H86" s="263"/>
      <c r="I86" s="263"/>
      <c r="J86" s="263"/>
      <c r="K86" s="263"/>
      <c r="L86" s="263"/>
      <c r="M86" s="263"/>
      <c r="N86" s="263"/>
      <c r="O86" s="263"/>
      <c r="P86" s="263"/>
      <c r="Q86" s="263"/>
      <c r="R86" s="263"/>
      <c r="S86" s="263"/>
    </row>
    <row r="87" spans="1:19" ht="15">
      <c r="A87" s="263"/>
      <c r="B87" s="263"/>
      <c r="C87" s="263"/>
      <c r="D87" s="263"/>
      <c r="E87" s="263"/>
      <c r="F87" s="263"/>
      <c r="G87" s="263"/>
      <c r="H87" s="263"/>
      <c r="I87" s="263"/>
      <c r="J87" s="263"/>
      <c r="K87" s="263"/>
      <c r="L87" s="263"/>
      <c r="M87" s="263"/>
      <c r="N87" s="263"/>
      <c r="O87" s="263"/>
      <c r="P87" s="263"/>
      <c r="Q87" s="263"/>
      <c r="R87" s="263"/>
      <c r="S87" s="263"/>
    </row>
    <row r="88" spans="1:19" ht="15">
      <c r="A88" s="263"/>
      <c r="B88" s="263"/>
      <c r="C88" s="263"/>
      <c r="D88" s="263"/>
      <c r="E88" s="263"/>
      <c r="F88" s="263"/>
      <c r="G88" s="263"/>
      <c r="H88" s="263"/>
      <c r="I88" s="263"/>
      <c r="J88" s="263"/>
      <c r="K88" s="263"/>
      <c r="L88" s="263"/>
      <c r="M88" s="263"/>
      <c r="N88" s="263"/>
      <c r="O88" s="263"/>
      <c r="P88" s="263"/>
      <c r="Q88" s="263"/>
      <c r="R88" s="263"/>
      <c r="S88" s="263"/>
    </row>
    <row r="89" spans="1:19" ht="15">
      <c r="A89" s="263"/>
      <c r="B89" s="263"/>
      <c r="C89" s="263"/>
      <c r="D89" s="263"/>
      <c r="E89" s="263"/>
      <c r="F89" s="263"/>
      <c r="G89" s="263"/>
      <c r="H89" s="263"/>
      <c r="I89" s="263"/>
      <c r="J89" s="263"/>
      <c r="K89" s="263"/>
      <c r="L89" s="263"/>
      <c r="M89" s="263"/>
      <c r="N89" s="263"/>
      <c r="O89" s="263"/>
      <c r="P89" s="263"/>
      <c r="Q89" s="263"/>
      <c r="R89" s="263"/>
      <c r="S89" s="263"/>
    </row>
    <row r="90" spans="1:19" ht="15">
      <c r="A90" s="263"/>
      <c r="B90" s="263"/>
      <c r="C90" s="263"/>
      <c r="D90" s="263"/>
      <c r="E90" s="263"/>
      <c r="F90" s="263"/>
      <c r="G90" s="263"/>
      <c r="H90" s="263"/>
      <c r="I90" s="263"/>
      <c r="J90" s="263"/>
      <c r="K90" s="263"/>
      <c r="L90" s="263"/>
      <c r="M90" s="263"/>
      <c r="N90" s="263"/>
      <c r="O90" s="263"/>
      <c r="P90" s="263"/>
      <c r="Q90" s="263"/>
      <c r="R90" s="263"/>
      <c r="S90" s="263"/>
    </row>
    <row r="91" spans="1:19" ht="15">
      <c r="A91" s="263"/>
      <c r="B91" s="263"/>
      <c r="C91" s="263"/>
      <c r="D91" s="263"/>
      <c r="E91" s="263"/>
      <c r="F91" s="263"/>
      <c r="G91" s="263"/>
      <c r="H91" s="263"/>
      <c r="I91" s="263"/>
      <c r="J91" s="263"/>
      <c r="K91" s="263"/>
      <c r="L91" s="263"/>
      <c r="M91" s="263"/>
      <c r="N91" s="263"/>
      <c r="O91" s="263"/>
      <c r="P91" s="263"/>
      <c r="Q91" s="263"/>
      <c r="R91" s="263"/>
      <c r="S91" s="263"/>
    </row>
    <row r="92" spans="1:19" ht="15">
      <c r="A92" s="263"/>
      <c r="B92" s="263"/>
      <c r="C92" s="263"/>
      <c r="D92" s="263"/>
      <c r="E92" s="263"/>
      <c r="F92" s="263"/>
      <c r="G92" s="263"/>
      <c r="H92" s="263"/>
      <c r="I92" s="263"/>
      <c r="J92" s="263"/>
      <c r="K92" s="263"/>
      <c r="L92" s="263"/>
      <c r="M92" s="263"/>
      <c r="N92" s="263"/>
      <c r="O92" s="263"/>
      <c r="P92" s="263"/>
      <c r="Q92" s="263"/>
      <c r="R92" s="263"/>
      <c r="S92" s="263"/>
    </row>
    <row r="93" spans="1:19" ht="15">
      <c r="A93" s="263"/>
      <c r="B93" s="263"/>
      <c r="C93" s="263"/>
      <c r="D93" s="263"/>
      <c r="E93" s="263"/>
      <c r="F93" s="263"/>
      <c r="G93" s="263"/>
      <c r="H93" s="263"/>
      <c r="I93" s="263"/>
      <c r="J93" s="263"/>
      <c r="K93" s="263"/>
      <c r="L93" s="263"/>
      <c r="M93" s="263"/>
      <c r="N93" s="263"/>
      <c r="O93" s="263"/>
      <c r="P93" s="263"/>
      <c r="Q93" s="263"/>
      <c r="R93" s="263"/>
      <c r="S93" s="263"/>
    </row>
    <row r="94" spans="1:19" ht="15">
      <c r="A94" s="263"/>
      <c r="B94" s="263"/>
      <c r="C94" s="263"/>
      <c r="D94" s="263"/>
      <c r="E94" s="263"/>
      <c r="F94" s="263"/>
      <c r="G94" s="263"/>
      <c r="H94" s="263"/>
      <c r="I94" s="263"/>
      <c r="J94" s="263"/>
      <c r="K94" s="263"/>
      <c r="L94" s="263"/>
      <c r="M94" s="263"/>
      <c r="N94" s="263"/>
      <c r="O94" s="263"/>
      <c r="P94" s="263"/>
      <c r="Q94" s="263"/>
      <c r="R94" s="263"/>
      <c r="S94" s="263"/>
    </row>
    <row r="95" spans="1:19" ht="15">
      <c r="A95" s="263"/>
      <c r="B95" s="263"/>
      <c r="C95" s="263"/>
      <c r="D95" s="263"/>
      <c r="E95" s="263"/>
      <c r="F95" s="263"/>
      <c r="G95" s="263"/>
      <c r="H95" s="263"/>
      <c r="I95" s="263"/>
      <c r="J95" s="263"/>
      <c r="K95" s="263"/>
      <c r="L95" s="263"/>
      <c r="M95" s="263"/>
      <c r="N95" s="263"/>
      <c r="O95" s="263"/>
      <c r="P95" s="263"/>
      <c r="Q95" s="263"/>
      <c r="R95" s="263"/>
      <c r="S95" s="263"/>
    </row>
    <row r="96" spans="1:19" ht="15">
      <c r="A96" s="263"/>
      <c r="B96" s="263"/>
      <c r="C96" s="263"/>
      <c r="D96" s="263"/>
      <c r="E96" s="263"/>
      <c r="F96" s="263"/>
      <c r="G96" s="263"/>
      <c r="H96" s="263"/>
      <c r="I96" s="263"/>
      <c r="J96" s="263"/>
      <c r="K96" s="263"/>
      <c r="L96" s="263"/>
      <c r="M96" s="263"/>
      <c r="N96" s="263"/>
      <c r="O96" s="263"/>
      <c r="P96" s="263"/>
      <c r="Q96" s="263"/>
      <c r="R96" s="263"/>
      <c r="S96" s="263"/>
    </row>
    <row r="97" spans="1:19" ht="15">
      <c r="A97" s="263"/>
      <c r="B97" s="263"/>
      <c r="C97" s="263"/>
      <c r="D97" s="263"/>
      <c r="E97" s="263"/>
      <c r="F97" s="263"/>
      <c r="G97" s="263"/>
      <c r="H97" s="263"/>
      <c r="I97" s="263"/>
      <c r="J97" s="263"/>
      <c r="K97" s="263"/>
      <c r="L97" s="263"/>
      <c r="M97" s="263"/>
      <c r="N97" s="263"/>
      <c r="O97" s="263"/>
      <c r="P97" s="263"/>
      <c r="Q97" s="263"/>
      <c r="R97" s="263"/>
      <c r="S97" s="263"/>
    </row>
    <row r="98" spans="1:19" ht="15">
      <c r="A98" s="263"/>
      <c r="B98" s="263"/>
      <c r="C98" s="263"/>
      <c r="D98" s="263"/>
      <c r="E98" s="263"/>
      <c r="F98" s="263"/>
      <c r="G98" s="263"/>
      <c r="H98" s="263"/>
      <c r="I98" s="263"/>
      <c r="J98" s="263"/>
      <c r="K98" s="263"/>
      <c r="L98" s="263"/>
      <c r="M98" s="263"/>
      <c r="N98" s="263"/>
      <c r="O98" s="263"/>
      <c r="P98" s="263"/>
      <c r="Q98" s="263"/>
      <c r="R98" s="263"/>
      <c r="S98" s="263"/>
    </row>
    <row r="99" spans="1:19" ht="15">
      <c r="A99" s="263"/>
      <c r="B99" s="263"/>
      <c r="C99" s="263"/>
      <c r="D99" s="263"/>
      <c r="E99" s="263"/>
      <c r="F99" s="263"/>
      <c r="G99" s="263"/>
      <c r="H99" s="263"/>
      <c r="I99" s="263"/>
      <c r="J99" s="263"/>
      <c r="K99" s="263"/>
      <c r="L99" s="263"/>
      <c r="M99" s="263"/>
      <c r="N99" s="263"/>
      <c r="O99" s="263"/>
      <c r="P99" s="263"/>
      <c r="Q99" s="263"/>
      <c r="R99" s="263"/>
      <c r="S99" s="263"/>
    </row>
    <row r="100" spans="1:19" ht="15">
      <c r="A100" s="263"/>
      <c r="B100" s="263"/>
      <c r="C100" s="263"/>
      <c r="D100" s="263"/>
      <c r="E100" s="263"/>
      <c r="F100" s="263"/>
      <c r="G100" s="263"/>
      <c r="H100" s="263"/>
      <c r="I100" s="263"/>
      <c r="J100" s="263"/>
      <c r="K100" s="263"/>
      <c r="L100" s="263"/>
      <c r="M100" s="263"/>
      <c r="N100" s="263"/>
      <c r="O100" s="263"/>
      <c r="P100" s="263"/>
      <c r="Q100" s="263"/>
      <c r="R100" s="263"/>
      <c r="S100" s="263"/>
    </row>
    <row r="101" spans="1:19" ht="15">
      <c r="A101" s="263"/>
      <c r="B101" s="263"/>
      <c r="C101" s="263"/>
      <c r="D101" s="263"/>
      <c r="E101" s="263"/>
      <c r="F101" s="263"/>
      <c r="G101" s="263"/>
      <c r="H101" s="263"/>
      <c r="I101" s="263"/>
      <c r="J101" s="263"/>
      <c r="K101" s="263"/>
      <c r="L101" s="263"/>
      <c r="M101" s="263"/>
      <c r="N101" s="263"/>
      <c r="O101" s="263"/>
      <c r="P101" s="263"/>
      <c r="Q101" s="263"/>
      <c r="R101" s="263"/>
      <c r="S101" s="263"/>
    </row>
    <row r="102" spans="1:19" ht="15">
      <c r="A102" s="263"/>
      <c r="B102" s="263"/>
      <c r="C102" s="263"/>
      <c r="D102" s="263"/>
      <c r="E102" s="263"/>
      <c r="F102" s="263"/>
      <c r="G102" s="263"/>
      <c r="H102" s="263"/>
      <c r="I102" s="263"/>
      <c r="J102" s="263"/>
      <c r="K102" s="263"/>
      <c r="L102" s="263"/>
      <c r="M102" s="263"/>
      <c r="N102" s="263"/>
      <c r="O102" s="263"/>
      <c r="P102" s="263"/>
      <c r="Q102" s="263"/>
      <c r="R102" s="263"/>
      <c r="S102" s="263"/>
    </row>
    <row r="103" spans="1:19" ht="15">
      <c r="A103" s="263"/>
      <c r="B103" s="263"/>
      <c r="C103" s="263"/>
      <c r="D103" s="263"/>
      <c r="E103" s="263"/>
      <c r="F103" s="263"/>
      <c r="G103" s="263"/>
      <c r="H103" s="263"/>
      <c r="I103" s="263"/>
      <c r="J103" s="263"/>
      <c r="K103" s="263"/>
      <c r="L103" s="263"/>
      <c r="M103" s="263"/>
      <c r="N103" s="263"/>
      <c r="O103" s="263"/>
      <c r="P103" s="263"/>
      <c r="Q103" s="263"/>
      <c r="R103" s="263"/>
      <c r="S103" s="263"/>
    </row>
    <row r="104" spans="1:19" ht="15">
      <c r="A104" s="263"/>
      <c r="B104" s="263"/>
      <c r="C104" s="263"/>
      <c r="D104" s="263"/>
      <c r="E104" s="263"/>
      <c r="F104" s="263"/>
      <c r="G104" s="263"/>
      <c r="H104" s="263"/>
      <c r="I104" s="263"/>
      <c r="J104" s="263"/>
      <c r="K104" s="263"/>
      <c r="L104" s="263"/>
      <c r="M104" s="263"/>
      <c r="N104" s="263"/>
      <c r="O104" s="263"/>
      <c r="P104" s="263"/>
      <c r="Q104" s="263"/>
      <c r="R104" s="263"/>
      <c r="S104" s="263"/>
    </row>
    <row r="105" spans="1:19" ht="15">
      <c r="A105" s="263"/>
      <c r="B105" s="263"/>
      <c r="C105" s="263"/>
      <c r="D105" s="263"/>
      <c r="E105" s="263"/>
      <c r="F105" s="263"/>
      <c r="G105" s="263"/>
      <c r="H105" s="263"/>
      <c r="I105" s="263"/>
      <c r="J105" s="263"/>
      <c r="K105" s="263"/>
      <c r="L105" s="263"/>
      <c r="M105" s="263"/>
      <c r="N105" s="263"/>
      <c r="O105" s="263"/>
      <c r="P105" s="263"/>
      <c r="Q105" s="263"/>
      <c r="R105" s="263"/>
      <c r="S105" s="263"/>
    </row>
    <row r="106" spans="1:19" ht="15">
      <c r="A106" s="263"/>
      <c r="B106" s="263"/>
      <c r="C106" s="263"/>
      <c r="D106" s="263"/>
      <c r="E106" s="263"/>
      <c r="F106" s="263"/>
      <c r="G106" s="263"/>
      <c r="H106" s="263"/>
      <c r="I106" s="263"/>
      <c r="J106" s="263"/>
      <c r="K106" s="263"/>
      <c r="L106" s="263"/>
      <c r="M106" s="263"/>
      <c r="N106" s="263"/>
      <c r="O106" s="263"/>
      <c r="P106" s="263"/>
      <c r="Q106" s="263"/>
      <c r="R106" s="263"/>
      <c r="S106" s="263"/>
    </row>
    <row r="107" spans="1:19" ht="15">
      <c r="A107" s="263"/>
      <c r="B107" s="263"/>
      <c r="C107" s="263"/>
      <c r="D107" s="263"/>
      <c r="E107" s="263"/>
      <c r="F107" s="263"/>
      <c r="G107" s="263"/>
      <c r="H107" s="263"/>
      <c r="I107" s="263"/>
      <c r="J107" s="263"/>
      <c r="K107" s="263"/>
      <c r="L107" s="263"/>
      <c r="M107" s="263"/>
      <c r="N107" s="263"/>
      <c r="O107" s="263"/>
      <c r="P107" s="263"/>
      <c r="Q107" s="263"/>
      <c r="R107" s="263"/>
      <c r="S107" s="263"/>
    </row>
    <row r="108" spans="1:19" ht="15">
      <c r="A108" s="263"/>
      <c r="B108" s="263"/>
      <c r="C108" s="263"/>
      <c r="D108" s="263"/>
      <c r="E108" s="263"/>
      <c r="F108" s="263"/>
      <c r="G108" s="263"/>
      <c r="H108" s="263"/>
      <c r="I108" s="263"/>
      <c r="J108" s="263"/>
      <c r="K108" s="263"/>
      <c r="L108" s="263"/>
      <c r="M108" s="263"/>
      <c r="N108" s="263"/>
      <c r="O108" s="263"/>
      <c r="P108" s="263"/>
      <c r="Q108" s="263"/>
      <c r="R108" s="263"/>
      <c r="S108" s="263"/>
    </row>
    <row r="109" spans="1:19" ht="15">
      <c r="A109" s="263"/>
      <c r="B109" s="263"/>
      <c r="C109" s="263"/>
      <c r="D109" s="263"/>
      <c r="E109" s="263"/>
      <c r="F109" s="263"/>
      <c r="G109" s="263"/>
      <c r="H109" s="263"/>
      <c r="I109" s="263"/>
      <c r="J109" s="263"/>
      <c r="K109" s="263"/>
      <c r="L109" s="263"/>
      <c r="M109" s="263"/>
      <c r="N109" s="263"/>
      <c r="O109" s="263"/>
      <c r="P109" s="263"/>
      <c r="Q109" s="263"/>
      <c r="R109" s="263"/>
      <c r="S109" s="263"/>
    </row>
    <row r="110" spans="1:19" ht="15">
      <c r="A110" s="263"/>
      <c r="B110" s="263"/>
      <c r="C110" s="263"/>
      <c r="D110" s="263"/>
      <c r="E110" s="263"/>
      <c r="F110" s="263"/>
      <c r="G110" s="263"/>
      <c r="H110" s="263"/>
      <c r="I110" s="263"/>
      <c r="J110" s="263"/>
      <c r="K110" s="263"/>
      <c r="L110" s="263"/>
      <c r="M110" s="263"/>
      <c r="N110" s="263"/>
      <c r="O110" s="263"/>
      <c r="P110" s="263"/>
      <c r="Q110" s="263"/>
      <c r="R110" s="263"/>
      <c r="S110" s="263"/>
    </row>
    <row r="111" spans="1:19" ht="15">
      <c r="A111" s="263"/>
      <c r="B111" s="263"/>
      <c r="C111" s="263"/>
      <c r="D111" s="263"/>
      <c r="E111" s="263"/>
      <c r="F111" s="263"/>
      <c r="G111" s="263"/>
      <c r="H111" s="263"/>
      <c r="I111" s="263"/>
      <c r="J111" s="263"/>
      <c r="K111" s="263"/>
      <c r="L111" s="263"/>
      <c r="M111" s="263"/>
      <c r="N111" s="263"/>
      <c r="O111" s="263"/>
      <c r="P111" s="263"/>
      <c r="Q111" s="263"/>
      <c r="R111" s="263"/>
      <c r="S111" s="263"/>
    </row>
    <row r="112" spans="1:19" ht="15">
      <c r="A112" s="263"/>
      <c r="B112" s="263"/>
      <c r="C112" s="263"/>
      <c r="D112" s="263"/>
      <c r="E112" s="263"/>
      <c r="F112" s="263"/>
      <c r="G112" s="263"/>
      <c r="H112" s="263"/>
      <c r="I112" s="263"/>
      <c r="J112" s="263"/>
      <c r="K112" s="263"/>
      <c r="L112" s="263"/>
      <c r="M112" s="263"/>
      <c r="N112" s="263"/>
      <c r="O112" s="263"/>
      <c r="P112" s="263"/>
      <c r="Q112" s="263"/>
      <c r="R112" s="263"/>
      <c r="S112" s="263"/>
    </row>
    <row r="113" spans="1:19" ht="15">
      <c r="A113" s="263"/>
      <c r="B113" s="263"/>
      <c r="C113" s="263"/>
      <c r="D113" s="263"/>
      <c r="E113" s="263"/>
      <c r="F113" s="263"/>
      <c r="G113" s="263"/>
      <c r="H113" s="263"/>
      <c r="I113" s="263"/>
      <c r="J113" s="263"/>
      <c r="K113" s="263"/>
      <c r="L113" s="263"/>
      <c r="M113" s="263"/>
      <c r="N113" s="263"/>
      <c r="O113" s="263"/>
      <c r="P113" s="263"/>
      <c r="Q113" s="263"/>
      <c r="R113" s="263"/>
      <c r="S113" s="263"/>
    </row>
    <row r="114" spans="1:19" ht="15">
      <c r="A114" s="263"/>
      <c r="B114" s="263"/>
      <c r="C114" s="263"/>
      <c r="D114" s="263"/>
      <c r="E114" s="263"/>
      <c r="F114" s="263"/>
      <c r="G114" s="263"/>
      <c r="H114" s="263"/>
      <c r="I114" s="263"/>
      <c r="J114" s="263"/>
      <c r="K114" s="263"/>
      <c r="L114" s="263"/>
      <c r="M114" s="263"/>
      <c r="N114" s="263"/>
      <c r="O114" s="263"/>
      <c r="P114" s="263"/>
      <c r="Q114" s="263"/>
      <c r="R114" s="263"/>
      <c r="S114" s="263"/>
    </row>
    <row r="115" spans="1:19" ht="15">
      <c r="A115" s="263"/>
      <c r="B115" s="263"/>
      <c r="C115" s="263"/>
      <c r="D115" s="263"/>
      <c r="E115" s="263"/>
      <c r="F115" s="263"/>
      <c r="G115" s="263"/>
      <c r="H115" s="263"/>
      <c r="I115" s="263"/>
      <c r="J115" s="263"/>
      <c r="K115" s="263"/>
      <c r="L115" s="263"/>
      <c r="M115" s="263"/>
      <c r="N115" s="263"/>
      <c r="O115" s="263"/>
      <c r="P115" s="263"/>
      <c r="Q115" s="263"/>
      <c r="R115" s="263"/>
      <c r="S115" s="263"/>
    </row>
    <row r="116" spans="1:19" ht="15">
      <c r="A116" s="263"/>
      <c r="B116" s="263"/>
      <c r="C116" s="263"/>
      <c r="D116" s="263"/>
      <c r="E116" s="263"/>
      <c r="F116" s="263"/>
      <c r="G116" s="263"/>
      <c r="H116" s="263"/>
      <c r="I116" s="263"/>
      <c r="J116" s="263"/>
      <c r="K116" s="263"/>
      <c r="L116" s="263"/>
      <c r="M116" s="263"/>
      <c r="N116" s="263"/>
      <c r="O116" s="263"/>
      <c r="P116" s="263"/>
      <c r="Q116" s="263"/>
      <c r="R116" s="263"/>
      <c r="S116" s="263"/>
    </row>
    <row r="117" spans="1:19" ht="15">
      <c r="A117" s="263"/>
      <c r="B117" s="263"/>
      <c r="C117" s="263"/>
      <c r="D117" s="263"/>
      <c r="E117" s="263"/>
      <c r="F117" s="263"/>
      <c r="G117" s="263"/>
      <c r="H117" s="263"/>
      <c r="I117" s="263"/>
      <c r="J117" s="263"/>
      <c r="K117" s="263"/>
      <c r="L117" s="263"/>
      <c r="M117" s="263"/>
      <c r="N117" s="263"/>
      <c r="O117" s="263"/>
      <c r="P117" s="263"/>
      <c r="Q117" s="263"/>
      <c r="R117" s="263"/>
      <c r="S117" s="263"/>
    </row>
    <row r="118" spans="1:19" ht="15">
      <c r="A118" s="263"/>
      <c r="B118" s="263"/>
      <c r="C118" s="263"/>
      <c r="D118" s="263"/>
      <c r="E118" s="263"/>
      <c r="F118" s="263"/>
      <c r="G118" s="263"/>
      <c r="H118" s="263"/>
      <c r="I118" s="263"/>
      <c r="J118" s="263"/>
      <c r="K118" s="263"/>
      <c r="L118" s="263"/>
      <c r="M118" s="263"/>
      <c r="N118" s="263"/>
      <c r="O118" s="263"/>
      <c r="P118" s="263"/>
      <c r="Q118" s="263"/>
      <c r="R118" s="263"/>
      <c r="S118" s="263"/>
    </row>
    <row r="119" spans="1:19" ht="15">
      <c r="A119" s="263"/>
      <c r="B119" s="263"/>
      <c r="C119" s="263"/>
      <c r="D119" s="263"/>
      <c r="E119" s="263"/>
      <c r="F119" s="263"/>
      <c r="G119" s="263"/>
      <c r="H119" s="263"/>
      <c r="I119" s="263"/>
      <c r="J119" s="263"/>
      <c r="K119" s="263"/>
      <c r="L119" s="263"/>
      <c r="M119" s="263"/>
      <c r="N119" s="263"/>
      <c r="O119" s="263"/>
      <c r="P119" s="263"/>
      <c r="Q119" s="263"/>
      <c r="R119" s="263"/>
      <c r="S119" s="263"/>
    </row>
    <row r="120" spans="1:19" ht="15">
      <c r="A120" s="263"/>
      <c r="B120" s="263"/>
      <c r="C120" s="263"/>
      <c r="D120" s="263"/>
      <c r="E120" s="263"/>
      <c r="F120" s="263"/>
      <c r="G120" s="263"/>
      <c r="H120" s="263"/>
      <c r="I120" s="263"/>
      <c r="J120" s="263"/>
      <c r="K120" s="263"/>
      <c r="L120" s="263"/>
      <c r="M120" s="263"/>
      <c r="N120" s="263"/>
      <c r="O120" s="263"/>
      <c r="P120" s="263"/>
      <c r="Q120" s="263"/>
      <c r="R120" s="263"/>
      <c r="S120" s="263"/>
    </row>
    <row r="121" spans="1:19" ht="15">
      <c r="A121" s="263"/>
      <c r="B121" s="263"/>
      <c r="C121" s="263"/>
      <c r="D121" s="263"/>
      <c r="E121" s="263"/>
      <c r="F121" s="263"/>
      <c r="G121" s="263"/>
      <c r="H121" s="263"/>
      <c r="I121" s="263"/>
      <c r="J121" s="263"/>
      <c r="K121" s="263"/>
      <c r="L121" s="263"/>
      <c r="M121" s="263"/>
      <c r="N121" s="263"/>
      <c r="O121" s="263"/>
      <c r="P121" s="263"/>
      <c r="Q121" s="263"/>
      <c r="R121" s="263"/>
      <c r="S121" s="263"/>
    </row>
    <row r="122" spans="1:19" ht="15">
      <c r="A122" s="263"/>
      <c r="B122" s="263"/>
      <c r="C122" s="263"/>
      <c r="D122" s="263"/>
      <c r="E122" s="263"/>
      <c r="F122" s="263"/>
      <c r="G122" s="263"/>
      <c r="H122" s="263"/>
      <c r="I122" s="263"/>
      <c r="J122" s="263"/>
      <c r="K122" s="263"/>
      <c r="L122" s="263"/>
      <c r="M122" s="263"/>
      <c r="N122" s="263"/>
      <c r="O122" s="263"/>
      <c r="P122" s="263"/>
      <c r="Q122" s="263"/>
      <c r="R122" s="263"/>
      <c r="S122" s="263"/>
    </row>
    <row r="123" spans="1:19" ht="15">
      <c r="A123" s="263"/>
      <c r="B123" s="263"/>
      <c r="C123" s="263"/>
      <c r="D123" s="263"/>
      <c r="E123" s="263"/>
      <c r="F123" s="263"/>
      <c r="G123" s="263"/>
      <c r="H123" s="263"/>
      <c r="I123" s="263"/>
      <c r="J123" s="263"/>
      <c r="K123" s="263"/>
      <c r="L123" s="263"/>
      <c r="M123" s="263"/>
      <c r="N123" s="263"/>
      <c r="O123" s="263"/>
      <c r="P123" s="263"/>
      <c r="Q123" s="263"/>
      <c r="R123" s="263"/>
      <c r="S123" s="263"/>
    </row>
    <row r="124" spans="1:19" ht="15">
      <c r="A124" s="263"/>
      <c r="B124" s="263"/>
      <c r="C124" s="263"/>
      <c r="D124" s="263"/>
      <c r="E124" s="263"/>
      <c r="F124" s="263"/>
      <c r="G124" s="263"/>
      <c r="H124" s="263"/>
      <c r="I124" s="263"/>
      <c r="J124" s="263"/>
      <c r="K124" s="263"/>
      <c r="L124" s="263"/>
      <c r="M124" s="263"/>
      <c r="N124" s="263"/>
      <c r="O124" s="263"/>
      <c r="P124" s="263"/>
      <c r="Q124" s="263"/>
      <c r="R124" s="263"/>
      <c r="S124" s="263"/>
    </row>
    <row r="125" spans="1:19" ht="15">
      <c r="A125" s="263"/>
      <c r="B125" s="263"/>
      <c r="C125" s="263"/>
      <c r="D125" s="263"/>
      <c r="E125" s="263"/>
      <c r="F125" s="263"/>
      <c r="G125" s="263"/>
      <c r="H125" s="263"/>
      <c r="I125" s="263"/>
      <c r="J125" s="263"/>
      <c r="K125" s="263"/>
      <c r="L125" s="263"/>
      <c r="M125" s="263"/>
      <c r="N125" s="263"/>
      <c r="O125" s="263"/>
      <c r="P125" s="263"/>
      <c r="Q125" s="263"/>
      <c r="R125" s="263"/>
      <c r="S125" s="263"/>
    </row>
    <row r="126" spans="1:19" ht="15">
      <c r="A126" s="263"/>
      <c r="B126" s="263"/>
      <c r="C126" s="263"/>
      <c r="D126" s="263"/>
      <c r="E126" s="263"/>
      <c r="F126" s="263"/>
      <c r="G126" s="263"/>
      <c r="H126" s="263"/>
      <c r="I126" s="263"/>
      <c r="J126" s="263"/>
      <c r="K126" s="263"/>
      <c r="L126" s="263"/>
      <c r="M126" s="263"/>
      <c r="N126" s="263"/>
      <c r="O126" s="263"/>
      <c r="P126" s="263"/>
      <c r="Q126" s="263"/>
      <c r="R126" s="263"/>
      <c r="S126" s="263"/>
    </row>
    <row r="127" spans="1:19" ht="15">
      <c r="A127" s="263"/>
      <c r="B127" s="263"/>
      <c r="C127" s="263"/>
      <c r="D127" s="263"/>
      <c r="E127" s="263"/>
      <c r="F127" s="263"/>
      <c r="G127" s="263"/>
      <c r="H127" s="263"/>
      <c r="I127" s="263"/>
      <c r="J127" s="263"/>
      <c r="K127" s="263"/>
      <c r="L127" s="263"/>
      <c r="M127" s="263"/>
      <c r="N127" s="263"/>
      <c r="O127" s="263"/>
      <c r="P127" s="263"/>
      <c r="Q127" s="263"/>
      <c r="R127" s="263"/>
      <c r="S127" s="263"/>
    </row>
    <row r="128" spans="1:19" ht="15">
      <c r="A128" s="263"/>
      <c r="B128" s="263"/>
      <c r="C128" s="263"/>
      <c r="D128" s="263"/>
      <c r="E128" s="263"/>
      <c r="F128" s="263"/>
      <c r="G128" s="263"/>
      <c r="H128" s="263"/>
      <c r="I128" s="263"/>
      <c r="J128" s="263"/>
      <c r="K128" s="263"/>
      <c r="L128" s="263"/>
      <c r="M128" s="263"/>
      <c r="N128" s="263"/>
      <c r="O128" s="263"/>
      <c r="P128" s="263"/>
      <c r="Q128" s="263"/>
      <c r="R128" s="263"/>
      <c r="S128" s="263"/>
    </row>
    <row r="129" spans="1:19" ht="15">
      <c r="A129" s="263"/>
      <c r="B129" s="263"/>
      <c r="C129" s="263"/>
      <c r="D129" s="263"/>
      <c r="E129" s="263"/>
      <c r="F129" s="263"/>
      <c r="G129" s="263"/>
      <c r="H129" s="263"/>
      <c r="I129" s="263"/>
      <c r="J129" s="263"/>
      <c r="K129" s="263"/>
      <c r="L129" s="263"/>
      <c r="M129" s="263"/>
      <c r="N129" s="263"/>
      <c r="O129" s="263"/>
      <c r="P129" s="263"/>
      <c r="Q129" s="263"/>
      <c r="R129" s="263"/>
      <c r="S129" s="263"/>
    </row>
    <row r="130" spans="1:19" ht="15">
      <c r="A130" s="263"/>
      <c r="B130" s="263"/>
      <c r="C130" s="263"/>
      <c r="D130" s="263"/>
      <c r="E130" s="263"/>
      <c r="F130" s="263"/>
      <c r="G130" s="263"/>
      <c r="H130" s="263"/>
      <c r="I130" s="263"/>
      <c r="J130" s="263"/>
      <c r="K130" s="263"/>
      <c r="L130" s="263"/>
      <c r="M130" s="263"/>
      <c r="N130" s="263"/>
      <c r="O130" s="263"/>
      <c r="P130" s="263"/>
      <c r="Q130" s="263"/>
      <c r="R130" s="263"/>
      <c r="S130" s="263"/>
    </row>
    <row r="131" spans="1:19" ht="15">
      <c r="A131" s="263"/>
      <c r="B131" s="263"/>
      <c r="C131" s="263"/>
      <c r="D131" s="263"/>
      <c r="E131" s="263"/>
      <c r="F131" s="263"/>
      <c r="G131" s="263"/>
      <c r="H131" s="263"/>
      <c r="I131" s="263"/>
      <c r="J131" s="263"/>
      <c r="K131" s="263"/>
      <c r="L131" s="263"/>
      <c r="M131" s="263"/>
      <c r="N131" s="263"/>
      <c r="O131" s="263"/>
      <c r="P131" s="263"/>
      <c r="Q131" s="263"/>
      <c r="R131" s="263"/>
      <c r="S131" s="263"/>
    </row>
    <row r="132" spans="1:19" ht="15">
      <c r="A132" s="263"/>
      <c r="B132" s="263"/>
      <c r="C132" s="263"/>
      <c r="D132" s="263"/>
      <c r="E132" s="263"/>
      <c r="F132" s="263"/>
      <c r="G132" s="263"/>
      <c r="H132" s="263"/>
      <c r="I132" s="263"/>
      <c r="J132" s="263"/>
      <c r="K132" s="263"/>
      <c r="L132" s="263"/>
      <c r="M132" s="263"/>
      <c r="N132" s="263"/>
      <c r="O132" s="263"/>
      <c r="P132" s="263"/>
      <c r="Q132" s="263"/>
      <c r="R132" s="263"/>
      <c r="S132" s="263"/>
    </row>
    <row r="133" spans="1:19" ht="15">
      <c r="A133" s="263"/>
      <c r="B133" s="263"/>
      <c r="C133" s="263"/>
      <c r="D133" s="263"/>
      <c r="E133" s="263"/>
      <c r="F133" s="263"/>
      <c r="G133" s="263"/>
      <c r="H133" s="263"/>
      <c r="I133" s="263"/>
      <c r="J133" s="263"/>
      <c r="K133" s="263"/>
      <c r="L133" s="263"/>
      <c r="M133" s="263"/>
      <c r="N133" s="263"/>
      <c r="O133" s="263"/>
      <c r="P133" s="263"/>
      <c r="Q133" s="263"/>
      <c r="R133" s="263"/>
      <c r="S133" s="263"/>
    </row>
    <row r="134" spans="1:19" ht="15">
      <c r="A134" s="263"/>
      <c r="B134" s="263"/>
      <c r="C134" s="263"/>
      <c r="D134" s="263"/>
      <c r="E134" s="263"/>
      <c r="F134" s="263"/>
      <c r="G134" s="263"/>
      <c r="H134" s="263"/>
      <c r="I134" s="263"/>
      <c r="J134" s="263"/>
      <c r="K134" s="263"/>
      <c r="L134" s="263"/>
      <c r="M134" s="263"/>
      <c r="N134" s="263"/>
      <c r="O134" s="263"/>
      <c r="P134" s="263"/>
      <c r="Q134" s="263"/>
      <c r="R134" s="263"/>
      <c r="S134" s="263"/>
    </row>
    <row r="135" spans="1:19" ht="15">
      <c r="A135" s="263"/>
      <c r="B135" s="263"/>
      <c r="C135" s="263"/>
      <c r="D135" s="263"/>
      <c r="E135" s="263"/>
      <c r="F135" s="263"/>
      <c r="G135" s="263"/>
      <c r="H135" s="263"/>
      <c r="I135" s="263"/>
      <c r="J135" s="263"/>
      <c r="K135" s="263"/>
      <c r="L135" s="263"/>
      <c r="M135" s="263"/>
      <c r="N135" s="263"/>
      <c r="O135" s="263"/>
      <c r="P135" s="263"/>
      <c r="Q135" s="263"/>
      <c r="R135" s="263"/>
      <c r="S135" s="263"/>
    </row>
    <row r="136" spans="1:19" ht="15">
      <c r="A136" s="263"/>
      <c r="B136" s="263"/>
      <c r="C136" s="263"/>
      <c r="D136" s="263"/>
      <c r="E136" s="263"/>
      <c r="F136" s="263"/>
      <c r="G136" s="263"/>
      <c r="H136" s="263"/>
      <c r="I136" s="263"/>
      <c r="J136" s="263"/>
      <c r="K136" s="263"/>
      <c r="L136" s="263"/>
      <c r="M136" s="263"/>
      <c r="N136" s="263"/>
      <c r="O136" s="263"/>
      <c r="P136" s="263"/>
      <c r="Q136" s="263"/>
      <c r="R136" s="263"/>
      <c r="S136" s="263"/>
    </row>
    <row r="137" spans="1:19" ht="15">
      <c r="A137" s="263"/>
      <c r="B137" s="263"/>
      <c r="C137" s="263"/>
      <c r="D137" s="263"/>
      <c r="E137" s="263"/>
      <c r="F137" s="263"/>
      <c r="G137" s="263"/>
      <c r="H137" s="263"/>
      <c r="I137" s="263"/>
      <c r="J137" s="263"/>
      <c r="K137" s="263"/>
      <c r="L137" s="263"/>
      <c r="M137" s="263"/>
      <c r="N137" s="263"/>
      <c r="O137" s="263"/>
      <c r="P137" s="263"/>
      <c r="Q137" s="263"/>
      <c r="R137" s="263"/>
      <c r="S137" s="263"/>
    </row>
    <row r="138" spans="1:19" ht="15">
      <c r="A138" s="263"/>
      <c r="B138" s="263"/>
      <c r="C138" s="263"/>
      <c r="D138" s="263"/>
      <c r="E138" s="263"/>
      <c r="F138" s="263"/>
      <c r="G138" s="263"/>
      <c r="H138" s="263"/>
      <c r="I138" s="263"/>
      <c r="J138" s="263"/>
      <c r="K138" s="263"/>
      <c r="L138" s="263"/>
      <c r="M138" s="263"/>
      <c r="N138" s="263"/>
      <c r="O138" s="263"/>
      <c r="P138" s="263"/>
      <c r="Q138" s="263"/>
      <c r="R138" s="263"/>
      <c r="S138" s="263"/>
    </row>
    <row r="139" spans="1:19" ht="15">
      <c r="A139" s="263"/>
      <c r="B139" s="263"/>
      <c r="C139" s="263"/>
      <c r="D139" s="263"/>
      <c r="E139" s="263"/>
      <c r="F139" s="263"/>
      <c r="G139" s="263"/>
      <c r="H139" s="263"/>
      <c r="I139" s="263"/>
      <c r="J139" s="263"/>
      <c r="K139" s="263"/>
      <c r="L139" s="263"/>
      <c r="M139" s="263"/>
      <c r="N139" s="263"/>
      <c r="O139" s="263"/>
      <c r="P139" s="263"/>
      <c r="Q139" s="263"/>
      <c r="R139" s="263"/>
      <c r="S139" s="263"/>
    </row>
    <row r="140" spans="1:19" ht="15">
      <c r="A140" s="263"/>
      <c r="B140" s="263"/>
      <c r="C140" s="263"/>
      <c r="D140" s="263"/>
      <c r="E140" s="263"/>
      <c r="F140" s="263"/>
      <c r="G140" s="263"/>
      <c r="H140" s="263"/>
      <c r="I140" s="263"/>
      <c r="J140" s="263"/>
      <c r="K140" s="263"/>
      <c r="L140" s="263"/>
      <c r="M140" s="263"/>
      <c r="N140" s="263"/>
      <c r="O140" s="263"/>
      <c r="P140" s="263"/>
      <c r="Q140" s="263"/>
      <c r="R140" s="263"/>
      <c r="S140" s="263"/>
    </row>
    <row r="141" spans="1:19" ht="15">
      <c r="A141" s="263"/>
      <c r="B141" s="263"/>
      <c r="C141" s="263"/>
      <c r="D141" s="263"/>
      <c r="E141" s="263"/>
      <c r="F141" s="263"/>
      <c r="G141" s="263"/>
      <c r="H141" s="263"/>
      <c r="I141" s="263"/>
      <c r="J141" s="263"/>
      <c r="K141" s="263"/>
      <c r="L141" s="263"/>
      <c r="M141" s="263"/>
      <c r="N141" s="263"/>
      <c r="O141" s="263"/>
      <c r="P141" s="263"/>
      <c r="Q141" s="263"/>
      <c r="R141" s="263"/>
      <c r="S141" s="263"/>
    </row>
    <row r="142" spans="1:19" ht="15">
      <c r="A142" s="263"/>
      <c r="B142" s="263"/>
      <c r="C142" s="263"/>
      <c r="D142" s="263"/>
      <c r="E142" s="263"/>
      <c r="F142" s="263"/>
      <c r="G142" s="263"/>
      <c r="H142" s="263"/>
      <c r="I142" s="263"/>
      <c r="J142" s="263"/>
      <c r="K142" s="263"/>
      <c r="L142" s="263"/>
      <c r="M142" s="263"/>
      <c r="N142" s="263"/>
      <c r="O142" s="263"/>
      <c r="P142" s="263"/>
      <c r="Q142" s="263"/>
      <c r="R142" s="263"/>
      <c r="S142" s="263"/>
    </row>
    <row r="143" spans="1:19" ht="15">
      <c r="A143" s="263"/>
      <c r="B143" s="263"/>
      <c r="C143" s="263"/>
      <c r="D143" s="263"/>
      <c r="E143" s="263"/>
      <c r="F143" s="263"/>
      <c r="G143" s="263"/>
      <c r="H143" s="263"/>
      <c r="I143" s="263"/>
      <c r="J143" s="263"/>
      <c r="K143" s="263"/>
      <c r="L143" s="263"/>
      <c r="M143" s="263"/>
      <c r="N143" s="263"/>
      <c r="O143" s="263"/>
      <c r="P143" s="263"/>
      <c r="Q143" s="263"/>
      <c r="R143" s="263"/>
      <c r="S143" s="263"/>
    </row>
    <row r="144" spans="1:19" ht="15">
      <c r="A144" s="263"/>
      <c r="B144" s="263"/>
      <c r="C144" s="263"/>
      <c r="D144" s="263"/>
      <c r="E144" s="263"/>
      <c r="F144" s="263"/>
      <c r="G144" s="263"/>
      <c r="H144" s="263"/>
      <c r="I144" s="263"/>
      <c r="J144" s="263"/>
      <c r="K144" s="263"/>
      <c r="L144" s="263"/>
      <c r="M144" s="263"/>
      <c r="N144" s="263"/>
      <c r="O144" s="263"/>
      <c r="P144" s="263"/>
      <c r="Q144" s="263"/>
      <c r="R144" s="263"/>
      <c r="S144" s="263"/>
    </row>
  </sheetData>
  <sheetProtection password="D950" sheet="1" scenarios="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H2:H4"/>
    <mergeCell ref="C2:C4"/>
    <mergeCell ref="D2:D4"/>
    <mergeCell ref="E2:E4"/>
    <mergeCell ref="F2:F4"/>
    <mergeCell ref="G2:G4"/>
    <mergeCell ref="I2:I4"/>
    <mergeCell ref="J2:J4"/>
    <mergeCell ref="K2:K4"/>
    <mergeCell ref="L2:L4"/>
    <mergeCell ref="M2:M4"/>
  </mergeCells>
  <phoneticPr fontId="0" type="noConversion"/>
  <printOptions horizontalCentered="1" verticalCentered="1" gridLines="1"/>
  <pageMargins left="0.5" right="0.5" top="0.7" bottom="0.5" header="0" footer="0.5"/>
  <pageSetup scale="69" orientation="portrait" r:id="rId2"/>
  <headerFooter alignWithMargins="0">
    <oddHeader xml:space="preserve">&amp;C&amp;"Arial,Bold"&amp;14TOWN OF BROADUS
COMBINING BALANCE SHEET
NONMAJOR CAPITAL PROJECTS FUNDS
JUNE 30, 2017
</oddHeader>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17"/>
  <sheetViews>
    <sheetView zoomScaleNormal="100" workbookViewId="0">
      <pane xSplit="2" ySplit="9" topLeftCell="C10" activePane="bottomRight" state="frozen"/>
      <selection pane="topRight" activeCell="C1" sqref="C1"/>
      <selection pane="bottomLeft" activeCell="A10" sqref="A10"/>
      <selection pane="bottomRight" activeCell="G1" sqref="G1:AT1048576"/>
    </sheetView>
  </sheetViews>
  <sheetFormatPr defaultColWidth="8.85546875" defaultRowHeight="12.75"/>
  <cols>
    <col min="1" max="1" width="14.5703125" style="261" customWidth="1"/>
    <col min="2" max="2" width="45.7109375" style="261" customWidth="1"/>
    <col min="3" max="6" width="16.7109375" style="261" customWidth="1"/>
    <col min="7" max="46" width="17.28515625" style="261" hidden="1" customWidth="1"/>
    <col min="47" max="50" width="17.28515625" style="261" customWidth="1"/>
    <col min="51" max="16384" width="8.85546875" style="261"/>
  </cols>
  <sheetData>
    <row r="1" spans="1:50" ht="15.75">
      <c r="A1" s="308"/>
      <c r="B1" s="308"/>
      <c r="C1" s="691" t="str">
        <f>'BS-NONMAJOR CAP. PROJ.(71-72)'!C1</f>
        <v>FUND#4002</v>
      </c>
      <c r="D1" s="691"/>
      <c r="E1" s="691"/>
      <c r="F1" s="691"/>
      <c r="G1" s="691" t="str">
        <f>'BS-NONMAJOR CAP. PROJ.(71-72)'!D1</f>
        <v>FUND#</v>
      </c>
      <c r="H1" s="691"/>
      <c r="I1" s="691"/>
      <c r="J1" s="691"/>
      <c r="K1" s="691" t="str">
        <f>'BS-NONMAJOR CAP. PROJ.(71-72)'!E1</f>
        <v>FUND#</v>
      </c>
      <c r="L1" s="691"/>
      <c r="M1" s="691"/>
      <c r="N1" s="691"/>
      <c r="O1" s="691" t="str">
        <f>'BS-NONMAJOR CAP. PROJ.(71-72)'!F1</f>
        <v>FUND#</v>
      </c>
      <c r="P1" s="691"/>
      <c r="Q1" s="691"/>
      <c r="R1" s="691"/>
      <c r="S1" s="691" t="str">
        <f>'BS-NONMAJOR CAP. PROJ.(71-72)'!G1</f>
        <v>FUND#</v>
      </c>
      <c r="T1" s="691"/>
      <c r="U1" s="691"/>
      <c r="V1" s="691"/>
      <c r="W1" s="691" t="str">
        <f>'BS-NONMAJOR CAP. PROJ.(71-72)'!H1</f>
        <v>FUND#</v>
      </c>
      <c r="X1" s="691"/>
      <c r="Y1" s="691"/>
      <c r="Z1" s="691"/>
      <c r="AA1" s="691" t="str">
        <f>'BS-NONMAJOR CAP. PROJ.(71-72)'!I1</f>
        <v>FUND#</v>
      </c>
      <c r="AB1" s="691"/>
      <c r="AC1" s="691"/>
      <c r="AD1" s="691"/>
      <c r="AE1" s="691" t="str">
        <f>'BS-NONMAJOR CAP. PROJ.(71-72)'!J1</f>
        <v>FUND#</v>
      </c>
      <c r="AF1" s="691"/>
      <c r="AG1" s="691"/>
      <c r="AH1" s="691"/>
      <c r="AI1" s="691" t="str">
        <f>'BS-NONMAJOR CAP. PROJ.(71-72)'!K1</f>
        <v>FUND#</v>
      </c>
      <c r="AJ1" s="691"/>
      <c r="AK1" s="691"/>
      <c r="AL1" s="691"/>
      <c r="AM1" s="691" t="str">
        <f>'BS-NONMAJOR CAP. PROJ.(71-72)'!L1</f>
        <v>FUND#</v>
      </c>
      <c r="AN1" s="691"/>
      <c r="AO1" s="691"/>
      <c r="AP1" s="691"/>
      <c r="AQ1" s="691" t="str">
        <f>'BS-NONMAJOR CAP. PROJ.(71-72)'!M1</f>
        <v>FUND#</v>
      </c>
      <c r="AR1" s="691"/>
      <c r="AS1" s="691"/>
      <c r="AT1" s="691"/>
      <c r="AU1" s="691" t="s">
        <v>126</v>
      </c>
      <c r="AV1" s="691"/>
      <c r="AW1" s="691"/>
      <c r="AX1" s="691"/>
    </row>
    <row r="2" spans="1:50" s="308" customFormat="1" ht="15.75">
      <c r="C2" s="1743" t="str">
        <f>'BS-NONMAJOR CAP. PROJ.(71-72)'!C2:C4</f>
        <v>CIP#2</v>
      </c>
      <c r="D2" s="1743"/>
      <c r="E2" s="1743"/>
      <c r="F2" s="1743"/>
      <c r="G2" s="1743" t="str">
        <f>'BS-NONMAJOR CAP. PROJ.(71-72)'!D2:D4</f>
        <v>NAME</v>
      </c>
      <c r="H2" s="1743"/>
      <c r="I2" s="1743"/>
      <c r="J2" s="1743"/>
      <c r="K2" s="1743" t="str">
        <f>'BS-NONMAJOR CAP. PROJ.(71-72)'!E2:E4</f>
        <v>NAME</v>
      </c>
      <c r="L2" s="1743"/>
      <c r="M2" s="1743"/>
      <c r="N2" s="1743"/>
      <c r="O2" s="1743" t="str">
        <f>'BS-NONMAJOR CAP. PROJ.(71-72)'!F2:F4</f>
        <v>NAME</v>
      </c>
      <c r="P2" s="1743"/>
      <c r="Q2" s="1743"/>
      <c r="R2" s="1743"/>
      <c r="S2" s="1743" t="str">
        <f>'BS-NONMAJOR CAP. PROJ.(71-72)'!G2:G4</f>
        <v>NAME</v>
      </c>
      <c r="T2" s="1743"/>
      <c r="U2" s="1743"/>
      <c r="V2" s="1743"/>
      <c r="W2" s="1743" t="str">
        <f>'BS-NONMAJOR CAP. PROJ.(71-72)'!H2:H4</f>
        <v>NAME</v>
      </c>
      <c r="X2" s="1743"/>
      <c r="Y2" s="1743"/>
      <c r="Z2" s="1743"/>
      <c r="AA2" s="1743" t="str">
        <f>'BS-NONMAJOR CAP. PROJ.(71-72)'!I2:I4</f>
        <v>NAME</v>
      </c>
      <c r="AB2" s="1743"/>
      <c r="AC2" s="1743"/>
      <c r="AD2" s="1743"/>
      <c r="AE2" s="1743" t="str">
        <f>'BS-NONMAJOR CAP. PROJ.(71-72)'!J2:J4</f>
        <v>NAME</v>
      </c>
      <c r="AF2" s="1743"/>
      <c r="AG2" s="1743"/>
      <c r="AH2" s="1743"/>
      <c r="AI2" s="1743" t="str">
        <f>'BS-NONMAJOR CAP. PROJ.(71-72)'!K2:K4</f>
        <v>NAME</v>
      </c>
      <c r="AJ2" s="1743"/>
      <c r="AK2" s="1743"/>
      <c r="AL2" s="1743"/>
      <c r="AM2" s="1743" t="str">
        <f>'BS-NONMAJOR CAP. PROJ.(71-72)'!L2:L4</f>
        <v>NAME</v>
      </c>
      <c r="AN2" s="1743"/>
      <c r="AO2" s="1743"/>
      <c r="AP2" s="1743"/>
      <c r="AQ2" s="1743" t="str">
        <f>'BS-NONMAJOR CAP. PROJ.(71-72)'!M2:M4</f>
        <v>NAME</v>
      </c>
      <c r="AR2" s="1743"/>
      <c r="AS2" s="1743"/>
      <c r="AT2" s="1743"/>
      <c r="AU2" s="431"/>
      <c r="AV2" s="431"/>
      <c r="AW2" s="431"/>
      <c r="AX2" s="431"/>
    </row>
    <row r="3" spans="1:50" s="308" customFormat="1" ht="15.75">
      <c r="A3" s="699"/>
      <c r="B3" s="699"/>
      <c r="C3" s="693"/>
      <c r="D3" s="694"/>
      <c r="E3" s="691"/>
      <c r="F3" s="781" t="s">
        <v>1001</v>
      </c>
      <c r="G3" s="693"/>
      <c r="H3" s="694"/>
      <c r="I3" s="691"/>
      <c r="J3" s="781" t="s">
        <v>1001</v>
      </c>
      <c r="K3" s="693"/>
      <c r="L3" s="694"/>
      <c r="M3" s="691"/>
      <c r="N3" s="781" t="s">
        <v>1001</v>
      </c>
      <c r="O3" s="693"/>
      <c r="P3" s="694"/>
      <c r="Q3" s="691"/>
      <c r="R3" s="781" t="s">
        <v>1001</v>
      </c>
      <c r="S3" s="693"/>
      <c r="T3" s="694"/>
      <c r="U3" s="691"/>
      <c r="V3" s="781" t="s">
        <v>1001</v>
      </c>
      <c r="W3" s="693"/>
      <c r="X3" s="694"/>
      <c r="Y3" s="691"/>
      <c r="Z3" s="781" t="s">
        <v>1001</v>
      </c>
      <c r="AA3" s="693"/>
      <c r="AB3" s="694"/>
      <c r="AC3" s="691"/>
      <c r="AD3" s="781" t="s">
        <v>1001</v>
      </c>
      <c r="AE3" s="693"/>
      <c r="AF3" s="694"/>
      <c r="AG3" s="691"/>
      <c r="AH3" s="781" t="s">
        <v>1001</v>
      </c>
      <c r="AI3" s="693"/>
      <c r="AJ3" s="694"/>
      <c r="AK3" s="691"/>
      <c r="AL3" s="781" t="s">
        <v>1001</v>
      </c>
      <c r="AM3" s="693"/>
      <c r="AN3" s="694"/>
      <c r="AO3" s="691"/>
      <c r="AP3" s="781" t="s">
        <v>1001</v>
      </c>
      <c r="AQ3" s="693"/>
      <c r="AR3" s="694"/>
      <c r="AS3" s="691"/>
      <c r="AT3" s="781" t="s">
        <v>1001</v>
      </c>
      <c r="AU3" s="693"/>
      <c r="AV3" s="694"/>
      <c r="AW3" s="691"/>
      <c r="AX3" s="781" t="s">
        <v>1001</v>
      </c>
    </row>
    <row r="4" spans="1:50" s="308" customFormat="1" ht="15.75">
      <c r="A4" s="412"/>
      <c r="B4" s="412"/>
      <c r="C4" s="430"/>
      <c r="D4" s="430"/>
      <c r="E4" s="430"/>
      <c r="F4" s="430" t="s">
        <v>1002</v>
      </c>
      <c r="G4" s="430"/>
      <c r="H4" s="430"/>
      <c r="I4" s="430"/>
      <c r="J4" s="430" t="s">
        <v>1002</v>
      </c>
      <c r="K4" s="430"/>
      <c r="L4" s="430"/>
      <c r="M4" s="430"/>
      <c r="N4" s="430" t="s">
        <v>1002</v>
      </c>
      <c r="O4" s="430"/>
      <c r="P4" s="430"/>
      <c r="Q4" s="430"/>
      <c r="R4" s="430" t="s">
        <v>1002</v>
      </c>
      <c r="S4" s="430"/>
      <c r="T4" s="430"/>
      <c r="U4" s="430"/>
      <c r="V4" s="430" t="s">
        <v>1002</v>
      </c>
      <c r="W4" s="430"/>
      <c r="X4" s="430"/>
      <c r="Y4" s="430"/>
      <c r="Z4" s="430" t="s">
        <v>1002</v>
      </c>
      <c r="AA4" s="430"/>
      <c r="AB4" s="430"/>
      <c r="AC4" s="430"/>
      <c r="AD4" s="430" t="s">
        <v>1002</v>
      </c>
      <c r="AE4" s="430"/>
      <c r="AF4" s="430"/>
      <c r="AG4" s="430"/>
      <c r="AH4" s="430" t="s">
        <v>1002</v>
      </c>
      <c r="AI4" s="430"/>
      <c r="AJ4" s="430"/>
      <c r="AK4" s="430"/>
      <c r="AL4" s="430" t="s">
        <v>1002</v>
      </c>
      <c r="AM4" s="430"/>
      <c r="AN4" s="430"/>
      <c r="AO4" s="430"/>
      <c r="AP4" s="430" t="s">
        <v>1002</v>
      </c>
      <c r="AQ4" s="430"/>
      <c r="AR4" s="430"/>
      <c r="AS4" s="430"/>
      <c r="AT4" s="430" t="s">
        <v>1002</v>
      </c>
      <c r="AU4" s="430"/>
      <c r="AV4" s="430"/>
      <c r="AW4" s="430"/>
      <c r="AX4" s="430" t="s">
        <v>1002</v>
      </c>
    </row>
    <row r="5" spans="1:50" s="308" customFormat="1" ht="16.5" thickBot="1">
      <c r="A5" s="411"/>
      <c r="B5" s="411"/>
      <c r="C5" s="695" t="s">
        <v>994</v>
      </c>
      <c r="D5" s="682"/>
      <c r="E5" s="430"/>
      <c r="F5" s="430" t="s">
        <v>1003</v>
      </c>
      <c r="G5" s="695" t="s">
        <v>994</v>
      </c>
      <c r="H5" s="682"/>
      <c r="I5" s="430"/>
      <c r="J5" s="430" t="s">
        <v>1003</v>
      </c>
      <c r="K5" s="695" t="s">
        <v>994</v>
      </c>
      <c r="L5" s="682"/>
      <c r="M5" s="430"/>
      <c r="N5" s="430" t="s">
        <v>1003</v>
      </c>
      <c r="O5" s="695" t="s">
        <v>994</v>
      </c>
      <c r="P5" s="682"/>
      <c r="Q5" s="430"/>
      <c r="R5" s="430" t="s">
        <v>1003</v>
      </c>
      <c r="S5" s="695" t="s">
        <v>994</v>
      </c>
      <c r="T5" s="682"/>
      <c r="U5" s="430"/>
      <c r="V5" s="430" t="s">
        <v>1003</v>
      </c>
      <c r="W5" s="695" t="s">
        <v>994</v>
      </c>
      <c r="X5" s="682"/>
      <c r="Y5" s="430"/>
      <c r="Z5" s="430" t="s">
        <v>1003</v>
      </c>
      <c r="AA5" s="695" t="s">
        <v>994</v>
      </c>
      <c r="AB5" s="682"/>
      <c r="AC5" s="430"/>
      <c r="AD5" s="430" t="s">
        <v>1003</v>
      </c>
      <c r="AE5" s="695" t="s">
        <v>994</v>
      </c>
      <c r="AF5" s="682"/>
      <c r="AG5" s="430"/>
      <c r="AH5" s="430" t="s">
        <v>1003</v>
      </c>
      <c r="AI5" s="695" t="s">
        <v>994</v>
      </c>
      <c r="AJ5" s="682"/>
      <c r="AK5" s="430"/>
      <c r="AL5" s="430" t="s">
        <v>1003</v>
      </c>
      <c r="AM5" s="695" t="s">
        <v>994</v>
      </c>
      <c r="AN5" s="682"/>
      <c r="AO5" s="430"/>
      <c r="AP5" s="430" t="s">
        <v>1003</v>
      </c>
      <c r="AQ5" s="695" t="s">
        <v>994</v>
      </c>
      <c r="AR5" s="682"/>
      <c r="AS5" s="430"/>
      <c r="AT5" s="430" t="s">
        <v>1003</v>
      </c>
      <c r="AU5" s="695" t="s">
        <v>994</v>
      </c>
      <c r="AV5" s="682"/>
      <c r="AW5" s="430"/>
      <c r="AX5" s="430" t="s">
        <v>1003</v>
      </c>
    </row>
    <row r="6" spans="1:50" s="308" customFormat="1" ht="15.75">
      <c r="A6" s="430" t="s">
        <v>1013</v>
      </c>
      <c r="B6" s="430"/>
      <c r="C6" s="430"/>
      <c r="D6" s="430"/>
      <c r="E6" s="430" t="s">
        <v>999</v>
      </c>
      <c r="F6" s="430" t="s">
        <v>1004</v>
      </c>
      <c r="G6" s="430"/>
      <c r="H6" s="430"/>
      <c r="I6" s="430" t="s">
        <v>999</v>
      </c>
      <c r="J6" s="430" t="s">
        <v>1004</v>
      </c>
      <c r="K6" s="430"/>
      <c r="L6" s="430"/>
      <c r="M6" s="430" t="s">
        <v>999</v>
      </c>
      <c r="N6" s="430" t="s">
        <v>1004</v>
      </c>
      <c r="O6" s="430"/>
      <c r="P6" s="430"/>
      <c r="Q6" s="430" t="s">
        <v>999</v>
      </c>
      <c r="R6" s="430" t="s">
        <v>1004</v>
      </c>
      <c r="S6" s="430"/>
      <c r="T6" s="430"/>
      <c r="U6" s="430" t="s">
        <v>999</v>
      </c>
      <c r="V6" s="430" t="s">
        <v>1004</v>
      </c>
      <c r="W6" s="430"/>
      <c r="X6" s="430"/>
      <c r="Y6" s="430" t="s">
        <v>999</v>
      </c>
      <c r="Z6" s="430" t="s">
        <v>1004</v>
      </c>
      <c r="AA6" s="430"/>
      <c r="AB6" s="430"/>
      <c r="AC6" s="430" t="s">
        <v>999</v>
      </c>
      <c r="AD6" s="430" t="s">
        <v>1004</v>
      </c>
      <c r="AE6" s="430"/>
      <c r="AF6" s="430"/>
      <c r="AG6" s="430" t="s">
        <v>999</v>
      </c>
      <c r="AH6" s="430" t="s">
        <v>1004</v>
      </c>
      <c r="AI6" s="430"/>
      <c r="AJ6" s="430"/>
      <c r="AK6" s="430" t="s">
        <v>999</v>
      </c>
      <c r="AL6" s="430" t="s">
        <v>1004</v>
      </c>
      <c r="AM6" s="430"/>
      <c r="AN6" s="430"/>
      <c r="AO6" s="430" t="s">
        <v>999</v>
      </c>
      <c r="AP6" s="430" t="s">
        <v>1004</v>
      </c>
      <c r="AQ6" s="430"/>
      <c r="AR6" s="430"/>
      <c r="AS6" s="430" t="s">
        <v>999</v>
      </c>
      <c r="AT6" s="430" t="s">
        <v>1004</v>
      </c>
      <c r="AU6" s="430"/>
      <c r="AV6" s="430"/>
      <c r="AW6" s="430" t="s">
        <v>999</v>
      </c>
      <c r="AX6" s="430" t="s">
        <v>1004</v>
      </c>
    </row>
    <row r="7" spans="1:50" s="308" customFormat="1" ht="16.5" thickBot="1">
      <c r="A7" s="676" t="s">
        <v>1014</v>
      </c>
      <c r="B7" s="676" t="s">
        <v>1015</v>
      </c>
      <c r="C7" s="676" t="s">
        <v>995</v>
      </c>
      <c r="D7" s="698" t="s">
        <v>996</v>
      </c>
      <c r="E7" s="676" t="s">
        <v>1000</v>
      </c>
      <c r="F7" s="676" t="s">
        <v>1005</v>
      </c>
      <c r="G7" s="676" t="s">
        <v>995</v>
      </c>
      <c r="H7" s="698" t="s">
        <v>996</v>
      </c>
      <c r="I7" s="676" t="s">
        <v>1000</v>
      </c>
      <c r="J7" s="676" t="s">
        <v>1005</v>
      </c>
      <c r="K7" s="676" t="s">
        <v>995</v>
      </c>
      <c r="L7" s="698" t="s">
        <v>996</v>
      </c>
      <c r="M7" s="676" t="s">
        <v>1000</v>
      </c>
      <c r="N7" s="676" t="s">
        <v>1005</v>
      </c>
      <c r="O7" s="676" t="s">
        <v>995</v>
      </c>
      <c r="P7" s="698" t="s">
        <v>996</v>
      </c>
      <c r="Q7" s="676" t="s">
        <v>1000</v>
      </c>
      <c r="R7" s="676" t="s">
        <v>1005</v>
      </c>
      <c r="S7" s="676" t="s">
        <v>995</v>
      </c>
      <c r="T7" s="698" t="s">
        <v>996</v>
      </c>
      <c r="U7" s="676" t="s">
        <v>1000</v>
      </c>
      <c r="V7" s="676" t="s">
        <v>1005</v>
      </c>
      <c r="W7" s="676" t="s">
        <v>995</v>
      </c>
      <c r="X7" s="698" t="s">
        <v>996</v>
      </c>
      <c r="Y7" s="676" t="s">
        <v>1000</v>
      </c>
      <c r="Z7" s="676" t="s">
        <v>1005</v>
      </c>
      <c r="AA7" s="676" t="s">
        <v>995</v>
      </c>
      <c r="AB7" s="698" t="s">
        <v>996</v>
      </c>
      <c r="AC7" s="676" t="s">
        <v>1000</v>
      </c>
      <c r="AD7" s="676" t="s">
        <v>1005</v>
      </c>
      <c r="AE7" s="676" t="s">
        <v>995</v>
      </c>
      <c r="AF7" s="698" t="s">
        <v>996</v>
      </c>
      <c r="AG7" s="676" t="s">
        <v>1000</v>
      </c>
      <c r="AH7" s="676" t="s">
        <v>1005</v>
      </c>
      <c r="AI7" s="676" t="s">
        <v>995</v>
      </c>
      <c r="AJ7" s="698" t="s">
        <v>996</v>
      </c>
      <c r="AK7" s="676" t="s">
        <v>1000</v>
      </c>
      <c r="AL7" s="676" t="s">
        <v>1005</v>
      </c>
      <c r="AM7" s="676" t="s">
        <v>995</v>
      </c>
      <c r="AN7" s="698" t="s">
        <v>996</v>
      </c>
      <c r="AO7" s="676" t="s">
        <v>1000</v>
      </c>
      <c r="AP7" s="676" t="s">
        <v>1005</v>
      </c>
      <c r="AQ7" s="676" t="s">
        <v>995</v>
      </c>
      <c r="AR7" s="698" t="s">
        <v>996</v>
      </c>
      <c r="AS7" s="676" t="s">
        <v>1000</v>
      </c>
      <c r="AT7" s="676" t="s">
        <v>1005</v>
      </c>
      <c r="AU7" s="676" t="s">
        <v>995</v>
      </c>
      <c r="AV7" s="698" t="s">
        <v>996</v>
      </c>
      <c r="AW7" s="676" t="s">
        <v>1000</v>
      </c>
      <c r="AX7" s="676" t="s">
        <v>1005</v>
      </c>
    </row>
    <row r="8" spans="1:50" s="308" customFormat="1" ht="17.100000000000001" customHeight="1">
      <c r="A8" s="428"/>
      <c r="B8" s="431" t="s">
        <v>208</v>
      </c>
      <c r="C8" s="437"/>
      <c r="D8" s="437"/>
      <c r="E8" s="423"/>
      <c r="F8" s="423"/>
      <c r="G8" s="437"/>
      <c r="H8" s="437"/>
      <c r="I8" s="423"/>
      <c r="J8" s="423"/>
      <c r="K8" s="437"/>
      <c r="L8" s="437"/>
      <c r="M8" s="423"/>
      <c r="N8" s="423"/>
      <c r="O8" s="437"/>
      <c r="P8" s="437"/>
      <c r="Q8" s="423"/>
      <c r="R8" s="423"/>
      <c r="S8" s="437"/>
      <c r="T8" s="437"/>
      <c r="U8" s="423"/>
      <c r="V8" s="423"/>
      <c r="W8" s="437"/>
      <c r="X8" s="437"/>
      <c r="Y8" s="423"/>
      <c r="Z8" s="423"/>
      <c r="AA8" s="437"/>
      <c r="AB8" s="437"/>
      <c r="AC8" s="423"/>
      <c r="AD8" s="423"/>
      <c r="AE8" s="437"/>
      <c r="AF8" s="437"/>
      <c r="AG8" s="423"/>
      <c r="AH8" s="423"/>
      <c r="AI8" s="437"/>
      <c r="AJ8" s="437"/>
      <c r="AK8" s="423"/>
      <c r="AL8" s="423"/>
      <c r="AM8" s="437"/>
      <c r="AN8" s="437"/>
      <c r="AO8" s="423"/>
      <c r="AP8" s="423"/>
      <c r="AQ8" s="437"/>
      <c r="AR8" s="437"/>
      <c r="AS8" s="423"/>
      <c r="AT8" s="423"/>
      <c r="AU8" s="437"/>
      <c r="AV8" s="437"/>
      <c r="AW8" s="423"/>
      <c r="AX8" s="423"/>
    </row>
    <row r="9" spans="1:50" s="308" customFormat="1" ht="17.100000000000001" customHeight="1">
      <c r="A9" s="428"/>
      <c r="B9" s="431" t="s">
        <v>127</v>
      </c>
      <c r="C9" s="437"/>
      <c r="D9" s="437"/>
      <c r="E9" s="423"/>
      <c r="F9" s="423"/>
      <c r="G9" s="437"/>
      <c r="H9" s="437"/>
      <c r="I9" s="423"/>
      <c r="J9" s="423"/>
      <c r="K9" s="437"/>
      <c r="L9" s="437"/>
      <c r="M9" s="423"/>
      <c r="N9" s="423"/>
      <c r="O9" s="437"/>
      <c r="P9" s="437"/>
      <c r="Q9" s="423"/>
      <c r="R9" s="423"/>
      <c r="S9" s="437"/>
      <c r="T9" s="437"/>
      <c r="U9" s="423"/>
      <c r="V9" s="423"/>
      <c r="W9" s="437"/>
      <c r="X9" s="437"/>
      <c r="Y9" s="423"/>
      <c r="Z9" s="423"/>
      <c r="AA9" s="437"/>
      <c r="AB9" s="437"/>
      <c r="AC9" s="423"/>
      <c r="AD9" s="423"/>
      <c r="AE9" s="437"/>
      <c r="AF9" s="437"/>
      <c r="AG9" s="423"/>
      <c r="AH9" s="423"/>
      <c r="AI9" s="437"/>
      <c r="AJ9" s="437"/>
      <c r="AK9" s="423"/>
      <c r="AL9" s="423"/>
      <c r="AM9" s="437"/>
      <c r="AN9" s="437"/>
      <c r="AO9" s="423"/>
      <c r="AP9" s="423"/>
      <c r="AQ9" s="437"/>
      <c r="AR9" s="437"/>
      <c r="AS9" s="423"/>
      <c r="AT9" s="423"/>
      <c r="AU9" s="437"/>
      <c r="AV9" s="437"/>
      <c r="AW9" s="423"/>
      <c r="AX9" s="423"/>
    </row>
    <row r="10" spans="1:50" ht="17.100000000000001" customHeight="1">
      <c r="A10" s="429" t="s">
        <v>187</v>
      </c>
      <c r="B10" s="411" t="s">
        <v>128</v>
      </c>
      <c r="C10" s="421"/>
      <c r="D10" s="421"/>
      <c r="E10" s="421"/>
      <c r="F10" s="314">
        <f>-D10+E10</f>
        <v>0</v>
      </c>
      <c r="G10" s="421"/>
      <c r="H10" s="421"/>
      <c r="I10" s="421"/>
      <c r="J10" s="314">
        <f>-H10+I10</f>
        <v>0</v>
      </c>
      <c r="K10" s="421"/>
      <c r="L10" s="421"/>
      <c r="M10" s="421"/>
      <c r="N10" s="314">
        <f>-L10+M10</f>
        <v>0</v>
      </c>
      <c r="O10" s="421"/>
      <c r="P10" s="421"/>
      <c r="Q10" s="421"/>
      <c r="R10" s="314">
        <f>-P10+Q10</f>
        <v>0</v>
      </c>
      <c r="S10" s="421"/>
      <c r="T10" s="421"/>
      <c r="U10" s="421"/>
      <c r="V10" s="314">
        <f>-T10+U10</f>
        <v>0</v>
      </c>
      <c r="W10" s="421"/>
      <c r="X10" s="421"/>
      <c r="Y10" s="421"/>
      <c r="Z10" s="314">
        <f>-X10+Y10</f>
        <v>0</v>
      </c>
      <c r="AA10" s="421"/>
      <c r="AB10" s="421"/>
      <c r="AC10" s="421"/>
      <c r="AD10" s="314">
        <f>-AB10+AC10</f>
        <v>0</v>
      </c>
      <c r="AE10" s="421"/>
      <c r="AF10" s="421"/>
      <c r="AG10" s="421"/>
      <c r="AH10" s="314">
        <f>-AF10+AG10</f>
        <v>0</v>
      </c>
      <c r="AI10" s="421"/>
      <c r="AJ10" s="421"/>
      <c r="AK10" s="421"/>
      <c r="AL10" s="314">
        <f>-AJ10+AK10</f>
        <v>0</v>
      </c>
      <c r="AM10" s="421"/>
      <c r="AN10" s="421"/>
      <c r="AO10" s="421"/>
      <c r="AP10" s="314">
        <f>-AN10+AO10</f>
        <v>0</v>
      </c>
      <c r="AQ10" s="421"/>
      <c r="AR10" s="421"/>
      <c r="AS10" s="421"/>
      <c r="AT10" s="314">
        <f>-AR10+AS10</f>
        <v>0</v>
      </c>
      <c r="AU10" s="314">
        <f t="shared" ref="AU10:AX11" si="0">+C10+G10+K10+O10+S10+W10+AA10+AE10+AI10+AM10+AQ10</f>
        <v>0</v>
      </c>
      <c r="AV10" s="314">
        <f t="shared" si="0"/>
        <v>0</v>
      </c>
      <c r="AW10" s="314">
        <f t="shared" si="0"/>
        <v>0</v>
      </c>
      <c r="AX10" s="314">
        <f t="shared" si="0"/>
        <v>0</v>
      </c>
    </row>
    <row r="11" spans="1:50" ht="17.100000000000001" customHeight="1">
      <c r="A11" s="429">
        <v>314140</v>
      </c>
      <c r="B11" s="411" t="s">
        <v>129</v>
      </c>
      <c r="C11" s="269"/>
      <c r="D11" s="269"/>
      <c r="E11" s="269"/>
      <c r="F11" s="314">
        <f>-D11+E11</f>
        <v>0</v>
      </c>
      <c r="G11" s="269"/>
      <c r="H11" s="269"/>
      <c r="I11" s="269"/>
      <c r="J11" s="314">
        <f>-H11+I11</f>
        <v>0</v>
      </c>
      <c r="K11" s="269"/>
      <c r="L11" s="269"/>
      <c r="M11" s="269"/>
      <c r="N11" s="314">
        <f>-L11+M11</f>
        <v>0</v>
      </c>
      <c r="O11" s="269"/>
      <c r="P11" s="269"/>
      <c r="Q11" s="269"/>
      <c r="R11" s="314">
        <f>-P11+Q11</f>
        <v>0</v>
      </c>
      <c r="S11" s="269"/>
      <c r="T11" s="269"/>
      <c r="U11" s="269"/>
      <c r="V11" s="314">
        <f>-T11+U11</f>
        <v>0</v>
      </c>
      <c r="W11" s="269"/>
      <c r="X11" s="269"/>
      <c r="Y11" s="269"/>
      <c r="Z11" s="314">
        <f>-X11+Y11</f>
        <v>0</v>
      </c>
      <c r="AA11" s="269"/>
      <c r="AB11" s="269"/>
      <c r="AC11" s="269"/>
      <c r="AD11" s="314">
        <f>-AB11+AC11</f>
        <v>0</v>
      </c>
      <c r="AE11" s="269"/>
      <c r="AF11" s="269"/>
      <c r="AG11" s="269"/>
      <c r="AH11" s="314">
        <f>-AF11+AG11</f>
        <v>0</v>
      </c>
      <c r="AI11" s="269"/>
      <c r="AJ11" s="269"/>
      <c r="AK11" s="269"/>
      <c r="AL11" s="314">
        <f>-AJ11+AK11</f>
        <v>0</v>
      </c>
      <c r="AM11" s="269"/>
      <c r="AN11" s="269"/>
      <c r="AO11" s="269"/>
      <c r="AP11" s="314">
        <f>-AN11+AO11</f>
        <v>0</v>
      </c>
      <c r="AQ11" s="269"/>
      <c r="AR11" s="269"/>
      <c r="AS11" s="269"/>
      <c r="AT11" s="314">
        <f>-AR11+AS11</f>
        <v>0</v>
      </c>
      <c r="AU11" s="314">
        <f t="shared" si="0"/>
        <v>0</v>
      </c>
      <c r="AV11" s="314">
        <f t="shared" si="0"/>
        <v>0</v>
      </c>
      <c r="AW11" s="314">
        <f t="shared" si="0"/>
        <v>0</v>
      </c>
      <c r="AX11" s="314">
        <f t="shared" si="0"/>
        <v>0</v>
      </c>
    </row>
    <row r="12" spans="1:50" s="308" customFormat="1" ht="30" customHeight="1">
      <c r="A12" s="429"/>
      <c r="B12" s="435" t="s">
        <v>493</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314"/>
      <c r="AV12" s="314"/>
      <c r="AW12" s="314"/>
      <c r="AX12" s="314"/>
    </row>
    <row r="13" spans="1:50" ht="17.100000000000001" customHeight="1">
      <c r="A13" s="429">
        <v>331000</v>
      </c>
      <c r="B13" s="411" t="s">
        <v>489</v>
      </c>
      <c r="C13" s="269"/>
      <c r="D13" s="269"/>
      <c r="E13" s="269"/>
      <c r="F13" s="314">
        <f t="shared" ref="F13:F18" si="1">-D13+E13</f>
        <v>0</v>
      </c>
      <c r="G13" s="269"/>
      <c r="H13" s="269"/>
      <c r="I13" s="269"/>
      <c r="J13" s="314">
        <f t="shared" ref="J13:J18" si="2">-H13+I13</f>
        <v>0</v>
      </c>
      <c r="K13" s="269"/>
      <c r="L13" s="269"/>
      <c r="M13" s="269"/>
      <c r="N13" s="314">
        <f t="shared" ref="N13:N18" si="3">-L13+M13</f>
        <v>0</v>
      </c>
      <c r="O13" s="269"/>
      <c r="P13" s="269"/>
      <c r="Q13" s="269"/>
      <c r="R13" s="314">
        <f t="shared" ref="R13:R18" si="4">-P13+Q13</f>
        <v>0</v>
      </c>
      <c r="S13" s="269"/>
      <c r="T13" s="269"/>
      <c r="U13" s="269"/>
      <c r="V13" s="314">
        <f t="shared" ref="V13:V18" si="5">-T13+U13</f>
        <v>0</v>
      </c>
      <c r="W13" s="269"/>
      <c r="X13" s="269"/>
      <c r="Y13" s="269"/>
      <c r="Z13" s="314">
        <f t="shared" ref="Z13:Z18" si="6">-X13+Y13</f>
        <v>0</v>
      </c>
      <c r="AA13" s="269"/>
      <c r="AB13" s="269"/>
      <c r="AC13" s="269"/>
      <c r="AD13" s="314">
        <f t="shared" ref="AD13:AD18" si="7">-AB13+AC13</f>
        <v>0</v>
      </c>
      <c r="AE13" s="269"/>
      <c r="AF13" s="269"/>
      <c r="AG13" s="269"/>
      <c r="AH13" s="314">
        <f t="shared" ref="AH13:AH18" si="8">-AF13+AG13</f>
        <v>0</v>
      </c>
      <c r="AI13" s="269"/>
      <c r="AJ13" s="269"/>
      <c r="AK13" s="269"/>
      <c r="AL13" s="314">
        <f t="shared" ref="AL13:AL18" si="9">-AJ13+AK13</f>
        <v>0</v>
      </c>
      <c r="AM13" s="269"/>
      <c r="AN13" s="269"/>
      <c r="AO13" s="269"/>
      <c r="AP13" s="314">
        <f t="shared" ref="AP13:AP18" si="10">-AN13+AO13</f>
        <v>0</v>
      </c>
      <c r="AQ13" s="269"/>
      <c r="AR13" s="269"/>
      <c r="AS13" s="269"/>
      <c r="AT13" s="314">
        <f t="shared" ref="AT13:AT18" si="11">-AR13+AS13</f>
        <v>0</v>
      </c>
      <c r="AU13" s="314">
        <f t="shared" ref="AU13:AU18" si="12">+C13+G13+K13+O13+S13+W13+AA13+AE13+AI13+AM13+AQ13</f>
        <v>0</v>
      </c>
      <c r="AV13" s="314">
        <f t="shared" ref="AV13:AV18" si="13">+D13+H13+L13+P13+T13+X13+AB13+AF13+AJ13+AN13+AR13</f>
        <v>0</v>
      </c>
      <c r="AW13" s="314">
        <f t="shared" ref="AW13:AW18" si="14">+E13+I13+M13+Q13+U13+Y13+AC13+AG13+AK13+AO13+AS13</f>
        <v>0</v>
      </c>
      <c r="AX13" s="314">
        <f t="shared" ref="AX13:AX18" si="15">+F13+J13+N13+R13+V13+Z13+AD13+AH13+AL13+AP13+AT13</f>
        <v>0</v>
      </c>
    </row>
    <row r="14" spans="1:50" ht="17.100000000000001" customHeight="1">
      <c r="A14" s="429"/>
      <c r="B14" s="411"/>
      <c r="C14" s="269"/>
      <c r="D14" s="269"/>
      <c r="E14" s="269"/>
      <c r="F14" s="314">
        <f t="shared" si="1"/>
        <v>0</v>
      </c>
      <c r="G14" s="269"/>
      <c r="H14" s="269"/>
      <c r="I14" s="269"/>
      <c r="J14" s="314">
        <f t="shared" si="2"/>
        <v>0</v>
      </c>
      <c r="K14" s="269"/>
      <c r="L14" s="269"/>
      <c r="M14" s="269"/>
      <c r="N14" s="314">
        <f t="shared" si="3"/>
        <v>0</v>
      </c>
      <c r="O14" s="269"/>
      <c r="P14" s="269"/>
      <c r="Q14" s="269"/>
      <c r="R14" s="314">
        <f t="shared" si="4"/>
        <v>0</v>
      </c>
      <c r="S14" s="269"/>
      <c r="T14" s="269"/>
      <c r="U14" s="269"/>
      <c r="V14" s="314">
        <f t="shared" si="5"/>
        <v>0</v>
      </c>
      <c r="W14" s="269"/>
      <c r="X14" s="269"/>
      <c r="Y14" s="269"/>
      <c r="Z14" s="314">
        <f t="shared" si="6"/>
        <v>0</v>
      </c>
      <c r="AA14" s="269"/>
      <c r="AB14" s="269"/>
      <c r="AC14" s="269"/>
      <c r="AD14" s="314">
        <f t="shared" si="7"/>
        <v>0</v>
      </c>
      <c r="AE14" s="269"/>
      <c r="AF14" s="269"/>
      <c r="AG14" s="269"/>
      <c r="AH14" s="314">
        <f t="shared" si="8"/>
        <v>0</v>
      </c>
      <c r="AI14" s="269"/>
      <c r="AJ14" s="269"/>
      <c r="AK14" s="269"/>
      <c r="AL14" s="314">
        <f t="shared" si="9"/>
        <v>0</v>
      </c>
      <c r="AM14" s="269"/>
      <c r="AN14" s="269"/>
      <c r="AO14" s="269"/>
      <c r="AP14" s="314">
        <f t="shared" si="10"/>
        <v>0</v>
      </c>
      <c r="AQ14" s="269"/>
      <c r="AR14" s="269"/>
      <c r="AS14" s="269"/>
      <c r="AT14" s="314">
        <f t="shared" si="11"/>
        <v>0</v>
      </c>
      <c r="AU14" s="314">
        <f t="shared" si="12"/>
        <v>0</v>
      </c>
      <c r="AV14" s="314">
        <f t="shared" si="13"/>
        <v>0</v>
      </c>
      <c r="AW14" s="314">
        <f t="shared" si="14"/>
        <v>0</v>
      </c>
      <c r="AX14" s="314">
        <f t="shared" si="15"/>
        <v>0</v>
      </c>
    </row>
    <row r="15" spans="1:50" ht="17.100000000000001" customHeight="1">
      <c r="A15" s="429">
        <v>332000</v>
      </c>
      <c r="B15" s="411" t="s">
        <v>490</v>
      </c>
      <c r="C15" s="269"/>
      <c r="D15" s="269"/>
      <c r="E15" s="269"/>
      <c r="F15" s="314">
        <f t="shared" si="1"/>
        <v>0</v>
      </c>
      <c r="G15" s="269"/>
      <c r="H15" s="269"/>
      <c r="I15" s="269"/>
      <c r="J15" s="314">
        <f t="shared" si="2"/>
        <v>0</v>
      </c>
      <c r="K15" s="269"/>
      <c r="L15" s="269"/>
      <c r="M15" s="269"/>
      <c r="N15" s="314">
        <f t="shared" si="3"/>
        <v>0</v>
      </c>
      <c r="O15" s="269"/>
      <c r="P15" s="269"/>
      <c r="Q15" s="269"/>
      <c r="R15" s="314">
        <f t="shared" si="4"/>
        <v>0</v>
      </c>
      <c r="S15" s="269"/>
      <c r="T15" s="269"/>
      <c r="U15" s="269"/>
      <c r="V15" s="314">
        <f t="shared" si="5"/>
        <v>0</v>
      </c>
      <c r="W15" s="269"/>
      <c r="X15" s="269"/>
      <c r="Y15" s="269"/>
      <c r="Z15" s="314">
        <f t="shared" si="6"/>
        <v>0</v>
      </c>
      <c r="AA15" s="269"/>
      <c r="AB15" s="269"/>
      <c r="AC15" s="269"/>
      <c r="AD15" s="314">
        <f t="shared" si="7"/>
        <v>0</v>
      </c>
      <c r="AE15" s="269"/>
      <c r="AF15" s="269"/>
      <c r="AG15" s="269"/>
      <c r="AH15" s="314">
        <f t="shared" si="8"/>
        <v>0</v>
      </c>
      <c r="AI15" s="269"/>
      <c r="AJ15" s="269"/>
      <c r="AK15" s="269"/>
      <c r="AL15" s="314">
        <f t="shared" si="9"/>
        <v>0</v>
      </c>
      <c r="AM15" s="269"/>
      <c r="AN15" s="269"/>
      <c r="AO15" s="269"/>
      <c r="AP15" s="314">
        <f t="shared" si="10"/>
        <v>0</v>
      </c>
      <c r="AQ15" s="269"/>
      <c r="AR15" s="269"/>
      <c r="AS15" s="269"/>
      <c r="AT15" s="314">
        <f t="shared" si="11"/>
        <v>0</v>
      </c>
      <c r="AU15" s="314">
        <f t="shared" si="12"/>
        <v>0</v>
      </c>
      <c r="AV15" s="314">
        <f t="shared" si="13"/>
        <v>0</v>
      </c>
      <c r="AW15" s="314">
        <f t="shared" si="14"/>
        <v>0</v>
      </c>
      <c r="AX15" s="314">
        <f t="shared" si="15"/>
        <v>0</v>
      </c>
    </row>
    <row r="16" spans="1:50" ht="17.100000000000001" customHeight="1">
      <c r="A16" s="429">
        <v>334000</v>
      </c>
      <c r="B16" s="411" t="s">
        <v>491</v>
      </c>
      <c r="C16" s="269"/>
      <c r="D16" s="269"/>
      <c r="E16" s="269"/>
      <c r="F16" s="314">
        <f t="shared" si="1"/>
        <v>0</v>
      </c>
      <c r="G16" s="269"/>
      <c r="H16" s="269"/>
      <c r="I16" s="269"/>
      <c r="J16" s="314">
        <f t="shared" si="2"/>
        <v>0</v>
      </c>
      <c r="K16" s="269"/>
      <c r="L16" s="269"/>
      <c r="M16" s="269"/>
      <c r="N16" s="314">
        <f t="shared" si="3"/>
        <v>0</v>
      </c>
      <c r="O16" s="269"/>
      <c r="P16" s="269"/>
      <c r="Q16" s="269"/>
      <c r="R16" s="314">
        <f t="shared" si="4"/>
        <v>0</v>
      </c>
      <c r="S16" s="269"/>
      <c r="T16" s="269"/>
      <c r="U16" s="269"/>
      <c r="V16" s="314">
        <f t="shared" si="5"/>
        <v>0</v>
      </c>
      <c r="W16" s="269"/>
      <c r="X16" s="269"/>
      <c r="Y16" s="269"/>
      <c r="Z16" s="314">
        <f t="shared" si="6"/>
        <v>0</v>
      </c>
      <c r="AA16" s="269"/>
      <c r="AB16" s="269"/>
      <c r="AC16" s="269"/>
      <c r="AD16" s="314">
        <f t="shared" si="7"/>
        <v>0</v>
      </c>
      <c r="AE16" s="269"/>
      <c r="AF16" s="269"/>
      <c r="AG16" s="269"/>
      <c r="AH16" s="314">
        <f t="shared" si="8"/>
        <v>0</v>
      </c>
      <c r="AI16" s="269"/>
      <c r="AJ16" s="269"/>
      <c r="AK16" s="269"/>
      <c r="AL16" s="314">
        <f t="shared" si="9"/>
        <v>0</v>
      </c>
      <c r="AM16" s="269"/>
      <c r="AN16" s="269"/>
      <c r="AO16" s="269"/>
      <c r="AP16" s="314">
        <f t="shared" si="10"/>
        <v>0</v>
      </c>
      <c r="AQ16" s="269"/>
      <c r="AR16" s="269"/>
      <c r="AS16" s="269"/>
      <c r="AT16" s="314">
        <f t="shared" si="11"/>
        <v>0</v>
      </c>
      <c r="AU16" s="314">
        <f t="shared" si="12"/>
        <v>0</v>
      </c>
      <c r="AV16" s="314">
        <f t="shared" si="13"/>
        <v>0</v>
      </c>
      <c r="AW16" s="314">
        <f t="shared" si="14"/>
        <v>0</v>
      </c>
      <c r="AX16" s="314">
        <f t="shared" si="15"/>
        <v>0</v>
      </c>
    </row>
    <row r="17" spans="1:50" ht="17.100000000000001" customHeight="1">
      <c r="A17" s="429"/>
      <c r="B17" s="411"/>
      <c r="C17" s="269"/>
      <c r="D17" s="269"/>
      <c r="E17" s="269"/>
      <c r="F17" s="314">
        <f t="shared" si="1"/>
        <v>0</v>
      </c>
      <c r="G17" s="269"/>
      <c r="H17" s="269"/>
      <c r="I17" s="269"/>
      <c r="J17" s="314">
        <f t="shared" si="2"/>
        <v>0</v>
      </c>
      <c r="K17" s="269"/>
      <c r="L17" s="269"/>
      <c r="M17" s="269"/>
      <c r="N17" s="314">
        <f t="shared" si="3"/>
        <v>0</v>
      </c>
      <c r="O17" s="269"/>
      <c r="P17" s="269"/>
      <c r="Q17" s="269"/>
      <c r="R17" s="314">
        <f t="shared" si="4"/>
        <v>0</v>
      </c>
      <c r="S17" s="269"/>
      <c r="T17" s="269"/>
      <c r="U17" s="269"/>
      <c r="V17" s="314">
        <f t="shared" si="5"/>
        <v>0</v>
      </c>
      <c r="W17" s="269"/>
      <c r="X17" s="269"/>
      <c r="Y17" s="269"/>
      <c r="Z17" s="314">
        <f t="shared" si="6"/>
        <v>0</v>
      </c>
      <c r="AA17" s="269"/>
      <c r="AB17" s="269"/>
      <c r="AC17" s="269"/>
      <c r="AD17" s="314">
        <f t="shared" si="7"/>
        <v>0</v>
      </c>
      <c r="AE17" s="269"/>
      <c r="AF17" s="269"/>
      <c r="AG17" s="269"/>
      <c r="AH17" s="314">
        <f t="shared" si="8"/>
        <v>0</v>
      </c>
      <c r="AI17" s="269"/>
      <c r="AJ17" s="269"/>
      <c r="AK17" s="269"/>
      <c r="AL17" s="314">
        <f t="shared" si="9"/>
        <v>0</v>
      </c>
      <c r="AM17" s="269"/>
      <c r="AN17" s="269"/>
      <c r="AO17" s="269"/>
      <c r="AP17" s="314">
        <f t="shared" si="10"/>
        <v>0</v>
      </c>
      <c r="AQ17" s="269"/>
      <c r="AR17" s="269"/>
      <c r="AS17" s="269"/>
      <c r="AT17" s="314">
        <f t="shared" si="11"/>
        <v>0</v>
      </c>
      <c r="AU17" s="314">
        <f t="shared" si="12"/>
        <v>0</v>
      </c>
      <c r="AV17" s="314">
        <f t="shared" si="13"/>
        <v>0</v>
      </c>
      <c r="AW17" s="314">
        <f t="shared" si="14"/>
        <v>0</v>
      </c>
      <c r="AX17" s="314">
        <f t="shared" si="15"/>
        <v>0</v>
      </c>
    </row>
    <row r="18" spans="1:50" ht="17.100000000000001" customHeight="1">
      <c r="A18" s="429">
        <v>335000</v>
      </c>
      <c r="B18" s="411" t="s">
        <v>492</v>
      </c>
      <c r="C18" s="269"/>
      <c r="D18" s="269"/>
      <c r="E18" s="269"/>
      <c r="F18" s="314">
        <f t="shared" si="1"/>
        <v>0</v>
      </c>
      <c r="G18" s="269"/>
      <c r="H18" s="269"/>
      <c r="I18" s="269"/>
      <c r="J18" s="314">
        <f t="shared" si="2"/>
        <v>0</v>
      </c>
      <c r="K18" s="269"/>
      <c r="L18" s="269"/>
      <c r="M18" s="269"/>
      <c r="N18" s="314">
        <f t="shared" si="3"/>
        <v>0</v>
      </c>
      <c r="O18" s="269"/>
      <c r="P18" s="269"/>
      <c r="Q18" s="269"/>
      <c r="R18" s="314">
        <f t="shared" si="4"/>
        <v>0</v>
      </c>
      <c r="S18" s="269"/>
      <c r="T18" s="269"/>
      <c r="U18" s="269"/>
      <c r="V18" s="314">
        <f t="shared" si="5"/>
        <v>0</v>
      </c>
      <c r="W18" s="269"/>
      <c r="X18" s="269"/>
      <c r="Y18" s="269"/>
      <c r="Z18" s="314">
        <f t="shared" si="6"/>
        <v>0</v>
      </c>
      <c r="AA18" s="269"/>
      <c r="AB18" s="269"/>
      <c r="AC18" s="269"/>
      <c r="AD18" s="314">
        <f t="shared" si="7"/>
        <v>0</v>
      </c>
      <c r="AE18" s="269"/>
      <c r="AF18" s="269"/>
      <c r="AG18" s="269"/>
      <c r="AH18" s="314">
        <f t="shared" si="8"/>
        <v>0</v>
      </c>
      <c r="AI18" s="269"/>
      <c r="AJ18" s="269"/>
      <c r="AK18" s="269"/>
      <c r="AL18" s="314">
        <f t="shared" si="9"/>
        <v>0</v>
      </c>
      <c r="AM18" s="269"/>
      <c r="AN18" s="269"/>
      <c r="AO18" s="269"/>
      <c r="AP18" s="314">
        <f t="shared" si="10"/>
        <v>0</v>
      </c>
      <c r="AQ18" s="269"/>
      <c r="AR18" s="269"/>
      <c r="AS18" s="269"/>
      <c r="AT18" s="314">
        <f t="shared" si="11"/>
        <v>0</v>
      </c>
      <c r="AU18" s="314">
        <f t="shared" si="12"/>
        <v>0</v>
      </c>
      <c r="AV18" s="314">
        <f t="shared" si="13"/>
        <v>0</v>
      </c>
      <c r="AW18" s="314">
        <f t="shared" si="14"/>
        <v>0</v>
      </c>
      <c r="AX18" s="314">
        <f t="shared" si="15"/>
        <v>0</v>
      </c>
    </row>
    <row r="19" spans="1:50" s="308" customFormat="1" ht="17.100000000000001" customHeight="1">
      <c r="A19" s="429"/>
      <c r="B19" s="431" t="s">
        <v>212</v>
      </c>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314"/>
      <c r="AV19" s="314"/>
      <c r="AW19" s="314"/>
      <c r="AX19" s="314"/>
    </row>
    <row r="20" spans="1:50" ht="17.100000000000001" customHeight="1">
      <c r="A20" s="429">
        <v>341010</v>
      </c>
      <c r="B20" s="411" t="s">
        <v>705</v>
      </c>
      <c r="C20" s="269"/>
      <c r="D20" s="269"/>
      <c r="E20" s="269"/>
      <c r="F20" s="314">
        <f>-D20+E20</f>
        <v>0</v>
      </c>
      <c r="G20" s="269"/>
      <c r="H20" s="269"/>
      <c r="I20" s="269"/>
      <c r="J20" s="314">
        <f>-H20+I20</f>
        <v>0</v>
      </c>
      <c r="K20" s="269"/>
      <c r="L20" s="269"/>
      <c r="M20" s="269"/>
      <c r="N20" s="314">
        <f>-L20+M20</f>
        <v>0</v>
      </c>
      <c r="O20" s="269"/>
      <c r="P20" s="269"/>
      <c r="Q20" s="269"/>
      <c r="R20" s="314">
        <f>-P20+Q20</f>
        <v>0</v>
      </c>
      <c r="S20" s="269"/>
      <c r="T20" s="269"/>
      <c r="U20" s="269"/>
      <c r="V20" s="314">
        <f>-T20+U20</f>
        <v>0</v>
      </c>
      <c r="W20" s="269"/>
      <c r="X20" s="269"/>
      <c r="Y20" s="269"/>
      <c r="Z20" s="314">
        <f>-X20+Y20</f>
        <v>0</v>
      </c>
      <c r="AA20" s="269"/>
      <c r="AB20" s="269"/>
      <c r="AC20" s="269"/>
      <c r="AD20" s="314">
        <f>-AB20+AC20</f>
        <v>0</v>
      </c>
      <c r="AE20" s="269"/>
      <c r="AF20" s="269"/>
      <c r="AG20" s="269"/>
      <c r="AH20" s="314">
        <f>-AF20+AG20</f>
        <v>0</v>
      </c>
      <c r="AI20" s="269"/>
      <c r="AJ20" s="269"/>
      <c r="AK20" s="269"/>
      <c r="AL20" s="314">
        <f>-AJ20+AK20</f>
        <v>0</v>
      </c>
      <c r="AM20" s="269"/>
      <c r="AN20" s="269"/>
      <c r="AO20" s="269"/>
      <c r="AP20" s="314">
        <f>-AN20+AO20</f>
        <v>0</v>
      </c>
      <c r="AQ20" s="269"/>
      <c r="AR20" s="269"/>
      <c r="AS20" s="269"/>
      <c r="AT20" s="314">
        <f>-AR20+AS20</f>
        <v>0</v>
      </c>
      <c r="AU20" s="314">
        <f t="shared" ref="AU20:AX22" si="16">+C20+G20+K20+O20+S20+W20+AA20+AE20+AI20+AM20+AQ20</f>
        <v>0</v>
      </c>
      <c r="AV20" s="314">
        <f t="shared" si="16"/>
        <v>0</v>
      </c>
      <c r="AW20" s="314">
        <f t="shared" si="16"/>
        <v>0</v>
      </c>
      <c r="AX20" s="314">
        <f t="shared" si="16"/>
        <v>0</v>
      </c>
    </row>
    <row r="21" spans="1:50" ht="17.100000000000001" customHeight="1">
      <c r="A21" s="429">
        <v>341070</v>
      </c>
      <c r="B21" s="411" t="s">
        <v>704</v>
      </c>
      <c r="C21" s="269"/>
      <c r="D21" s="269"/>
      <c r="E21" s="269"/>
      <c r="F21" s="314">
        <f>-D21+E21</f>
        <v>0</v>
      </c>
      <c r="G21" s="269"/>
      <c r="H21" s="269"/>
      <c r="I21" s="269"/>
      <c r="J21" s="314">
        <f>-H21+I21</f>
        <v>0</v>
      </c>
      <c r="K21" s="269"/>
      <c r="L21" s="269"/>
      <c r="M21" s="269"/>
      <c r="N21" s="314">
        <f>-L21+M21</f>
        <v>0</v>
      </c>
      <c r="O21" s="269"/>
      <c r="P21" s="269"/>
      <c r="Q21" s="269"/>
      <c r="R21" s="314">
        <f>-P21+Q21</f>
        <v>0</v>
      </c>
      <c r="S21" s="269"/>
      <c r="T21" s="269"/>
      <c r="U21" s="269"/>
      <c r="V21" s="314">
        <f>-T21+U21</f>
        <v>0</v>
      </c>
      <c r="W21" s="269"/>
      <c r="X21" s="269"/>
      <c r="Y21" s="269"/>
      <c r="Z21" s="314">
        <f>-X21+Y21</f>
        <v>0</v>
      </c>
      <c r="AA21" s="269"/>
      <c r="AB21" s="269"/>
      <c r="AC21" s="269"/>
      <c r="AD21" s="314">
        <f>-AB21+AC21</f>
        <v>0</v>
      </c>
      <c r="AE21" s="269"/>
      <c r="AF21" s="269"/>
      <c r="AG21" s="269"/>
      <c r="AH21" s="314">
        <f>-AF21+AG21</f>
        <v>0</v>
      </c>
      <c r="AI21" s="269"/>
      <c r="AJ21" s="269"/>
      <c r="AK21" s="269"/>
      <c r="AL21" s="314">
        <f>-AJ21+AK21</f>
        <v>0</v>
      </c>
      <c r="AM21" s="269"/>
      <c r="AN21" s="269"/>
      <c r="AO21" s="269"/>
      <c r="AP21" s="314">
        <f>-AN21+AO21</f>
        <v>0</v>
      </c>
      <c r="AQ21" s="269"/>
      <c r="AR21" s="269"/>
      <c r="AS21" s="269"/>
      <c r="AT21" s="314">
        <f>-AR21+AS21</f>
        <v>0</v>
      </c>
      <c r="AU21" s="314">
        <f t="shared" si="16"/>
        <v>0</v>
      </c>
      <c r="AV21" s="314">
        <f t="shared" si="16"/>
        <v>0</v>
      </c>
      <c r="AW21" s="314">
        <f t="shared" si="16"/>
        <v>0</v>
      </c>
      <c r="AX21" s="314">
        <f t="shared" si="16"/>
        <v>0</v>
      </c>
    </row>
    <row r="22" spans="1:50" ht="17.100000000000001" customHeight="1">
      <c r="A22" s="429">
        <v>343000</v>
      </c>
      <c r="B22" s="411" t="s">
        <v>703</v>
      </c>
      <c r="C22" s="269"/>
      <c r="D22" s="269"/>
      <c r="E22" s="269"/>
      <c r="F22" s="314">
        <f>-D22+E22</f>
        <v>0</v>
      </c>
      <c r="G22" s="269"/>
      <c r="H22" s="269"/>
      <c r="I22" s="269"/>
      <c r="J22" s="314">
        <f>-H22+I22</f>
        <v>0</v>
      </c>
      <c r="K22" s="269"/>
      <c r="L22" s="269"/>
      <c r="M22" s="269"/>
      <c r="N22" s="314">
        <f>-L22+M22</f>
        <v>0</v>
      </c>
      <c r="O22" s="269"/>
      <c r="P22" s="269"/>
      <c r="Q22" s="269"/>
      <c r="R22" s="314">
        <f>-P22+Q22</f>
        <v>0</v>
      </c>
      <c r="S22" s="269"/>
      <c r="T22" s="269"/>
      <c r="U22" s="269"/>
      <c r="V22" s="314">
        <f>-T22+U22</f>
        <v>0</v>
      </c>
      <c r="W22" s="269"/>
      <c r="X22" s="269"/>
      <c r="Y22" s="269"/>
      <c r="Z22" s="314">
        <f>-X22+Y22</f>
        <v>0</v>
      </c>
      <c r="AA22" s="269"/>
      <c r="AB22" s="269"/>
      <c r="AC22" s="269"/>
      <c r="AD22" s="314">
        <f>-AB22+AC22</f>
        <v>0</v>
      </c>
      <c r="AE22" s="269"/>
      <c r="AF22" s="269"/>
      <c r="AG22" s="269"/>
      <c r="AH22" s="314">
        <f>-AF22+AG22</f>
        <v>0</v>
      </c>
      <c r="AI22" s="269"/>
      <c r="AJ22" s="269"/>
      <c r="AK22" s="269"/>
      <c r="AL22" s="314">
        <f>-AJ22+AK22</f>
        <v>0</v>
      </c>
      <c r="AM22" s="269"/>
      <c r="AN22" s="269"/>
      <c r="AO22" s="269"/>
      <c r="AP22" s="314">
        <f>-AN22+AO22</f>
        <v>0</v>
      </c>
      <c r="AQ22" s="269"/>
      <c r="AR22" s="269"/>
      <c r="AS22" s="269"/>
      <c r="AT22" s="314">
        <f>-AR22+AS22</f>
        <v>0</v>
      </c>
      <c r="AU22" s="314">
        <f t="shared" si="16"/>
        <v>0</v>
      </c>
      <c r="AV22" s="314">
        <f t="shared" si="16"/>
        <v>0</v>
      </c>
      <c r="AW22" s="314">
        <f t="shared" si="16"/>
        <v>0</v>
      </c>
      <c r="AX22" s="314">
        <f t="shared" si="16"/>
        <v>0</v>
      </c>
    </row>
    <row r="23" spans="1:50" s="308" customFormat="1" ht="17.100000000000001" customHeight="1">
      <c r="A23" s="429">
        <v>360000</v>
      </c>
      <c r="B23" s="431" t="s">
        <v>214</v>
      </c>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314"/>
      <c r="AV23" s="314"/>
      <c r="AW23" s="314"/>
      <c r="AX23" s="314"/>
    </row>
    <row r="24" spans="1:50" ht="17.100000000000001" customHeight="1">
      <c r="A24" s="429">
        <v>361000</v>
      </c>
      <c r="B24" s="411" t="s">
        <v>700</v>
      </c>
      <c r="C24" s="269"/>
      <c r="D24" s="269"/>
      <c r="E24" s="269"/>
      <c r="F24" s="314">
        <f>-D24+E24</f>
        <v>0</v>
      </c>
      <c r="G24" s="269"/>
      <c r="H24" s="269"/>
      <c r="I24" s="269"/>
      <c r="J24" s="314">
        <f>-H24+I24</f>
        <v>0</v>
      </c>
      <c r="K24" s="269"/>
      <c r="L24" s="269"/>
      <c r="M24" s="269"/>
      <c r="N24" s="314">
        <f>-L24+M24</f>
        <v>0</v>
      </c>
      <c r="O24" s="269"/>
      <c r="P24" s="269"/>
      <c r="Q24" s="269"/>
      <c r="R24" s="314">
        <f>-P24+Q24</f>
        <v>0</v>
      </c>
      <c r="S24" s="269"/>
      <c r="T24" s="269"/>
      <c r="U24" s="269"/>
      <c r="V24" s="314">
        <f>-T24+U24</f>
        <v>0</v>
      </c>
      <c r="W24" s="269"/>
      <c r="X24" s="269"/>
      <c r="Y24" s="269"/>
      <c r="Z24" s="314">
        <f>-X24+Y24</f>
        <v>0</v>
      </c>
      <c r="AA24" s="269"/>
      <c r="AB24" s="269"/>
      <c r="AC24" s="269"/>
      <c r="AD24" s="314">
        <f>-AB24+AC24</f>
        <v>0</v>
      </c>
      <c r="AE24" s="269"/>
      <c r="AF24" s="269"/>
      <c r="AG24" s="269"/>
      <c r="AH24" s="314">
        <f>-AF24+AG24</f>
        <v>0</v>
      </c>
      <c r="AI24" s="269"/>
      <c r="AJ24" s="269"/>
      <c r="AK24" s="269"/>
      <c r="AL24" s="314">
        <f>-AJ24+AK24</f>
        <v>0</v>
      </c>
      <c r="AM24" s="269"/>
      <c r="AN24" s="269"/>
      <c r="AO24" s="269"/>
      <c r="AP24" s="314">
        <f>-AN24+AO24</f>
        <v>0</v>
      </c>
      <c r="AQ24" s="269"/>
      <c r="AR24" s="269"/>
      <c r="AS24" s="269"/>
      <c r="AT24" s="314">
        <f>-AR24+AS24</f>
        <v>0</v>
      </c>
      <c r="AU24" s="314">
        <f t="shared" ref="AU24:AX27" si="17">+C24+G24+K24+O24+S24+W24+AA24+AE24+AI24+AM24+AQ24</f>
        <v>0</v>
      </c>
      <c r="AV24" s="314">
        <f t="shared" si="17"/>
        <v>0</v>
      </c>
      <c r="AW24" s="314">
        <f t="shared" si="17"/>
        <v>0</v>
      </c>
      <c r="AX24" s="314">
        <f t="shared" si="17"/>
        <v>0</v>
      </c>
    </row>
    <row r="25" spans="1:50" ht="17.100000000000001" customHeight="1">
      <c r="A25" s="429">
        <v>362000</v>
      </c>
      <c r="B25" s="411" t="s">
        <v>701</v>
      </c>
      <c r="C25" s="269"/>
      <c r="D25" s="269"/>
      <c r="E25" s="269"/>
      <c r="F25" s="314">
        <f>-D25+E25</f>
        <v>0</v>
      </c>
      <c r="G25" s="269"/>
      <c r="H25" s="269"/>
      <c r="I25" s="269"/>
      <c r="J25" s="314">
        <f>-H25+I25</f>
        <v>0</v>
      </c>
      <c r="K25" s="269"/>
      <c r="L25" s="269"/>
      <c r="M25" s="269"/>
      <c r="N25" s="314">
        <f>-L25+M25</f>
        <v>0</v>
      </c>
      <c r="O25" s="269"/>
      <c r="P25" s="269"/>
      <c r="Q25" s="269"/>
      <c r="R25" s="314">
        <f>-P25+Q25</f>
        <v>0</v>
      </c>
      <c r="S25" s="269"/>
      <c r="T25" s="269"/>
      <c r="U25" s="269"/>
      <c r="V25" s="314">
        <f>-T25+U25</f>
        <v>0</v>
      </c>
      <c r="W25" s="269"/>
      <c r="X25" s="269"/>
      <c r="Y25" s="269"/>
      <c r="Z25" s="314">
        <f>-X25+Y25</f>
        <v>0</v>
      </c>
      <c r="AA25" s="269"/>
      <c r="AB25" s="269"/>
      <c r="AC25" s="269"/>
      <c r="AD25" s="314">
        <f>-AB25+AC25</f>
        <v>0</v>
      </c>
      <c r="AE25" s="269"/>
      <c r="AF25" s="269"/>
      <c r="AG25" s="269"/>
      <c r="AH25" s="314">
        <f>-AF25+AG25</f>
        <v>0</v>
      </c>
      <c r="AI25" s="269"/>
      <c r="AJ25" s="269"/>
      <c r="AK25" s="269"/>
      <c r="AL25" s="314">
        <f>-AJ25+AK25</f>
        <v>0</v>
      </c>
      <c r="AM25" s="269"/>
      <c r="AN25" s="269"/>
      <c r="AO25" s="269"/>
      <c r="AP25" s="314">
        <f>-AN25+AO25</f>
        <v>0</v>
      </c>
      <c r="AQ25" s="269"/>
      <c r="AR25" s="269"/>
      <c r="AS25" s="269"/>
      <c r="AT25" s="314">
        <f>-AR25+AS25</f>
        <v>0</v>
      </c>
      <c r="AU25" s="314">
        <f t="shared" si="17"/>
        <v>0</v>
      </c>
      <c r="AV25" s="314">
        <f t="shared" si="17"/>
        <v>0</v>
      </c>
      <c r="AW25" s="314">
        <f t="shared" si="17"/>
        <v>0</v>
      </c>
      <c r="AX25" s="314">
        <f t="shared" si="17"/>
        <v>0</v>
      </c>
    </row>
    <row r="26" spans="1:50" ht="17.100000000000001" customHeight="1">
      <c r="A26" s="429">
        <v>365000</v>
      </c>
      <c r="B26" s="411" t="s">
        <v>702</v>
      </c>
      <c r="C26" s="269"/>
      <c r="D26" s="269"/>
      <c r="E26" s="269"/>
      <c r="F26" s="314">
        <f>-D26+E26</f>
        <v>0</v>
      </c>
      <c r="G26" s="269"/>
      <c r="H26" s="269"/>
      <c r="I26" s="269"/>
      <c r="J26" s="314">
        <f>-H26+I26</f>
        <v>0</v>
      </c>
      <c r="K26" s="269"/>
      <c r="L26" s="269"/>
      <c r="M26" s="269"/>
      <c r="N26" s="314">
        <f>-L26+M26</f>
        <v>0</v>
      </c>
      <c r="O26" s="269"/>
      <c r="P26" s="269"/>
      <c r="Q26" s="269"/>
      <c r="R26" s="314">
        <f>-P26+Q26</f>
        <v>0</v>
      </c>
      <c r="S26" s="269"/>
      <c r="T26" s="269"/>
      <c r="U26" s="269"/>
      <c r="V26" s="314">
        <f>-T26+U26</f>
        <v>0</v>
      </c>
      <c r="W26" s="269"/>
      <c r="X26" s="269"/>
      <c r="Y26" s="269"/>
      <c r="Z26" s="314">
        <f>-X26+Y26</f>
        <v>0</v>
      </c>
      <c r="AA26" s="269"/>
      <c r="AB26" s="269"/>
      <c r="AC26" s="269"/>
      <c r="AD26" s="314">
        <f>-AB26+AC26</f>
        <v>0</v>
      </c>
      <c r="AE26" s="269"/>
      <c r="AF26" s="269"/>
      <c r="AG26" s="269"/>
      <c r="AH26" s="314">
        <f>-AF26+AG26</f>
        <v>0</v>
      </c>
      <c r="AI26" s="269"/>
      <c r="AJ26" s="269"/>
      <c r="AK26" s="269"/>
      <c r="AL26" s="314">
        <f>-AJ26+AK26</f>
        <v>0</v>
      </c>
      <c r="AM26" s="269"/>
      <c r="AN26" s="269"/>
      <c r="AO26" s="269"/>
      <c r="AP26" s="314">
        <f>-AN26+AO26</f>
        <v>0</v>
      </c>
      <c r="AQ26" s="269"/>
      <c r="AR26" s="269"/>
      <c r="AS26" s="269"/>
      <c r="AT26" s="314">
        <f>-AR26+AS26</f>
        <v>0</v>
      </c>
      <c r="AU26" s="314">
        <f t="shared" si="17"/>
        <v>0</v>
      </c>
      <c r="AV26" s="314">
        <f t="shared" si="17"/>
        <v>0</v>
      </c>
      <c r="AW26" s="314">
        <f t="shared" si="17"/>
        <v>0</v>
      </c>
      <c r="AX26" s="314">
        <f t="shared" si="17"/>
        <v>0</v>
      </c>
    </row>
    <row r="27" spans="1:50" ht="17.100000000000001" customHeight="1">
      <c r="A27" s="429">
        <v>370000</v>
      </c>
      <c r="B27" s="431" t="s">
        <v>215</v>
      </c>
      <c r="C27" s="269">
        <v>15</v>
      </c>
      <c r="D27" s="269">
        <v>15</v>
      </c>
      <c r="E27" s="269">
        <v>12.79</v>
      </c>
      <c r="F27" s="314">
        <f>-D27+E27</f>
        <v>-2.2100000000000009</v>
      </c>
      <c r="G27" s="269"/>
      <c r="H27" s="269"/>
      <c r="I27" s="269"/>
      <c r="J27" s="314">
        <f>-H27+I27</f>
        <v>0</v>
      </c>
      <c r="K27" s="269"/>
      <c r="L27" s="269"/>
      <c r="M27" s="269"/>
      <c r="N27" s="314">
        <f>-L27+M27</f>
        <v>0</v>
      </c>
      <c r="O27" s="269"/>
      <c r="P27" s="269"/>
      <c r="Q27" s="269"/>
      <c r="R27" s="314">
        <f>-P27+Q27</f>
        <v>0</v>
      </c>
      <c r="S27" s="269"/>
      <c r="T27" s="269"/>
      <c r="U27" s="269"/>
      <c r="V27" s="314">
        <f>-T27+U27</f>
        <v>0</v>
      </c>
      <c r="W27" s="269"/>
      <c r="X27" s="269"/>
      <c r="Y27" s="269"/>
      <c r="Z27" s="314">
        <f>-X27+Y27</f>
        <v>0</v>
      </c>
      <c r="AA27" s="269"/>
      <c r="AB27" s="269"/>
      <c r="AC27" s="269"/>
      <c r="AD27" s="314">
        <f>-AB27+AC27</f>
        <v>0</v>
      </c>
      <c r="AE27" s="269"/>
      <c r="AF27" s="269"/>
      <c r="AG27" s="269"/>
      <c r="AH27" s="314">
        <f>-AF27+AG27</f>
        <v>0</v>
      </c>
      <c r="AI27" s="269"/>
      <c r="AJ27" s="269"/>
      <c r="AK27" s="269"/>
      <c r="AL27" s="314">
        <f>-AJ27+AK27</f>
        <v>0</v>
      </c>
      <c r="AM27" s="269"/>
      <c r="AN27" s="269"/>
      <c r="AO27" s="269"/>
      <c r="AP27" s="314">
        <f>-AN27+AO27</f>
        <v>0</v>
      </c>
      <c r="AQ27" s="269"/>
      <c r="AR27" s="269"/>
      <c r="AS27" s="269"/>
      <c r="AT27" s="314">
        <f>-AR27+AS27</f>
        <v>0</v>
      </c>
      <c r="AU27" s="314">
        <f t="shared" si="17"/>
        <v>15</v>
      </c>
      <c r="AV27" s="314">
        <f t="shared" si="17"/>
        <v>15</v>
      </c>
      <c r="AW27" s="314">
        <f t="shared" si="17"/>
        <v>12.79</v>
      </c>
      <c r="AX27" s="314">
        <f t="shared" si="17"/>
        <v>-2.2100000000000009</v>
      </c>
    </row>
    <row r="28" spans="1:50" s="308" customFormat="1" ht="17.100000000000001" customHeight="1" thickBot="1">
      <c r="A28" s="429"/>
      <c r="B28" s="411"/>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row>
    <row r="29" spans="1:50" s="308" customFormat="1" ht="17.100000000000001" customHeight="1">
      <c r="A29" s="429"/>
      <c r="B29" s="430" t="s">
        <v>130</v>
      </c>
      <c r="C29" s="277">
        <f>SUM(C9:C28)</f>
        <v>15</v>
      </c>
      <c r="D29" s="277">
        <f>SUM(D9:D28)</f>
        <v>15</v>
      </c>
      <c r="E29" s="277">
        <f>SUM(E9:E28)</f>
        <v>12.79</v>
      </c>
      <c r="F29" s="277">
        <f>SUM(F9:F28)</f>
        <v>-2.2100000000000009</v>
      </c>
      <c r="G29" s="277">
        <f t="shared" ref="G29:AT29" si="18">SUM(G9:G28)</f>
        <v>0</v>
      </c>
      <c r="H29" s="277">
        <f t="shared" si="18"/>
        <v>0</v>
      </c>
      <c r="I29" s="277">
        <f t="shared" si="18"/>
        <v>0</v>
      </c>
      <c r="J29" s="277">
        <f t="shared" si="18"/>
        <v>0</v>
      </c>
      <c r="K29" s="277">
        <f t="shared" si="18"/>
        <v>0</v>
      </c>
      <c r="L29" s="277">
        <f t="shared" si="18"/>
        <v>0</v>
      </c>
      <c r="M29" s="277">
        <f t="shared" si="18"/>
        <v>0</v>
      </c>
      <c r="N29" s="277">
        <f t="shared" si="18"/>
        <v>0</v>
      </c>
      <c r="O29" s="277">
        <f t="shared" si="18"/>
        <v>0</v>
      </c>
      <c r="P29" s="277">
        <f t="shared" si="18"/>
        <v>0</v>
      </c>
      <c r="Q29" s="277">
        <f t="shared" si="18"/>
        <v>0</v>
      </c>
      <c r="R29" s="277">
        <f t="shared" si="18"/>
        <v>0</v>
      </c>
      <c r="S29" s="277">
        <f t="shared" si="18"/>
        <v>0</v>
      </c>
      <c r="T29" s="277">
        <f t="shared" si="18"/>
        <v>0</v>
      </c>
      <c r="U29" s="277">
        <f t="shared" si="18"/>
        <v>0</v>
      </c>
      <c r="V29" s="277">
        <f t="shared" si="18"/>
        <v>0</v>
      </c>
      <c r="W29" s="277">
        <f t="shared" si="18"/>
        <v>0</v>
      </c>
      <c r="X29" s="277">
        <f t="shared" si="18"/>
        <v>0</v>
      </c>
      <c r="Y29" s="277">
        <f t="shared" si="18"/>
        <v>0</v>
      </c>
      <c r="Z29" s="277">
        <f t="shared" si="18"/>
        <v>0</v>
      </c>
      <c r="AA29" s="277">
        <f t="shared" si="18"/>
        <v>0</v>
      </c>
      <c r="AB29" s="277">
        <f t="shared" si="18"/>
        <v>0</v>
      </c>
      <c r="AC29" s="277">
        <f t="shared" si="18"/>
        <v>0</v>
      </c>
      <c r="AD29" s="277">
        <f t="shared" si="18"/>
        <v>0</v>
      </c>
      <c r="AE29" s="277">
        <f t="shared" si="18"/>
        <v>0</v>
      </c>
      <c r="AF29" s="277">
        <f t="shared" si="18"/>
        <v>0</v>
      </c>
      <c r="AG29" s="277">
        <f t="shared" si="18"/>
        <v>0</v>
      </c>
      <c r="AH29" s="277">
        <f t="shared" si="18"/>
        <v>0</v>
      </c>
      <c r="AI29" s="277">
        <f t="shared" si="18"/>
        <v>0</v>
      </c>
      <c r="AJ29" s="277">
        <f t="shared" si="18"/>
        <v>0</v>
      </c>
      <c r="AK29" s="277">
        <f t="shared" si="18"/>
        <v>0</v>
      </c>
      <c r="AL29" s="277">
        <f t="shared" si="18"/>
        <v>0</v>
      </c>
      <c r="AM29" s="277">
        <f t="shared" si="18"/>
        <v>0</v>
      </c>
      <c r="AN29" s="277">
        <f t="shared" si="18"/>
        <v>0</v>
      </c>
      <c r="AO29" s="277">
        <f t="shared" si="18"/>
        <v>0</v>
      </c>
      <c r="AP29" s="277">
        <f t="shared" si="18"/>
        <v>0</v>
      </c>
      <c r="AQ29" s="277">
        <f t="shared" si="18"/>
        <v>0</v>
      </c>
      <c r="AR29" s="277">
        <f t="shared" si="18"/>
        <v>0</v>
      </c>
      <c r="AS29" s="277">
        <f t="shared" si="18"/>
        <v>0</v>
      </c>
      <c r="AT29" s="277">
        <f t="shared" si="18"/>
        <v>0</v>
      </c>
      <c r="AU29" s="314">
        <f>+C29+G29+K29+O29+S29+W29+AA29+AE29+AI29+AM29+AQ29</f>
        <v>15</v>
      </c>
      <c r="AV29" s="314">
        <f>+D29+H29+L29+P29+T29+X29+AB29+AF29+AJ29+AN29+AR29</f>
        <v>15</v>
      </c>
      <c r="AW29" s="314">
        <f>+E29+I29+M29+Q29+U29+Y29+AC29+AG29+AK29+AO29+AS29</f>
        <v>12.79</v>
      </c>
      <c r="AX29" s="314">
        <f>+F29+J29+N29+R29+V29+Z29+AD29+AH29+AL29+AP29+AT29</f>
        <v>-2.2100000000000009</v>
      </c>
    </row>
    <row r="30" spans="1:50" s="308" customFormat="1" ht="17.100000000000001" customHeight="1">
      <c r="A30" s="428"/>
      <c r="B30" s="411"/>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314"/>
      <c r="AV30" s="314"/>
      <c r="AW30" s="314"/>
      <c r="AX30" s="314"/>
    </row>
    <row r="31" spans="1:50" s="308" customFormat="1" ht="17.100000000000001" customHeight="1">
      <c r="A31" s="428"/>
      <c r="B31" s="431" t="s">
        <v>217</v>
      </c>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314"/>
      <c r="AV31" s="314"/>
      <c r="AW31" s="314"/>
      <c r="AX31" s="314"/>
    </row>
    <row r="32" spans="1:50" ht="17.100000000000001" customHeight="1">
      <c r="A32" s="429">
        <v>510000</v>
      </c>
      <c r="B32" s="431" t="s">
        <v>214</v>
      </c>
      <c r="C32" s="269"/>
      <c r="D32" s="269"/>
      <c r="E32" s="269"/>
      <c r="F32" s="314">
        <f>+D32-E32</f>
        <v>0</v>
      </c>
      <c r="G32" s="269"/>
      <c r="H32" s="269"/>
      <c r="I32" s="269"/>
      <c r="J32" s="314">
        <f>+H32-I32</f>
        <v>0</v>
      </c>
      <c r="K32" s="269"/>
      <c r="L32" s="269"/>
      <c r="M32" s="269"/>
      <c r="N32" s="314">
        <f>+L32-M32</f>
        <v>0</v>
      </c>
      <c r="O32" s="269"/>
      <c r="P32" s="269"/>
      <c r="Q32" s="269"/>
      <c r="R32" s="314">
        <f>+P32-Q32</f>
        <v>0</v>
      </c>
      <c r="S32" s="269"/>
      <c r="T32" s="269"/>
      <c r="U32" s="269"/>
      <c r="V32" s="314">
        <f>+T32-U32</f>
        <v>0</v>
      </c>
      <c r="W32" s="269"/>
      <c r="X32" s="269"/>
      <c r="Y32" s="269"/>
      <c r="Z32" s="314">
        <f>+X32-Y32</f>
        <v>0</v>
      </c>
      <c r="AA32" s="269"/>
      <c r="AB32" s="269"/>
      <c r="AC32" s="269"/>
      <c r="AD32" s="314">
        <f>+AB32-AC32</f>
        <v>0</v>
      </c>
      <c r="AE32" s="269"/>
      <c r="AF32" s="269"/>
      <c r="AG32" s="269"/>
      <c r="AH32" s="314">
        <f>+AF32-AG32</f>
        <v>0</v>
      </c>
      <c r="AI32" s="269"/>
      <c r="AJ32" s="269"/>
      <c r="AK32" s="269"/>
      <c r="AL32" s="314">
        <f>+AJ32-AK32</f>
        <v>0</v>
      </c>
      <c r="AM32" s="269"/>
      <c r="AN32" s="269"/>
      <c r="AO32" s="269"/>
      <c r="AP32" s="314">
        <f>+AN32-AO32</f>
        <v>0</v>
      </c>
      <c r="AQ32" s="269"/>
      <c r="AR32" s="269"/>
      <c r="AS32" s="269"/>
      <c r="AT32" s="314">
        <f>+AR32-AS32</f>
        <v>0</v>
      </c>
      <c r="AU32" s="314">
        <f t="shared" ref="AU32:AX33" si="19">+C32+G32+K32+O32+S32+W32+AA32+AE32+AI32+AM32+AQ32</f>
        <v>0</v>
      </c>
      <c r="AV32" s="314">
        <f t="shared" si="19"/>
        <v>0</v>
      </c>
      <c r="AW32" s="314">
        <f t="shared" si="19"/>
        <v>0</v>
      </c>
      <c r="AX32" s="314">
        <f t="shared" si="19"/>
        <v>0</v>
      </c>
    </row>
    <row r="33" spans="1:50" ht="17.100000000000001" customHeight="1" thickBot="1">
      <c r="A33" s="429" t="s">
        <v>801</v>
      </c>
      <c r="B33" s="431" t="s">
        <v>1090</v>
      </c>
      <c r="C33" s="271">
        <v>7000</v>
      </c>
      <c r="D33" s="271">
        <v>7000</v>
      </c>
      <c r="E33" s="271">
        <v>0</v>
      </c>
      <c r="F33" s="316">
        <f>+D33-E33</f>
        <v>7000</v>
      </c>
      <c r="G33" s="271"/>
      <c r="H33" s="271"/>
      <c r="I33" s="271"/>
      <c r="J33" s="316">
        <f>+H33-I33</f>
        <v>0</v>
      </c>
      <c r="K33" s="271"/>
      <c r="L33" s="271"/>
      <c r="M33" s="271"/>
      <c r="N33" s="316">
        <f>+L33-M33</f>
        <v>0</v>
      </c>
      <c r="O33" s="271"/>
      <c r="P33" s="271"/>
      <c r="Q33" s="271"/>
      <c r="R33" s="316">
        <f>+P33-Q33</f>
        <v>0</v>
      </c>
      <c r="S33" s="271"/>
      <c r="T33" s="271"/>
      <c r="U33" s="271"/>
      <c r="V33" s="316">
        <f>+T33-U33</f>
        <v>0</v>
      </c>
      <c r="W33" s="271"/>
      <c r="X33" s="271"/>
      <c r="Y33" s="271"/>
      <c r="Z33" s="316">
        <f>+X33-Y33</f>
        <v>0</v>
      </c>
      <c r="AA33" s="271"/>
      <c r="AB33" s="271"/>
      <c r="AC33" s="271"/>
      <c r="AD33" s="316">
        <f>+AB33-AC33</f>
        <v>0</v>
      </c>
      <c r="AE33" s="271"/>
      <c r="AF33" s="271"/>
      <c r="AG33" s="271"/>
      <c r="AH33" s="316">
        <f>+AF33-AG33</f>
        <v>0</v>
      </c>
      <c r="AI33" s="271"/>
      <c r="AJ33" s="271"/>
      <c r="AK33" s="271"/>
      <c r="AL33" s="316">
        <f>+AJ33-AK33</f>
        <v>0</v>
      </c>
      <c r="AM33" s="271"/>
      <c r="AN33" s="271"/>
      <c r="AO33" s="271"/>
      <c r="AP33" s="316">
        <f>+AN33-AO33</f>
        <v>0</v>
      </c>
      <c r="AQ33" s="271"/>
      <c r="AR33" s="271"/>
      <c r="AS33" s="271"/>
      <c r="AT33" s="316">
        <f>+AR33-AS33</f>
        <v>0</v>
      </c>
      <c r="AU33" s="314">
        <f t="shared" si="19"/>
        <v>7000</v>
      </c>
      <c r="AV33" s="316">
        <f t="shared" si="19"/>
        <v>7000</v>
      </c>
      <c r="AW33" s="316">
        <f t="shared" si="19"/>
        <v>0</v>
      </c>
      <c r="AX33" s="316">
        <f t="shared" si="19"/>
        <v>7000</v>
      </c>
    </row>
    <row r="34" spans="1:50" s="308" customFormat="1" ht="17.100000000000001" customHeight="1" thickBot="1">
      <c r="A34" s="429"/>
      <c r="B34" s="430" t="s">
        <v>1156</v>
      </c>
      <c r="C34" s="278">
        <f>SUM(C31:C33)</f>
        <v>7000</v>
      </c>
      <c r="D34" s="278">
        <f>SUM(D31:D33)</f>
        <v>7000</v>
      </c>
      <c r="E34" s="278">
        <f>SUM(E31:E33)</f>
        <v>0</v>
      </c>
      <c r="F34" s="278">
        <f>SUM(F31:F33)</f>
        <v>7000</v>
      </c>
      <c r="G34" s="278">
        <f t="shared" ref="G34:AT34" si="20">SUM(G31:G33)</f>
        <v>0</v>
      </c>
      <c r="H34" s="278">
        <f t="shared" si="20"/>
        <v>0</v>
      </c>
      <c r="I34" s="278">
        <f t="shared" si="20"/>
        <v>0</v>
      </c>
      <c r="J34" s="278">
        <f t="shared" si="20"/>
        <v>0</v>
      </c>
      <c r="K34" s="278">
        <f t="shared" si="20"/>
        <v>0</v>
      </c>
      <c r="L34" s="278">
        <f t="shared" si="20"/>
        <v>0</v>
      </c>
      <c r="M34" s="278">
        <f t="shared" si="20"/>
        <v>0</v>
      </c>
      <c r="N34" s="278">
        <f t="shared" si="20"/>
        <v>0</v>
      </c>
      <c r="O34" s="278">
        <f t="shared" si="20"/>
        <v>0</v>
      </c>
      <c r="P34" s="278">
        <f t="shared" si="20"/>
        <v>0</v>
      </c>
      <c r="Q34" s="278">
        <f t="shared" si="20"/>
        <v>0</v>
      </c>
      <c r="R34" s="278">
        <f t="shared" si="20"/>
        <v>0</v>
      </c>
      <c r="S34" s="278">
        <f t="shared" si="20"/>
        <v>0</v>
      </c>
      <c r="T34" s="278">
        <f t="shared" si="20"/>
        <v>0</v>
      </c>
      <c r="U34" s="278">
        <f t="shared" si="20"/>
        <v>0</v>
      </c>
      <c r="V34" s="278">
        <f t="shared" si="20"/>
        <v>0</v>
      </c>
      <c r="W34" s="278">
        <f t="shared" si="20"/>
        <v>0</v>
      </c>
      <c r="X34" s="278">
        <f t="shared" si="20"/>
        <v>0</v>
      </c>
      <c r="Y34" s="278">
        <f t="shared" si="20"/>
        <v>0</v>
      </c>
      <c r="Z34" s="278">
        <f t="shared" si="20"/>
        <v>0</v>
      </c>
      <c r="AA34" s="278">
        <f t="shared" si="20"/>
        <v>0</v>
      </c>
      <c r="AB34" s="278">
        <f t="shared" si="20"/>
        <v>0</v>
      </c>
      <c r="AC34" s="278">
        <f t="shared" si="20"/>
        <v>0</v>
      </c>
      <c r="AD34" s="278">
        <f t="shared" si="20"/>
        <v>0</v>
      </c>
      <c r="AE34" s="278">
        <f t="shared" si="20"/>
        <v>0</v>
      </c>
      <c r="AF34" s="278">
        <f t="shared" si="20"/>
        <v>0</v>
      </c>
      <c r="AG34" s="278">
        <f t="shared" si="20"/>
        <v>0</v>
      </c>
      <c r="AH34" s="278">
        <f t="shared" si="20"/>
        <v>0</v>
      </c>
      <c r="AI34" s="278">
        <f t="shared" si="20"/>
        <v>0</v>
      </c>
      <c r="AJ34" s="278">
        <f t="shared" si="20"/>
        <v>0</v>
      </c>
      <c r="AK34" s="278">
        <f t="shared" si="20"/>
        <v>0</v>
      </c>
      <c r="AL34" s="278">
        <f t="shared" si="20"/>
        <v>0</v>
      </c>
      <c r="AM34" s="278">
        <f t="shared" si="20"/>
        <v>0</v>
      </c>
      <c r="AN34" s="278">
        <f t="shared" si="20"/>
        <v>0</v>
      </c>
      <c r="AO34" s="278">
        <f t="shared" si="20"/>
        <v>0</v>
      </c>
      <c r="AP34" s="278">
        <f t="shared" si="20"/>
        <v>0</v>
      </c>
      <c r="AQ34" s="278">
        <f t="shared" si="20"/>
        <v>0</v>
      </c>
      <c r="AR34" s="278">
        <f t="shared" si="20"/>
        <v>0</v>
      </c>
      <c r="AS34" s="278">
        <f t="shared" si="20"/>
        <v>0</v>
      </c>
      <c r="AT34" s="278">
        <f t="shared" si="20"/>
        <v>0</v>
      </c>
      <c r="AU34" s="315">
        <f>+C34+G34+K34+O34+S34+W34+AA34+AE34+AI34+AM34+AQ34</f>
        <v>7000</v>
      </c>
      <c r="AV34" s="315">
        <f t="shared" ref="AV34:AX35" si="21">+D34+H34+L34+P34+T34+X34+AB34+AF34+AJ34+AN34+AR34</f>
        <v>7000</v>
      </c>
      <c r="AW34" s="315">
        <f t="shared" si="21"/>
        <v>0</v>
      </c>
      <c r="AX34" s="315">
        <f t="shared" si="21"/>
        <v>7000</v>
      </c>
    </row>
    <row r="35" spans="1:50" s="308" customFormat="1" ht="30" customHeight="1">
      <c r="A35" s="429"/>
      <c r="B35" s="435" t="s">
        <v>843</v>
      </c>
      <c r="C35" s="277">
        <f>+C29-C34</f>
        <v>-6985</v>
      </c>
      <c r="D35" s="277">
        <f>+D29-D34</f>
        <v>-6985</v>
      </c>
      <c r="E35" s="277">
        <f>+E29-E34</f>
        <v>12.79</v>
      </c>
      <c r="F35" s="277">
        <f>+F29+F34</f>
        <v>6997.79</v>
      </c>
      <c r="G35" s="277">
        <f>+G29-G34</f>
        <v>0</v>
      </c>
      <c r="H35" s="277">
        <f>+H29-H34</f>
        <v>0</v>
      </c>
      <c r="I35" s="277">
        <f>+I29-I34</f>
        <v>0</v>
      </c>
      <c r="J35" s="277">
        <f>+J29+J34</f>
        <v>0</v>
      </c>
      <c r="K35" s="277">
        <f>+K29-K34</f>
        <v>0</v>
      </c>
      <c r="L35" s="277">
        <f>+L29-L34</f>
        <v>0</v>
      </c>
      <c r="M35" s="277">
        <f>+M29-M34</f>
        <v>0</v>
      </c>
      <c r="N35" s="277">
        <f>+N29+N34</f>
        <v>0</v>
      </c>
      <c r="O35" s="277">
        <f>+O29-O34</f>
        <v>0</v>
      </c>
      <c r="P35" s="277">
        <f>+P29-P34</f>
        <v>0</v>
      </c>
      <c r="Q35" s="277">
        <f>+Q29-Q34</f>
        <v>0</v>
      </c>
      <c r="R35" s="277">
        <f>+R29+R34</f>
        <v>0</v>
      </c>
      <c r="S35" s="277">
        <f>+S29-S34</f>
        <v>0</v>
      </c>
      <c r="T35" s="277">
        <f>+T29-T34</f>
        <v>0</v>
      </c>
      <c r="U35" s="277">
        <f>+U29-U34</f>
        <v>0</v>
      </c>
      <c r="V35" s="277">
        <f>+V29+V34</f>
        <v>0</v>
      </c>
      <c r="W35" s="277">
        <f>+W29-W34</f>
        <v>0</v>
      </c>
      <c r="X35" s="277">
        <f>+X29-X34</f>
        <v>0</v>
      </c>
      <c r="Y35" s="277">
        <f>+Y29-Y34</f>
        <v>0</v>
      </c>
      <c r="Z35" s="277">
        <f>+Z29+Z34</f>
        <v>0</v>
      </c>
      <c r="AA35" s="277">
        <f>+AA29-AA34</f>
        <v>0</v>
      </c>
      <c r="AB35" s="277">
        <f>+AB29-AB34</f>
        <v>0</v>
      </c>
      <c r="AC35" s="277">
        <f>+AC29-AC34</f>
        <v>0</v>
      </c>
      <c r="AD35" s="277">
        <f>+AD29+AD34</f>
        <v>0</v>
      </c>
      <c r="AE35" s="277">
        <f>+AE29-AE34</f>
        <v>0</v>
      </c>
      <c r="AF35" s="277">
        <f>+AF29-AF34</f>
        <v>0</v>
      </c>
      <c r="AG35" s="277">
        <f>+AG29-AG34</f>
        <v>0</v>
      </c>
      <c r="AH35" s="277">
        <f>+AH29+AH34</f>
        <v>0</v>
      </c>
      <c r="AI35" s="277">
        <f>+AI29-AI34</f>
        <v>0</v>
      </c>
      <c r="AJ35" s="277">
        <f>+AJ29-AJ34</f>
        <v>0</v>
      </c>
      <c r="AK35" s="277">
        <f>+AK29-AK34</f>
        <v>0</v>
      </c>
      <c r="AL35" s="277">
        <f>+AL29+AL34</f>
        <v>0</v>
      </c>
      <c r="AM35" s="277">
        <f>+AM29-AM34</f>
        <v>0</v>
      </c>
      <c r="AN35" s="277">
        <f>+AN29-AN34</f>
        <v>0</v>
      </c>
      <c r="AO35" s="277">
        <f>+AO29-AO34</f>
        <v>0</v>
      </c>
      <c r="AP35" s="277">
        <f>+AP29+AP34</f>
        <v>0</v>
      </c>
      <c r="AQ35" s="277">
        <f>+AQ29-AQ34</f>
        <v>0</v>
      </c>
      <c r="AR35" s="277">
        <f>+AR29-AR34</f>
        <v>0</v>
      </c>
      <c r="AS35" s="277">
        <f>+AS29-AS34</f>
        <v>0</v>
      </c>
      <c r="AT35" s="277">
        <f>+AT29+AT34</f>
        <v>0</v>
      </c>
      <c r="AU35" s="314">
        <f>+C35+G35+K35+O35+S35+W35+AA35+AE35+AI35+AM35+AQ35</f>
        <v>-6985</v>
      </c>
      <c r="AV35" s="314">
        <f t="shared" si="21"/>
        <v>-6985</v>
      </c>
      <c r="AW35" s="314">
        <f t="shared" si="21"/>
        <v>12.79</v>
      </c>
      <c r="AX35" s="314">
        <f t="shared" si="21"/>
        <v>6997.79</v>
      </c>
    </row>
    <row r="36" spans="1:50" s="308" customFormat="1" ht="17.100000000000001" customHeight="1">
      <c r="A36" s="429"/>
      <c r="B36" s="431" t="s">
        <v>1158</v>
      </c>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row>
    <row r="37" spans="1:50" ht="17.100000000000001" customHeight="1">
      <c r="A37" s="429">
        <v>381000</v>
      </c>
      <c r="B37" s="411" t="s">
        <v>479</v>
      </c>
      <c r="C37" s="269"/>
      <c r="D37" s="269"/>
      <c r="E37" s="269"/>
      <c r="F37" s="314">
        <f t="shared" ref="F37:F46" si="22">-D37+E37</f>
        <v>0</v>
      </c>
      <c r="G37" s="269"/>
      <c r="H37" s="269"/>
      <c r="I37" s="269"/>
      <c r="J37" s="314">
        <f t="shared" ref="J37:J46" si="23">-H37+I37</f>
        <v>0</v>
      </c>
      <c r="K37" s="269"/>
      <c r="L37" s="269"/>
      <c r="M37" s="269"/>
      <c r="N37" s="314">
        <f t="shared" ref="N37:N46" si="24">-L37+M37</f>
        <v>0</v>
      </c>
      <c r="O37" s="269"/>
      <c r="P37" s="269"/>
      <c r="Q37" s="269"/>
      <c r="R37" s="314">
        <f t="shared" ref="R37:R46" si="25">-P37+Q37</f>
        <v>0</v>
      </c>
      <c r="S37" s="269"/>
      <c r="T37" s="269"/>
      <c r="U37" s="269"/>
      <c r="V37" s="314">
        <f t="shared" ref="V37:V46" si="26">-T37+U37</f>
        <v>0</v>
      </c>
      <c r="W37" s="269"/>
      <c r="X37" s="269"/>
      <c r="Y37" s="269"/>
      <c r="Z37" s="314">
        <f t="shared" ref="Z37:Z46" si="27">-X37+Y37</f>
        <v>0</v>
      </c>
      <c r="AA37" s="269"/>
      <c r="AB37" s="269"/>
      <c r="AC37" s="269"/>
      <c r="AD37" s="314">
        <f t="shared" ref="AD37:AD46" si="28">-AB37+AC37</f>
        <v>0</v>
      </c>
      <c r="AE37" s="269"/>
      <c r="AF37" s="269"/>
      <c r="AG37" s="269"/>
      <c r="AH37" s="314">
        <f t="shared" ref="AH37:AH46" si="29">-AF37+AG37</f>
        <v>0</v>
      </c>
      <c r="AI37" s="269"/>
      <c r="AJ37" s="269"/>
      <c r="AK37" s="269"/>
      <c r="AL37" s="314">
        <f t="shared" ref="AL37:AL46" si="30">-AJ37+AK37</f>
        <v>0</v>
      </c>
      <c r="AM37" s="269"/>
      <c r="AN37" s="269"/>
      <c r="AO37" s="269"/>
      <c r="AP37" s="314">
        <f t="shared" ref="AP37:AP46" si="31">-AN37+AO37</f>
        <v>0</v>
      </c>
      <c r="AQ37" s="269"/>
      <c r="AR37" s="269"/>
      <c r="AS37" s="269"/>
      <c r="AT37" s="314">
        <f t="shared" ref="AT37:AT42" si="32">-AR37+AS37</f>
        <v>0</v>
      </c>
      <c r="AU37" s="314">
        <f t="shared" ref="AU37:AU42" si="33">+C37+G37+K37+O37+S37+W37+AA37+AE37+AI37+AM37+AQ37</f>
        <v>0</v>
      </c>
      <c r="AV37" s="314">
        <f t="shared" ref="AV37:AV42" si="34">+D37+H37+L37+P37+T37+X37+AB37+AF37+AJ37+AN37+AR37</f>
        <v>0</v>
      </c>
      <c r="AW37" s="314">
        <f t="shared" ref="AW37:AW42" si="35">+E37+I37+M37+Q37+U37+Y37+AC37+AG37+AK37+AO37+AS37</f>
        <v>0</v>
      </c>
      <c r="AX37" s="314">
        <f t="shared" ref="AX37:AX42" si="36">+F37+J37+N37+R37+V37+Z37+AD37+AH37+AL37+AP37+AT37</f>
        <v>0</v>
      </c>
    </row>
    <row r="38" spans="1:50" ht="17.100000000000001" customHeight="1">
      <c r="A38" s="429">
        <v>381000</v>
      </c>
      <c r="B38" s="411" t="s">
        <v>1117</v>
      </c>
      <c r="C38" s="269"/>
      <c r="D38" s="269"/>
      <c r="E38" s="269"/>
      <c r="F38" s="314">
        <f t="shared" si="22"/>
        <v>0</v>
      </c>
      <c r="G38" s="269"/>
      <c r="H38" s="269"/>
      <c r="I38" s="269"/>
      <c r="J38" s="314">
        <f t="shared" si="23"/>
        <v>0</v>
      </c>
      <c r="K38" s="269"/>
      <c r="L38" s="269"/>
      <c r="M38" s="269"/>
      <c r="N38" s="314">
        <f t="shared" si="24"/>
        <v>0</v>
      </c>
      <c r="O38" s="269"/>
      <c r="P38" s="269"/>
      <c r="Q38" s="269"/>
      <c r="R38" s="314">
        <f t="shared" si="25"/>
        <v>0</v>
      </c>
      <c r="S38" s="269"/>
      <c r="T38" s="269"/>
      <c r="U38" s="269"/>
      <c r="V38" s="314">
        <f t="shared" si="26"/>
        <v>0</v>
      </c>
      <c r="W38" s="269"/>
      <c r="X38" s="269"/>
      <c r="Y38" s="269"/>
      <c r="Z38" s="314">
        <f t="shared" si="27"/>
        <v>0</v>
      </c>
      <c r="AA38" s="269"/>
      <c r="AB38" s="269"/>
      <c r="AC38" s="269"/>
      <c r="AD38" s="314">
        <f t="shared" si="28"/>
        <v>0</v>
      </c>
      <c r="AE38" s="269"/>
      <c r="AF38" s="269"/>
      <c r="AG38" s="269"/>
      <c r="AH38" s="314">
        <f t="shared" si="29"/>
        <v>0</v>
      </c>
      <c r="AI38" s="269"/>
      <c r="AJ38" s="269"/>
      <c r="AK38" s="269"/>
      <c r="AL38" s="314">
        <f t="shared" si="30"/>
        <v>0</v>
      </c>
      <c r="AM38" s="269"/>
      <c r="AN38" s="269"/>
      <c r="AO38" s="269"/>
      <c r="AP38" s="314">
        <f t="shared" si="31"/>
        <v>0</v>
      </c>
      <c r="AQ38" s="269"/>
      <c r="AR38" s="269"/>
      <c r="AS38" s="269"/>
      <c r="AT38" s="314">
        <f t="shared" si="32"/>
        <v>0</v>
      </c>
      <c r="AU38" s="314">
        <f t="shared" si="33"/>
        <v>0</v>
      </c>
      <c r="AV38" s="314">
        <f t="shared" si="34"/>
        <v>0</v>
      </c>
      <c r="AW38" s="314">
        <f t="shared" si="35"/>
        <v>0</v>
      </c>
      <c r="AX38" s="314">
        <f t="shared" si="36"/>
        <v>0</v>
      </c>
    </row>
    <row r="39" spans="1:50" ht="17.100000000000001" customHeight="1">
      <c r="A39" s="429">
        <v>381070</v>
      </c>
      <c r="B39" s="411" t="s">
        <v>549</v>
      </c>
      <c r="C39" s="269"/>
      <c r="D39" s="269"/>
      <c r="E39" s="269"/>
      <c r="F39" s="314">
        <f t="shared" si="22"/>
        <v>0</v>
      </c>
      <c r="G39" s="269"/>
      <c r="H39" s="269"/>
      <c r="I39" s="269"/>
      <c r="J39" s="314">
        <f t="shared" si="23"/>
        <v>0</v>
      </c>
      <c r="K39" s="269"/>
      <c r="L39" s="269"/>
      <c r="M39" s="269"/>
      <c r="N39" s="314">
        <f t="shared" si="24"/>
        <v>0</v>
      </c>
      <c r="O39" s="269"/>
      <c r="P39" s="269"/>
      <c r="Q39" s="269"/>
      <c r="R39" s="314">
        <f t="shared" si="25"/>
        <v>0</v>
      </c>
      <c r="S39" s="269"/>
      <c r="T39" s="269"/>
      <c r="U39" s="269"/>
      <c r="V39" s="314">
        <f t="shared" si="26"/>
        <v>0</v>
      </c>
      <c r="W39" s="269"/>
      <c r="X39" s="269"/>
      <c r="Y39" s="269"/>
      <c r="Z39" s="314">
        <f t="shared" si="27"/>
        <v>0</v>
      </c>
      <c r="AA39" s="269"/>
      <c r="AB39" s="269"/>
      <c r="AC39" s="269"/>
      <c r="AD39" s="314">
        <f t="shared" si="28"/>
        <v>0</v>
      </c>
      <c r="AE39" s="269"/>
      <c r="AF39" s="269"/>
      <c r="AG39" s="269"/>
      <c r="AH39" s="314">
        <f t="shared" si="29"/>
        <v>0</v>
      </c>
      <c r="AI39" s="269"/>
      <c r="AJ39" s="269"/>
      <c r="AK39" s="269"/>
      <c r="AL39" s="314">
        <f t="shared" si="30"/>
        <v>0</v>
      </c>
      <c r="AM39" s="269"/>
      <c r="AN39" s="269"/>
      <c r="AO39" s="269"/>
      <c r="AP39" s="314">
        <f t="shared" si="31"/>
        <v>0</v>
      </c>
      <c r="AQ39" s="269"/>
      <c r="AR39" s="269"/>
      <c r="AS39" s="269"/>
      <c r="AT39" s="314">
        <f t="shared" si="32"/>
        <v>0</v>
      </c>
      <c r="AU39" s="314">
        <f t="shared" si="33"/>
        <v>0</v>
      </c>
      <c r="AV39" s="314">
        <f t="shared" si="34"/>
        <v>0</v>
      </c>
      <c r="AW39" s="314">
        <f t="shared" si="35"/>
        <v>0</v>
      </c>
      <c r="AX39" s="314">
        <f t="shared" si="36"/>
        <v>0</v>
      </c>
    </row>
    <row r="40" spans="1:50" ht="17.100000000000001" customHeight="1">
      <c r="A40" s="429">
        <v>382010</v>
      </c>
      <c r="B40" s="411" t="s">
        <v>1159</v>
      </c>
      <c r="C40" s="269"/>
      <c r="D40" s="269"/>
      <c r="E40" s="269"/>
      <c r="F40" s="314">
        <f t="shared" si="22"/>
        <v>0</v>
      </c>
      <c r="G40" s="269"/>
      <c r="H40" s="269"/>
      <c r="I40" s="269"/>
      <c r="J40" s="314">
        <f t="shared" si="23"/>
        <v>0</v>
      </c>
      <c r="K40" s="269"/>
      <c r="L40" s="269"/>
      <c r="M40" s="269"/>
      <c r="N40" s="314">
        <f t="shared" si="24"/>
        <v>0</v>
      </c>
      <c r="O40" s="269"/>
      <c r="P40" s="269"/>
      <c r="Q40" s="269"/>
      <c r="R40" s="314">
        <f t="shared" si="25"/>
        <v>0</v>
      </c>
      <c r="S40" s="269"/>
      <c r="T40" s="269"/>
      <c r="U40" s="269"/>
      <c r="V40" s="314">
        <f t="shared" si="26"/>
        <v>0</v>
      </c>
      <c r="W40" s="269"/>
      <c r="X40" s="269"/>
      <c r="Y40" s="269"/>
      <c r="Z40" s="314">
        <f t="shared" si="27"/>
        <v>0</v>
      </c>
      <c r="AA40" s="269"/>
      <c r="AB40" s="269"/>
      <c r="AC40" s="269"/>
      <c r="AD40" s="314">
        <f t="shared" si="28"/>
        <v>0</v>
      </c>
      <c r="AE40" s="269"/>
      <c r="AF40" s="269"/>
      <c r="AG40" s="269"/>
      <c r="AH40" s="314">
        <f t="shared" si="29"/>
        <v>0</v>
      </c>
      <c r="AI40" s="269"/>
      <c r="AJ40" s="269"/>
      <c r="AK40" s="269"/>
      <c r="AL40" s="314">
        <f t="shared" si="30"/>
        <v>0</v>
      </c>
      <c r="AM40" s="269"/>
      <c r="AN40" s="269"/>
      <c r="AO40" s="269"/>
      <c r="AP40" s="314">
        <f t="shared" si="31"/>
        <v>0</v>
      </c>
      <c r="AQ40" s="269"/>
      <c r="AR40" s="269"/>
      <c r="AS40" s="269"/>
      <c r="AT40" s="314">
        <f t="shared" si="32"/>
        <v>0</v>
      </c>
      <c r="AU40" s="314">
        <f t="shared" si="33"/>
        <v>0</v>
      </c>
      <c r="AV40" s="314">
        <f t="shared" si="34"/>
        <v>0</v>
      </c>
      <c r="AW40" s="314">
        <f t="shared" si="35"/>
        <v>0</v>
      </c>
      <c r="AX40" s="314">
        <f t="shared" si="36"/>
        <v>0</v>
      </c>
    </row>
    <row r="41" spans="1:50" ht="17.100000000000001" customHeight="1">
      <c r="A41" s="429">
        <v>383000</v>
      </c>
      <c r="B41" s="411" t="s">
        <v>1161</v>
      </c>
      <c r="C41" s="269">
        <v>1200</v>
      </c>
      <c r="D41" s="269">
        <v>1200</v>
      </c>
      <c r="E41" s="269">
        <v>1200</v>
      </c>
      <c r="F41" s="314">
        <f t="shared" si="22"/>
        <v>0</v>
      </c>
      <c r="G41" s="269"/>
      <c r="H41" s="269"/>
      <c r="I41" s="269"/>
      <c r="J41" s="314">
        <f t="shared" si="23"/>
        <v>0</v>
      </c>
      <c r="K41" s="269"/>
      <c r="L41" s="269"/>
      <c r="M41" s="269"/>
      <c r="N41" s="314">
        <f t="shared" si="24"/>
        <v>0</v>
      </c>
      <c r="O41" s="269"/>
      <c r="P41" s="269"/>
      <c r="Q41" s="269"/>
      <c r="R41" s="314">
        <f t="shared" si="25"/>
        <v>0</v>
      </c>
      <c r="S41" s="269"/>
      <c r="T41" s="269"/>
      <c r="U41" s="269"/>
      <c r="V41" s="314">
        <f t="shared" si="26"/>
        <v>0</v>
      </c>
      <c r="W41" s="269"/>
      <c r="X41" s="269"/>
      <c r="Y41" s="269"/>
      <c r="Z41" s="314">
        <f t="shared" si="27"/>
        <v>0</v>
      </c>
      <c r="AA41" s="269"/>
      <c r="AB41" s="269"/>
      <c r="AC41" s="269"/>
      <c r="AD41" s="314">
        <f t="shared" si="28"/>
        <v>0</v>
      </c>
      <c r="AE41" s="269"/>
      <c r="AF41" s="269"/>
      <c r="AG41" s="269"/>
      <c r="AH41" s="314">
        <f t="shared" si="29"/>
        <v>0</v>
      </c>
      <c r="AI41" s="269"/>
      <c r="AJ41" s="269"/>
      <c r="AK41" s="269"/>
      <c r="AL41" s="314">
        <f t="shared" si="30"/>
        <v>0</v>
      </c>
      <c r="AM41" s="269"/>
      <c r="AN41" s="269"/>
      <c r="AO41" s="269"/>
      <c r="AP41" s="314">
        <f t="shared" si="31"/>
        <v>0</v>
      </c>
      <c r="AQ41" s="269"/>
      <c r="AR41" s="269"/>
      <c r="AS41" s="269"/>
      <c r="AT41" s="314">
        <f t="shared" si="32"/>
        <v>0</v>
      </c>
      <c r="AU41" s="314">
        <f t="shared" si="33"/>
        <v>1200</v>
      </c>
      <c r="AV41" s="314">
        <f t="shared" si="34"/>
        <v>1200</v>
      </c>
      <c r="AW41" s="314">
        <f t="shared" si="35"/>
        <v>1200</v>
      </c>
      <c r="AX41" s="314">
        <f t="shared" si="36"/>
        <v>0</v>
      </c>
    </row>
    <row r="42" spans="1:50" ht="17.100000000000001" customHeight="1">
      <c r="A42" s="429">
        <v>520000</v>
      </c>
      <c r="B42" s="411" t="s">
        <v>1791</v>
      </c>
      <c r="C42" s="269"/>
      <c r="D42" s="269"/>
      <c r="E42" s="269"/>
      <c r="F42" s="314">
        <f t="shared" si="22"/>
        <v>0</v>
      </c>
      <c r="G42" s="269"/>
      <c r="H42" s="269"/>
      <c r="I42" s="269"/>
      <c r="J42" s="314">
        <f t="shared" si="23"/>
        <v>0</v>
      </c>
      <c r="K42" s="269"/>
      <c r="L42" s="269"/>
      <c r="M42" s="269"/>
      <c r="N42" s="314">
        <f t="shared" si="24"/>
        <v>0</v>
      </c>
      <c r="O42" s="269"/>
      <c r="P42" s="269"/>
      <c r="Q42" s="269"/>
      <c r="R42" s="314">
        <f t="shared" si="25"/>
        <v>0</v>
      </c>
      <c r="S42" s="269"/>
      <c r="T42" s="269"/>
      <c r="U42" s="269"/>
      <c r="V42" s="314">
        <f t="shared" si="26"/>
        <v>0</v>
      </c>
      <c r="W42" s="269"/>
      <c r="X42" s="269"/>
      <c r="Y42" s="269"/>
      <c r="Z42" s="314">
        <f t="shared" si="27"/>
        <v>0</v>
      </c>
      <c r="AA42" s="269"/>
      <c r="AB42" s="269"/>
      <c r="AC42" s="269"/>
      <c r="AD42" s="314">
        <f t="shared" si="28"/>
        <v>0</v>
      </c>
      <c r="AE42" s="269"/>
      <c r="AF42" s="269"/>
      <c r="AG42" s="269"/>
      <c r="AH42" s="314">
        <f t="shared" si="29"/>
        <v>0</v>
      </c>
      <c r="AI42" s="269"/>
      <c r="AJ42" s="269"/>
      <c r="AK42" s="269"/>
      <c r="AL42" s="314">
        <f t="shared" si="30"/>
        <v>0</v>
      </c>
      <c r="AM42" s="269"/>
      <c r="AN42" s="269"/>
      <c r="AO42" s="269"/>
      <c r="AP42" s="314">
        <f t="shared" si="31"/>
        <v>0</v>
      </c>
      <c r="AQ42" s="269"/>
      <c r="AR42" s="269"/>
      <c r="AS42" s="269"/>
      <c r="AT42" s="314">
        <f t="shared" si="32"/>
        <v>0</v>
      </c>
      <c r="AU42" s="314">
        <f t="shared" si="33"/>
        <v>0</v>
      </c>
      <c r="AV42" s="314">
        <f t="shared" si="34"/>
        <v>0</v>
      </c>
      <c r="AW42" s="314">
        <f t="shared" si="35"/>
        <v>0</v>
      </c>
      <c r="AX42" s="314">
        <f t="shared" si="36"/>
        <v>0</v>
      </c>
    </row>
    <row r="43" spans="1:50" ht="17.100000000000001" customHeight="1">
      <c r="A43" s="429">
        <v>384000</v>
      </c>
      <c r="B43" s="411" t="s">
        <v>1755</v>
      </c>
      <c r="C43" s="269"/>
      <c r="D43" s="269"/>
      <c r="E43" s="269"/>
      <c r="F43" s="314">
        <f t="shared" si="22"/>
        <v>0</v>
      </c>
      <c r="G43" s="269"/>
      <c r="H43" s="269"/>
      <c r="I43" s="269"/>
      <c r="J43" s="314">
        <f t="shared" si="23"/>
        <v>0</v>
      </c>
      <c r="K43" s="269"/>
      <c r="L43" s="269"/>
      <c r="M43" s="269"/>
      <c r="N43" s="314">
        <f t="shared" si="24"/>
        <v>0</v>
      </c>
      <c r="O43" s="269"/>
      <c r="P43" s="269"/>
      <c r="Q43" s="269"/>
      <c r="R43" s="314">
        <f t="shared" si="25"/>
        <v>0</v>
      </c>
      <c r="S43" s="269"/>
      <c r="T43" s="269"/>
      <c r="U43" s="269"/>
      <c r="V43" s="314">
        <f t="shared" si="26"/>
        <v>0</v>
      </c>
      <c r="W43" s="269"/>
      <c r="X43" s="269"/>
      <c r="Y43" s="269"/>
      <c r="Z43" s="314">
        <f t="shared" si="27"/>
        <v>0</v>
      </c>
      <c r="AA43" s="269"/>
      <c r="AB43" s="269"/>
      <c r="AC43" s="269"/>
      <c r="AD43" s="314">
        <f t="shared" si="28"/>
        <v>0</v>
      </c>
      <c r="AE43" s="269"/>
      <c r="AF43" s="269"/>
      <c r="AG43" s="269"/>
      <c r="AH43" s="314">
        <f t="shared" si="29"/>
        <v>0</v>
      </c>
      <c r="AI43" s="269"/>
      <c r="AJ43" s="269"/>
      <c r="AK43" s="269"/>
      <c r="AL43" s="314">
        <f t="shared" si="30"/>
        <v>0</v>
      </c>
      <c r="AM43" s="269"/>
      <c r="AN43" s="269"/>
      <c r="AO43" s="269"/>
      <c r="AP43" s="314">
        <f t="shared" si="31"/>
        <v>0</v>
      </c>
      <c r="AQ43" s="269"/>
      <c r="AR43" s="269"/>
      <c r="AS43" s="269"/>
      <c r="AT43" s="314">
        <f>-AR43+AS43</f>
        <v>0</v>
      </c>
      <c r="AU43" s="314">
        <f t="shared" ref="AU43:AX46" si="37">+C43+G43+K43+O43+S43+W43+AA43+AE43+AI43+AM43+AQ43</f>
        <v>0</v>
      </c>
      <c r="AV43" s="314">
        <f t="shared" si="37"/>
        <v>0</v>
      </c>
      <c r="AW43" s="314">
        <f t="shared" si="37"/>
        <v>0</v>
      </c>
      <c r="AX43" s="314">
        <f t="shared" si="37"/>
        <v>0</v>
      </c>
    </row>
    <row r="44" spans="1:50" ht="17.100000000000001" customHeight="1">
      <c r="A44" s="429">
        <v>385000</v>
      </c>
      <c r="B44" s="411" t="s">
        <v>1751</v>
      </c>
      <c r="C44" s="269"/>
      <c r="D44" s="269"/>
      <c r="E44" s="269"/>
      <c r="F44" s="314">
        <f t="shared" si="22"/>
        <v>0</v>
      </c>
      <c r="G44" s="269"/>
      <c r="H44" s="269"/>
      <c r="I44" s="269"/>
      <c r="J44" s="314">
        <f t="shared" si="23"/>
        <v>0</v>
      </c>
      <c r="K44" s="269"/>
      <c r="L44" s="269"/>
      <c r="M44" s="269"/>
      <c r="N44" s="314">
        <f t="shared" si="24"/>
        <v>0</v>
      </c>
      <c r="O44" s="269"/>
      <c r="P44" s="269"/>
      <c r="Q44" s="269"/>
      <c r="R44" s="314">
        <f t="shared" si="25"/>
        <v>0</v>
      </c>
      <c r="S44" s="269"/>
      <c r="T44" s="269"/>
      <c r="U44" s="269"/>
      <c r="V44" s="314">
        <f t="shared" si="26"/>
        <v>0</v>
      </c>
      <c r="W44" s="269"/>
      <c r="X44" s="269"/>
      <c r="Y44" s="269"/>
      <c r="Z44" s="314">
        <f t="shared" si="27"/>
        <v>0</v>
      </c>
      <c r="AA44" s="269"/>
      <c r="AB44" s="269"/>
      <c r="AC44" s="269"/>
      <c r="AD44" s="314">
        <f t="shared" si="28"/>
        <v>0</v>
      </c>
      <c r="AE44" s="269"/>
      <c r="AF44" s="269"/>
      <c r="AG44" s="269"/>
      <c r="AH44" s="314">
        <f t="shared" si="29"/>
        <v>0</v>
      </c>
      <c r="AI44" s="269"/>
      <c r="AJ44" s="269"/>
      <c r="AK44" s="269"/>
      <c r="AL44" s="314">
        <f t="shared" si="30"/>
        <v>0</v>
      </c>
      <c r="AM44" s="269"/>
      <c r="AN44" s="269"/>
      <c r="AO44" s="269"/>
      <c r="AP44" s="314">
        <f t="shared" si="31"/>
        <v>0</v>
      </c>
      <c r="AQ44" s="269"/>
      <c r="AR44" s="269"/>
      <c r="AS44" s="269"/>
      <c r="AT44" s="314">
        <f>-AR44+AS44</f>
        <v>0</v>
      </c>
      <c r="AU44" s="314">
        <f t="shared" si="37"/>
        <v>0</v>
      </c>
      <c r="AV44" s="314">
        <f t="shared" si="37"/>
        <v>0</v>
      </c>
      <c r="AW44" s="314">
        <f t="shared" si="37"/>
        <v>0</v>
      </c>
      <c r="AX44" s="314">
        <f t="shared" si="37"/>
        <v>0</v>
      </c>
    </row>
    <row r="45" spans="1:50" ht="17.100000000000001" customHeight="1">
      <c r="A45" s="429">
        <v>524000</v>
      </c>
      <c r="B45" s="411" t="s">
        <v>1756</v>
      </c>
      <c r="C45" s="269"/>
      <c r="D45" s="269"/>
      <c r="E45" s="269"/>
      <c r="F45" s="314">
        <f t="shared" si="22"/>
        <v>0</v>
      </c>
      <c r="G45" s="269"/>
      <c r="H45" s="269"/>
      <c r="I45" s="269"/>
      <c r="J45" s="314">
        <f t="shared" si="23"/>
        <v>0</v>
      </c>
      <c r="K45" s="269"/>
      <c r="L45" s="269"/>
      <c r="M45" s="269"/>
      <c r="N45" s="314">
        <f t="shared" si="24"/>
        <v>0</v>
      </c>
      <c r="O45" s="269"/>
      <c r="P45" s="269"/>
      <c r="Q45" s="269"/>
      <c r="R45" s="314">
        <f t="shared" si="25"/>
        <v>0</v>
      </c>
      <c r="S45" s="269"/>
      <c r="T45" s="269"/>
      <c r="U45" s="269"/>
      <c r="V45" s="314">
        <f t="shared" si="26"/>
        <v>0</v>
      </c>
      <c r="W45" s="269"/>
      <c r="X45" s="269"/>
      <c r="Y45" s="269"/>
      <c r="Z45" s="314">
        <f t="shared" si="27"/>
        <v>0</v>
      </c>
      <c r="AA45" s="269"/>
      <c r="AB45" s="269"/>
      <c r="AC45" s="269"/>
      <c r="AD45" s="314">
        <f t="shared" si="28"/>
        <v>0</v>
      </c>
      <c r="AE45" s="269"/>
      <c r="AF45" s="269"/>
      <c r="AG45" s="269"/>
      <c r="AH45" s="314">
        <f t="shared" si="29"/>
        <v>0</v>
      </c>
      <c r="AI45" s="269"/>
      <c r="AJ45" s="269"/>
      <c r="AK45" s="269"/>
      <c r="AL45" s="314">
        <f t="shared" si="30"/>
        <v>0</v>
      </c>
      <c r="AM45" s="269"/>
      <c r="AN45" s="269"/>
      <c r="AO45" s="269"/>
      <c r="AP45" s="314">
        <f t="shared" si="31"/>
        <v>0</v>
      </c>
      <c r="AQ45" s="269"/>
      <c r="AR45" s="269"/>
      <c r="AS45" s="269"/>
      <c r="AT45" s="314">
        <f>-AR45+AS45</f>
        <v>0</v>
      </c>
      <c r="AU45" s="314">
        <f t="shared" si="37"/>
        <v>0</v>
      </c>
      <c r="AV45" s="314">
        <f t="shared" si="37"/>
        <v>0</v>
      </c>
      <c r="AW45" s="314">
        <f t="shared" si="37"/>
        <v>0</v>
      </c>
      <c r="AX45" s="314">
        <f t="shared" si="37"/>
        <v>0</v>
      </c>
    </row>
    <row r="46" spans="1:50" ht="17.100000000000001" customHeight="1" thickBot="1">
      <c r="A46" s="429">
        <v>525000</v>
      </c>
      <c r="B46" s="411" t="s">
        <v>1758</v>
      </c>
      <c r="C46" s="278"/>
      <c r="D46" s="278"/>
      <c r="E46" s="278"/>
      <c r="F46" s="316">
        <f t="shared" si="22"/>
        <v>0</v>
      </c>
      <c r="G46" s="278"/>
      <c r="H46" s="278"/>
      <c r="I46" s="278"/>
      <c r="J46" s="316">
        <f t="shared" si="23"/>
        <v>0</v>
      </c>
      <c r="K46" s="278"/>
      <c r="L46" s="278"/>
      <c r="M46" s="278"/>
      <c r="N46" s="316">
        <f t="shared" si="24"/>
        <v>0</v>
      </c>
      <c r="O46" s="278"/>
      <c r="P46" s="278"/>
      <c r="Q46" s="278"/>
      <c r="R46" s="316">
        <f t="shared" si="25"/>
        <v>0</v>
      </c>
      <c r="S46" s="278"/>
      <c r="T46" s="278"/>
      <c r="U46" s="278"/>
      <c r="V46" s="316">
        <f t="shared" si="26"/>
        <v>0</v>
      </c>
      <c r="W46" s="278"/>
      <c r="X46" s="278"/>
      <c r="Y46" s="278"/>
      <c r="Z46" s="316">
        <f t="shared" si="27"/>
        <v>0</v>
      </c>
      <c r="AA46" s="278"/>
      <c r="AB46" s="278"/>
      <c r="AC46" s="278"/>
      <c r="AD46" s="316">
        <f t="shared" si="28"/>
        <v>0</v>
      </c>
      <c r="AE46" s="278"/>
      <c r="AF46" s="278"/>
      <c r="AG46" s="278"/>
      <c r="AH46" s="316">
        <f t="shared" si="29"/>
        <v>0</v>
      </c>
      <c r="AI46" s="278"/>
      <c r="AJ46" s="278"/>
      <c r="AK46" s="278"/>
      <c r="AL46" s="316">
        <f t="shared" si="30"/>
        <v>0</v>
      </c>
      <c r="AM46" s="278"/>
      <c r="AN46" s="278"/>
      <c r="AO46" s="278"/>
      <c r="AP46" s="316">
        <f t="shared" si="31"/>
        <v>0</v>
      </c>
      <c r="AQ46" s="278"/>
      <c r="AR46" s="278"/>
      <c r="AS46" s="278"/>
      <c r="AT46" s="316">
        <f>-AR46+AS46</f>
        <v>0</v>
      </c>
      <c r="AU46" s="314">
        <f t="shared" si="37"/>
        <v>0</v>
      </c>
      <c r="AV46" s="314">
        <f t="shared" si="37"/>
        <v>0</v>
      </c>
      <c r="AW46" s="314">
        <f t="shared" si="37"/>
        <v>0</v>
      </c>
      <c r="AX46" s="314">
        <f t="shared" si="37"/>
        <v>0</v>
      </c>
    </row>
    <row r="47" spans="1:50" s="308" customFormat="1" ht="17.100000000000001" customHeight="1" thickBot="1">
      <c r="A47" s="429"/>
      <c r="B47" s="430" t="s">
        <v>237</v>
      </c>
      <c r="C47" s="278">
        <f>SUM(C36:C46)</f>
        <v>1200</v>
      </c>
      <c r="D47" s="278">
        <f>SUM(D36:D46)</f>
        <v>1200</v>
      </c>
      <c r="E47" s="278">
        <f>SUM(E36:E46)</f>
        <v>1200</v>
      </c>
      <c r="F47" s="278">
        <f>SUM(F36:F46)</f>
        <v>0</v>
      </c>
      <c r="G47" s="278">
        <f t="shared" ref="G47:AT47" si="38">SUM(G36:G46)</f>
        <v>0</v>
      </c>
      <c r="H47" s="278">
        <f t="shared" si="38"/>
        <v>0</v>
      </c>
      <c r="I47" s="278">
        <f t="shared" si="38"/>
        <v>0</v>
      </c>
      <c r="J47" s="278">
        <f t="shared" si="38"/>
        <v>0</v>
      </c>
      <c r="K47" s="278">
        <f t="shared" si="38"/>
        <v>0</v>
      </c>
      <c r="L47" s="278">
        <f t="shared" si="38"/>
        <v>0</v>
      </c>
      <c r="M47" s="278">
        <f t="shared" si="38"/>
        <v>0</v>
      </c>
      <c r="N47" s="278">
        <f t="shared" si="38"/>
        <v>0</v>
      </c>
      <c r="O47" s="278">
        <f t="shared" si="38"/>
        <v>0</v>
      </c>
      <c r="P47" s="278">
        <f t="shared" si="38"/>
        <v>0</v>
      </c>
      <c r="Q47" s="278">
        <f t="shared" si="38"/>
        <v>0</v>
      </c>
      <c r="R47" s="278">
        <f t="shared" si="38"/>
        <v>0</v>
      </c>
      <c r="S47" s="278">
        <f t="shared" si="38"/>
        <v>0</v>
      </c>
      <c r="T47" s="278">
        <f t="shared" si="38"/>
        <v>0</v>
      </c>
      <c r="U47" s="278">
        <f t="shared" si="38"/>
        <v>0</v>
      </c>
      <c r="V47" s="278">
        <f t="shared" si="38"/>
        <v>0</v>
      </c>
      <c r="W47" s="278">
        <f t="shared" si="38"/>
        <v>0</v>
      </c>
      <c r="X47" s="278">
        <f t="shared" si="38"/>
        <v>0</v>
      </c>
      <c r="Y47" s="278">
        <f t="shared" si="38"/>
        <v>0</v>
      </c>
      <c r="Z47" s="278">
        <f t="shared" si="38"/>
        <v>0</v>
      </c>
      <c r="AA47" s="278">
        <f t="shared" si="38"/>
        <v>0</v>
      </c>
      <c r="AB47" s="278">
        <f t="shared" si="38"/>
        <v>0</v>
      </c>
      <c r="AC47" s="278">
        <f t="shared" si="38"/>
        <v>0</v>
      </c>
      <c r="AD47" s="278">
        <f t="shared" si="38"/>
        <v>0</v>
      </c>
      <c r="AE47" s="278">
        <f t="shared" si="38"/>
        <v>0</v>
      </c>
      <c r="AF47" s="278">
        <f t="shared" si="38"/>
        <v>0</v>
      </c>
      <c r="AG47" s="278">
        <f t="shared" si="38"/>
        <v>0</v>
      </c>
      <c r="AH47" s="278">
        <f t="shared" si="38"/>
        <v>0</v>
      </c>
      <c r="AI47" s="278">
        <f t="shared" si="38"/>
        <v>0</v>
      </c>
      <c r="AJ47" s="278">
        <f t="shared" si="38"/>
        <v>0</v>
      </c>
      <c r="AK47" s="278">
        <f t="shared" si="38"/>
        <v>0</v>
      </c>
      <c r="AL47" s="278">
        <f t="shared" si="38"/>
        <v>0</v>
      </c>
      <c r="AM47" s="278">
        <f t="shared" si="38"/>
        <v>0</v>
      </c>
      <c r="AN47" s="278">
        <f t="shared" si="38"/>
        <v>0</v>
      </c>
      <c r="AO47" s="278">
        <f t="shared" si="38"/>
        <v>0</v>
      </c>
      <c r="AP47" s="278">
        <f t="shared" si="38"/>
        <v>0</v>
      </c>
      <c r="AQ47" s="278">
        <f t="shared" si="38"/>
        <v>0</v>
      </c>
      <c r="AR47" s="278">
        <f t="shared" si="38"/>
        <v>0</v>
      </c>
      <c r="AS47" s="278">
        <f t="shared" si="38"/>
        <v>0</v>
      </c>
      <c r="AT47" s="278">
        <f t="shared" si="38"/>
        <v>0</v>
      </c>
      <c r="AU47" s="315">
        <f t="shared" ref="AU47:AX48" si="39">+C47+G47+K47+O47+S47+W47+AA47+AE47+AI47+AM47+AQ47</f>
        <v>1200</v>
      </c>
      <c r="AV47" s="315">
        <f t="shared" si="39"/>
        <v>1200</v>
      </c>
      <c r="AW47" s="315">
        <f t="shared" si="39"/>
        <v>1200</v>
      </c>
      <c r="AX47" s="315">
        <f t="shared" si="39"/>
        <v>0</v>
      </c>
    </row>
    <row r="48" spans="1:50" s="308" customFormat="1" ht="17.100000000000001" customHeight="1">
      <c r="A48" s="429"/>
      <c r="B48" s="430" t="s">
        <v>175</v>
      </c>
      <c r="C48" s="277">
        <f>+C35+C47</f>
        <v>-5785</v>
      </c>
      <c r="D48" s="277">
        <f>+D35+D47</f>
        <v>-5785</v>
      </c>
      <c r="E48" s="277">
        <f>+E35+E47</f>
        <v>1212.79</v>
      </c>
      <c r="F48" s="277">
        <f t="shared" ref="F48:AT48" si="40">+F35+F47</f>
        <v>6997.79</v>
      </c>
      <c r="G48" s="277">
        <f t="shared" si="40"/>
        <v>0</v>
      </c>
      <c r="H48" s="277">
        <f t="shared" si="40"/>
        <v>0</v>
      </c>
      <c r="I48" s="277">
        <f t="shared" si="40"/>
        <v>0</v>
      </c>
      <c r="J48" s="277">
        <f t="shared" si="40"/>
        <v>0</v>
      </c>
      <c r="K48" s="277">
        <f t="shared" si="40"/>
        <v>0</v>
      </c>
      <c r="L48" s="277">
        <f t="shared" si="40"/>
        <v>0</v>
      </c>
      <c r="M48" s="277">
        <f t="shared" si="40"/>
        <v>0</v>
      </c>
      <c r="N48" s="277">
        <f t="shared" si="40"/>
        <v>0</v>
      </c>
      <c r="O48" s="277">
        <f t="shared" si="40"/>
        <v>0</v>
      </c>
      <c r="P48" s="277">
        <f t="shared" si="40"/>
        <v>0</v>
      </c>
      <c r="Q48" s="277">
        <f t="shared" si="40"/>
        <v>0</v>
      </c>
      <c r="R48" s="277">
        <f t="shared" si="40"/>
        <v>0</v>
      </c>
      <c r="S48" s="277">
        <f t="shared" si="40"/>
        <v>0</v>
      </c>
      <c r="T48" s="277">
        <f t="shared" si="40"/>
        <v>0</v>
      </c>
      <c r="U48" s="277">
        <f t="shared" si="40"/>
        <v>0</v>
      </c>
      <c r="V48" s="277">
        <f t="shared" si="40"/>
        <v>0</v>
      </c>
      <c r="W48" s="277">
        <f t="shared" si="40"/>
        <v>0</v>
      </c>
      <c r="X48" s="277">
        <f t="shared" si="40"/>
        <v>0</v>
      </c>
      <c r="Y48" s="277">
        <f t="shared" si="40"/>
        <v>0</v>
      </c>
      <c r="Z48" s="277">
        <f t="shared" si="40"/>
        <v>0</v>
      </c>
      <c r="AA48" s="277">
        <f t="shared" si="40"/>
        <v>0</v>
      </c>
      <c r="AB48" s="277">
        <f t="shared" si="40"/>
        <v>0</v>
      </c>
      <c r="AC48" s="277">
        <f t="shared" si="40"/>
        <v>0</v>
      </c>
      <c r="AD48" s="277">
        <f t="shared" si="40"/>
        <v>0</v>
      </c>
      <c r="AE48" s="277">
        <f t="shared" si="40"/>
        <v>0</v>
      </c>
      <c r="AF48" s="277">
        <f t="shared" si="40"/>
        <v>0</v>
      </c>
      <c r="AG48" s="277">
        <f t="shared" si="40"/>
        <v>0</v>
      </c>
      <c r="AH48" s="277">
        <f t="shared" si="40"/>
        <v>0</v>
      </c>
      <c r="AI48" s="277">
        <f t="shared" si="40"/>
        <v>0</v>
      </c>
      <c r="AJ48" s="277">
        <f t="shared" si="40"/>
        <v>0</v>
      </c>
      <c r="AK48" s="277">
        <f t="shared" si="40"/>
        <v>0</v>
      </c>
      <c r="AL48" s="277">
        <f t="shared" si="40"/>
        <v>0</v>
      </c>
      <c r="AM48" s="277">
        <f t="shared" si="40"/>
        <v>0</v>
      </c>
      <c r="AN48" s="277">
        <f t="shared" si="40"/>
        <v>0</v>
      </c>
      <c r="AO48" s="277">
        <f t="shared" si="40"/>
        <v>0</v>
      </c>
      <c r="AP48" s="277">
        <f t="shared" si="40"/>
        <v>0</v>
      </c>
      <c r="AQ48" s="277">
        <f t="shared" si="40"/>
        <v>0</v>
      </c>
      <c r="AR48" s="277">
        <f t="shared" si="40"/>
        <v>0</v>
      </c>
      <c r="AS48" s="277">
        <f t="shared" si="40"/>
        <v>0</v>
      </c>
      <c r="AT48" s="277">
        <f t="shared" si="40"/>
        <v>0</v>
      </c>
      <c r="AU48" s="314">
        <f t="shared" si="39"/>
        <v>-5785</v>
      </c>
      <c r="AV48" s="314">
        <f t="shared" si="39"/>
        <v>-5785</v>
      </c>
      <c r="AW48" s="314">
        <f t="shared" si="39"/>
        <v>1212.79</v>
      </c>
      <c r="AX48" s="314">
        <f t="shared" si="39"/>
        <v>6997.79</v>
      </c>
    </row>
    <row r="49" spans="1:50" ht="30" customHeight="1">
      <c r="A49" s="301"/>
      <c r="B49" s="324" t="str">
        <f>+'GENERAL FUND-OPERATING(48-53)'!B295</f>
        <v>Fund balances - July 1, 2016 as previously reported</v>
      </c>
      <c r="C49" s="269"/>
      <c r="D49" s="269"/>
      <c r="E49" s="269">
        <v>7782.23</v>
      </c>
      <c r="F49" s="277"/>
      <c r="G49" s="277"/>
      <c r="H49" s="277"/>
      <c r="I49" s="269"/>
      <c r="J49" s="277"/>
      <c r="K49" s="277"/>
      <c r="L49" s="277"/>
      <c r="M49" s="269"/>
      <c r="N49" s="277"/>
      <c r="O49" s="277"/>
      <c r="P49" s="277"/>
      <c r="Q49" s="269"/>
      <c r="R49" s="277"/>
      <c r="S49" s="277"/>
      <c r="T49" s="277"/>
      <c r="U49" s="269"/>
      <c r="V49" s="277"/>
      <c r="W49" s="277"/>
      <c r="X49" s="277"/>
      <c r="Y49" s="269"/>
      <c r="Z49" s="277"/>
      <c r="AA49" s="277"/>
      <c r="AB49" s="277"/>
      <c r="AC49" s="269"/>
      <c r="AD49" s="277"/>
      <c r="AE49" s="277"/>
      <c r="AF49" s="277"/>
      <c r="AG49" s="269"/>
      <c r="AH49" s="277"/>
      <c r="AI49" s="277"/>
      <c r="AJ49" s="277"/>
      <c r="AK49" s="269"/>
      <c r="AL49" s="277"/>
      <c r="AM49" s="277"/>
      <c r="AN49" s="277"/>
      <c r="AO49" s="269"/>
      <c r="AP49" s="277"/>
      <c r="AQ49" s="277"/>
      <c r="AR49" s="277"/>
      <c r="AS49" s="269"/>
      <c r="AT49" s="277"/>
      <c r="AU49" s="277"/>
      <c r="AV49" s="277"/>
      <c r="AW49" s="314">
        <f>+E49+I49+M49+Q49+U49+Y49+AC49+AG49+AK49+AO49+AS49</f>
        <v>7782.23</v>
      </c>
      <c r="AX49" s="277"/>
    </row>
    <row r="50" spans="1:50" ht="18" customHeight="1" thickBot="1">
      <c r="A50" s="301"/>
      <c r="B50" s="268" t="s">
        <v>699</v>
      </c>
      <c r="C50" s="303"/>
      <c r="D50" s="303"/>
      <c r="E50" s="271"/>
      <c r="F50" s="307"/>
      <c r="G50" s="307"/>
      <c r="H50" s="307"/>
      <c r="I50" s="271"/>
      <c r="J50" s="307"/>
      <c r="K50" s="307"/>
      <c r="L50" s="307"/>
      <c r="M50" s="271"/>
      <c r="N50" s="307"/>
      <c r="O50" s="307"/>
      <c r="P50" s="307"/>
      <c r="Q50" s="271"/>
      <c r="R50" s="307"/>
      <c r="S50" s="307"/>
      <c r="T50" s="307"/>
      <c r="U50" s="271"/>
      <c r="V50" s="307"/>
      <c r="W50" s="307"/>
      <c r="X50" s="307"/>
      <c r="Y50" s="271"/>
      <c r="Z50" s="307"/>
      <c r="AA50" s="307"/>
      <c r="AB50" s="307"/>
      <c r="AC50" s="271"/>
      <c r="AD50" s="307"/>
      <c r="AE50" s="307"/>
      <c r="AF50" s="307"/>
      <c r="AG50" s="271"/>
      <c r="AH50" s="307"/>
      <c r="AI50" s="307"/>
      <c r="AJ50" s="307"/>
      <c r="AK50" s="271"/>
      <c r="AL50" s="307"/>
      <c r="AM50" s="307"/>
      <c r="AN50" s="307"/>
      <c r="AO50" s="271"/>
      <c r="AP50" s="307"/>
      <c r="AQ50" s="307"/>
      <c r="AR50" s="307"/>
      <c r="AS50" s="271"/>
      <c r="AT50" s="307"/>
      <c r="AU50" s="307"/>
      <c r="AV50" s="307"/>
      <c r="AW50" s="316">
        <f>+E50+I50+M50+Q50+U50+Y50+AC50+AG50+AK50+AO50+AS50</f>
        <v>0</v>
      </c>
      <c r="AX50" s="307"/>
    </row>
    <row r="51" spans="1:50" ht="30" customHeight="1" thickBot="1">
      <c r="A51" s="263"/>
      <c r="B51" s="324" t="str">
        <f>+'GENERAL FUND-OPERATING(48-53)'!B297</f>
        <v>Fund balances - July 1, 2016 as restated</v>
      </c>
      <c r="C51" s="307"/>
      <c r="D51" s="307"/>
      <c r="E51" s="277">
        <f>+E49+E50</f>
        <v>7782.23</v>
      </c>
      <c r="F51" s="307"/>
      <c r="G51" s="307"/>
      <c r="H51" s="307"/>
      <c r="I51" s="277">
        <f>+I49+I50</f>
        <v>0</v>
      </c>
      <c r="J51" s="307"/>
      <c r="K51" s="307"/>
      <c r="L51" s="307"/>
      <c r="M51" s="277">
        <f>+M49+M50</f>
        <v>0</v>
      </c>
      <c r="N51" s="307"/>
      <c r="O51" s="307"/>
      <c r="P51" s="307"/>
      <c r="Q51" s="277">
        <f>+Q49+Q50</f>
        <v>0</v>
      </c>
      <c r="R51" s="307"/>
      <c r="S51" s="307"/>
      <c r="T51" s="307"/>
      <c r="U51" s="277">
        <f>+U49+U50</f>
        <v>0</v>
      </c>
      <c r="V51" s="307"/>
      <c r="W51" s="307"/>
      <c r="X51" s="307"/>
      <c r="Y51" s="277">
        <f>+Y49+Y50</f>
        <v>0</v>
      </c>
      <c r="Z51" s="307"/>
      <c r="AA51" s="307"/>
      <c r="AB51" s="307"/>
      <c r="AC51" s="277">
        <f>+AC49+AC50</f>
        <v>0</v>
      </c>
      <c r="AD51" s="307"/>
      <c r="AE51" s="307"/>
      <c r="AF51" s="307"/>
      <c r="AG51" s="277">
        <f>+AG49+AG50</f>
        <v>0</v>
      </c>
      <c r="AH51" s="307"/>
      <c r="AI51" s="307"/>
      <c r="AJ51" s="307"/>
      <c r="AK51" s="277">
        <f>+AK49+AK50</f>
        <v>0</v>
      </c>
      <c r="AL51" s="307"/>
      <c r="AM51" s="307"/>
      <c r="AN51" s="307"/>
      <c r="AO51" s="277">
        <f>+AO49+AO50</f>
        <v>0</v>
      </c>
      <c r="AP51" s="307"/>
      <c r="AQ51" s="307"/>
      <c r="AR51" s="307"/>
      <c r="AS51" s="277">
        <f>+AS49+AS50</f>
        <v>0</v>
      </c>
      <c r="AT51" s="307"/>
      <c r="AU51" s="307"/>
      <c r="AV51" s="307"/>
      <c r="AW51" s="315">
        <f>+E51+I51+M51+Q51+U51+Y51+AC51+AG51+AK51+AO51+AS51</f>
        <v>7782.23</v>
      </c>
      <c r="AX51" s="307"/>
    </row>
    <row r="52" spans="1:50" ht="18" customHeight="1" thickBot="1">
      <c r="A52" s="263"/>
      <c r="B52" s="268" t="str">
        <f>+'GENERAL FUND-OPERATING(48-53)'!B298</f>
        <v>Fund balances - June 30, 2017</v>
      </c>
      <c r="C52" s="307"/>
      <c r="D52" s="307"/>
      <c r="E52" s="280">
        <f>+E48+E51</f>
        <v>8995.02</v>
      </c>
      <c r="F52" s="307"/>
      <c r="G52" s="307"/>
      <c r="H52" s="307"/>
      <c r="I52" s="280">
        <f>+I48+I51</f>
        <v>0</v>
      </c>
      <c r="J52" s="307"/>
      <c r="K52" s="307"/>
      <c r="L52" s="307"/>
      <c r="M52" s="280">
        <f>+M48+M51</f>
        <v>0</v>
      </c>
      <c r="N52" s="307"/>
      <c r="O52" s="307"/>
      <c r="P52" s="307"/>
      <c r="Q52" s="280">
        <f>+Q48+Q51</f>
        <v>0</v>
      </c>
      <c r="R52" s="307"/>
      <c r="S52" s="307"/>
      <c r="T52" s="307"/>
      <c r="U52" s="280">
        <f>+U48+U51</f>
        <v>0</v>
      </c>
      <c r="V52" s="307"/>
      <c r="W52" s="307"/>
      <c r="X52" s="307"/>
      <c r="Y52" s="280">
        <f>+Y48+Y51</f>
        <v>0</v>
      </c>
      <c r="Z52" s="307"/>
      <c r="AA52" s="307"/>
      <c r="AB52" s="307"/>
      <c r="AC52" s="280">
        <f>+AC48+AC51</f>
        <v>0</v>
      </c>
      <c r="AD52" s="307"/>
      <c r="AE52" s="307"/>
      <c r="AF52" s="307"/>
      <c r="AG52" s="280">
        <f>+AG48+AG51</f>
        <v>0</v>
      </c>
      <c r="AH52" s="307"/>
      <c r="AI52" s="307"/>
      <c r="AJ52" s="307"/>
      <c r="AK52" s="280">
        <f>+AK48+AK51</f>
        <v>0</v>
      </c>
      <c r="AL52" s="307"/>
      <c r="AM52" s="307"/>
      <c r="AN52" s="307"/>
      <c r="AO52" s="280">
        <f>+AO48+AO51</f>
        <v>0</v>
      </c>
      <c r="AP52" s="307"/>
      <c r="AQ52" s="307"/>
      <c r="AR52" s="307"/>
      <c r="AS52" s="280">
        <f>+AS48+AS51</f>
        <v>0</v>
      </c>
      <c r="AT52" s="307"/>
      <c r="AU52" s="307"/>
      <c r="AV52" s="307"/>
      <c r="AW52" s="438">
        <f>+E52+I52+M52+Q52+U52+Y52+AC52+AG52+AK52+AO52+AS52</f>
        <v>8995.02</v>
      </c>
      <c r="AX52" s="307"/>
    </row>
    <row r="53" spans="1:50" ht="15.75" thickTop="1">
      <c r="A53" s="263"/>
      <c r="B53" s="263"/>
      <c r="C53" s="263"/>
      <c r="D53" s="263"/>
      <c r="E53" s="263"/>
      <c r="F53" s="263"/>
      <c r="G53" s="263"/>
      <c r="H53" s="263"/>
      <c r="I53" s="263"/>
      <c r="J53" s="263"/>
      <c r="K53" s="263"/>
      <c r="L53" s="263"/>
      <c r="M53" s="263"/>
      <c r="N53" s="263"/>
      <c r="O53" s="263"/>
      <c r="P53" s="263"/>
      <c r="Q53" s="263"/>
      <c r="R53" s="263"/>
      <c r="S53" s="263"/>
      <c r="T53" s="263"/>
      <c r="U53" s="263"/>
      <c r="V53" s="263"/>
      <c r="W53" s="263"/>
    </row>
    <row r="54" spans="1:50" ht="15.75">
      <c r="A54" s="263"/>
      <c r="B54" s="263"/>
      <c r="C54" s="263"/>
      <c r="D54" s="1035" t="s">
        <v>721</v>
      </c>
      <c r="E54" s="263"/>
      <c r="F54" s="263"/>
      <c r="G54" s="263"/>
      <c r="H54" s="1035" t="s">
        <v>721</v>
      </c>
      <c r="I54" s="263"/>
      <c r="J54" s="263"/>
      <c r="K54" s="263"/>
      <c r="L54" s="1035" t="s">
        <v>721</v>
      </c>
      <c r="M54" s="263"/>
      <c r="N54" s="263"/>
      <c r="O54" s="263"/>
      <c r="P54" s="1035" t="s">
        <v>721</v>
      </c>
      <c r="Q54" s="263"/>
      <c r="R54" s="263"/>
      <c r="S54" s="263"/>
      <c r="T54" s="1035" t="s">
        <v>721</v>
      </c>
      <c r="U54" s="263"/>
      <c r="V54" s="263"/>
      <c r="W54" s="263"/>
      <c r="X54" s="1035" t="s">
        <v>721</v>
      </c>
      <c r="Y54" s="263"/>
      <c r="Z54" s="263"/>
      <c r="AA54" s="263"/>
      <c r="AB54" s="1035" t="s">
        <v>721</v>
      </c>
      <c r="AC54" s="263"/>
      <c r="AD54" s="263"/>
      <c r="AE54" s="263"/>
      <c r="AF54" s="1035" t="s">
        <v>721</v>
      </c>
      <c r="AG54" s="263"/>
      <c r="AH54" s="263"/>
      <c r="AI54" s="263"/>
      <c r="AJ54" s="1035" t="s">
        <v>721</v>
      </c>
      <c r="AK54" s="263"/>
      <c r="AL54" s="263"/>
      <c r="AM54" s="263"/>
      <c r="AN54" s="1035" t="s">
        <v>721</v>
      </c>
      <c r="AO54" s="263"/>
      <c r="AP54" s="263"/>
      <c r="AQ54" s="263"/>
      <c r="AR54" s="1035" t="s">
        <v>721</v>
      </c>
      <c r="AS54" s="263"/>
      <c r="AT54" s="263"/>
      <c r="AU54" s="263"/>
      <c r="AV54" s="1035" t="s">
        <v>722</v>
      </c>
      <c r="AW54" s="263"/>
      <c r="AX54" s="263"/>
    </row>
    <row r="55" spans="1:50" ht="15">
      <c r="A55" s="263"/>
      <c r="B55" s="263"/>
      <c r="C55" s="263"/>
      <c r="D55" s="263"/>
      <c r="E55" s="263"/>
      <c r="F55" s="263"/>
      <c r="G55" s="263"/>
      <c r="H55" s="263"/>
      <c r="I55" s="263"/>
      <c r="J55" s="263"/>
      <c r="K55" s="263"/>
      <c r="L55" s="263"/>
      <c r="M55" s="263"/>
      <c r="N55" s="263"/>
      <c r="O55" s="263"/>
      <c r="P55" s="263"/>
      <c r="Q55" s="263"/>
      <c r="R55" s="263"/>
      <c r="S55" s="263"/>
      <c r="T55" s="263"/>
      <c r="U55" s="263"/>
      <c r="V55" s="263"/>
      <c r="W55" s="263"/>
    </row>
    <row r="56" spans="1:50" ht="15">
      <c r="A56" s="263"/>
      <c r="B56" s="263"/>
      <c r="C56" s="263"/>
      <c r="D56" s="263"/>
      <c r="E56" s="263"/>
      <c r="F56" s="263"/>
      <c r="G56" s="263"/>
      <c r="H56" s="263"/>
      <c r="I56" s="263"/>
      <c r="J56" s="263"/>
      <c r="K56" s="263"/>
      <c r="L56" s="263"/>
      <c r="M56" s="263"/>
      <c r="N56" s="263"/>
      <c r="O56" s="263"/>
      <c r="P56" s="263"/>
      <c r="Q56" s="263"/>
      <c r="R56" s="263"/>
      <c r="S56" s="263"/>
      <c r="T56" s="263"/>
      <c r="U56" s="263"/>
      <c r="V56" s="263"/>
      <c r="W56" s="263"/>
    </row>
    <row r="57" spans="1:50" ht="15">
      <c r="A57" s="263"/>
      <c r="B57" s="263"/>
      <c r="C57" s="263"/>
      <c r="D57" s="263"/>
      <c r="E57" s="263"/>
      <c r="F57" s="263"/>
      <c r="G57" s="263"/>
      <c r="H57" s="263"/>
      <c r="I57" s="263"/>
      <c r="J57" s="263"/>
      <c r="K57" s="263"/>
      <c r="L57" s="263"/>
      <c r="M57" s="263"/>
      <c r="N57" s="263"/>
      <c r="O57" s="263"/>
      <c r="P57" s="263"/>
      <c r="Q57" s="263"/>
      <c r="R57" s="263"/>
      <c r="S57" s="263"/>
      <c r="T57" s="263"/>
      <c r="U57" s="263"/>
      <c r="V57" s="263"/>
      <c r="W57" s="263"/>
    </row>
    <row r="58" spans="1:50" ht="15">
      <c r="A58" s="263"/>
      <c r="B58" s="263"/>
      <c r="C58" s="263"/>
      <c r="D58" s="263"/>
      <c r="E58" s="263"/>
      <c r="F58" s="263"/>
      <c r="G58" s="263"/>
      <c r="H58" s="263"/>
      <c r="I58" s="263"/>
      <c r="J58" s="263"/>
      <c r="K58" s="263"/>
      <c r="L58" s="263"/>
      <c r="M58" s="263"/>
      <c r="N58" s="263"/>
      <c r="O58" s="263"/>
      <c r="P58" s="263"/>
      <c r="Q58" s="263"/>
      <c r="R58" s="263"/>
      <c r="S58" s="263"/>
      <c r="T58" s="263"/>
      <c r="U58" s="263"/>
      <c r="V58" s="263"/>
      <c r="W58" s="263"/>
    </row>
    <row r="59" spans="1:50" ht="15">
      <c r="A59" s="263"/>
      <c r="B59" s="263"/>
      <c r="C59" s="263"/>
      <c r="D59" s="263"/>
      <c r="E59" s="263"/>
      <c r="F59" s="263"/>
      <c r="G59" s="263"/>
      <c r="H59" s="263"/>
      <c r="I59" s="263"/>
      <c r="J59" s="263"/>
      <c r="K59" s="263"/>
      <c r="L59" s="263"/>
      <c r="M59" s="263"/>
      <c r="N59" s="263"/>
      <c r="O59" s="263"/>
      <c r="P59" s="263"/>
      <c r="Q59" s="263"/>
      <c r="R59" s="263"/>
      <c r="S59" s="263"/>
      <c r="T59" s="263"/>
      <c r="U59" s="263"/>
      <c r="V59" s="263"/>
      <c r="W59" s="263"/>
    </row>
    <row r="60" spans="1:50" ht="15">
      <c r="A60" s="263"/>
      <c r="B60" s="263"/>
      <c r="C60" s="263"/>
      <c r="D60" s="263"/>
      <c r="E60" s="263"/>
      <c r="F60" s="263"/>
      <c r="G60" s="263"/>
      <c r="H60" s="263"/>
      <c r="I60" s="263"/>
      <c r="J60" s="263"/>
      <c r="K60" s="263"/>
      <c r="L60" s="263"/>
      <c r="M60" s="263"/>
      <c r="N60" s="263"/>
      <c r="O60" s="263"/>
      <c r="P60" s="263"/>
      <c r="Q60" s="263"/>
      <c r="R60" s="263"/>
      <c r="S60" s="263"/>
      <c r="T60" s="263"/>
      <c r="U60" s="263"/>
      <c r="V60" s="263"/>
      <c r="W60" s="263"/>
    </row>
    <row r="61" spans="1:50" ht="15">
      <c r="A61" s="263"/>
      <c r="B61" s="263"/>
      <c r="C61" s="263"/>
      <c r="D61" s="263"/>
      <c r="E61" s="263"/>
      <c r="F61" s="263"/>
      <c r="G61" s="263"/>
      <c r="H61" s="263"/>
      <c r="I61" s="263"/>
      <c r="J61" s="263"/>
      <c r="K61" s="263"/>
      <c r="L61" s="263"/>
      <c r="M61" s="263"/>
      <c r="N61" s="263"/>
      <c r="O61" s="263"/>
      <c r="P61" s="263"/>
      <c r="Q61" s="263"/>
      <c r="R61" s="263"/>
      <c r="S61" s="263"/>
      <c r="T61" s="263"/>
      <c r="U61" s="263"/>
      <c r="V61" s="263"/>
      <c r="W61" s="263"/>
    </row>
    <row r="62" spans="1:50" ht="15">
      <c r="A62" s="263"/>
      <c r="B62" s="263"/>
      <c r="C62" s="263"/>
      <c r="D62" s="263"/>
      <c r="E62" s="263"/>
      <c r="F62" s="263"/>
      <c r="G62" s="263"/>
      <c r="H62" s="263"/>
      <c r="I62" s="263"/>
      <c r="J62" s="263"/>
      <c r="K62" s="263"/>
      <c r="L62" s="263"/>
      <c r="M62" s="263"/>
      <c r="N62" s="263"/>
      <c r="O62" s="263"/>
      <c r="P62" s="263"/>
      <c r="Q62" s="263"/>
      <c r="R62" s="263"/>
      <c r="S62" s="263"/>
      <c r="T62" s="263"/>
      <c r="U62" s="263"/>
      <c r="V62" s="263"/>
      <c r="W62" s="263"/>
    </row>
    <row r="63" spans="1:50" ht="15">
      <c r="A63" s="263"/>
      <c r="B63" s="263"/>
      <c r="C63" s="263"/>
      <c r="D63" s="263"/>
      <c r="E63" s="263"/>
      <c r="F63" s="263"/>
      <c r="G63" s="263"/>
      <c r="H63" s="263"/>
      <c r="I63" s="263"/>
      <c r="J63" s="263"/>
      <c r="K63" s="263"/>
      <c r="L63" s="263"/>
      <c r="M63" s="263"/>
      <c r="N63" s="263"/>
      <c r="O63" s="263"/>
      <c r="P63" s="263"/>
      <c r="Q63" s="263"/>
      <c r="R63" s="263"/>
      <c r="S63" s="263"/>
      <c r="T63" s="263"/>
      <c r="U63" s="263"/>
      <c r="V63" s="263"/>
      <c r="W63" s="263"/>
    </row>
    <row r="64" spans="1:50" ht="15">
      <c r="A64" s="263"/>
      <c r="B64" s="263"/>
      <c r="C64" s="263"/>
      <c r="D64" s="263"/>
      <c r="E64" s="263"/>
      <c r="F64" s="263"/>
      <c r="G64" s="263"/>
      <c r="H64" s="263"/>
      <c r="I64" s="263"/>
      <c r="J64" s="263"/>
      <c r="K64" s="263"/>
      <c r="L64" s="263"/>
      <c r="M64" s="263"/>
      <c r="N64" s="263"/>
      <c r="O64" s="263"/>
      <c r="P64" s="263"/>
      <c r="Q64" s="263"/>
      <c r="R64" s="263"/>
      <c r="S64" s="263"/>
      <c r="T64" s="263"/>
      <c r="U64" s="263"/>
      <c r="V64" s="263"/>
      <c r="W64" s="263"/>
    </row>
    <row r="65" spans="1:23" ht="15">
      <c r="A65" s="263"/>
      <c r="B65" s="263"/>
      <c r="C65" s="263"/>
      <c r="D65" s="263"/>
      <c r="E65" s="263"/>
      <c r="F65" s="263"/>
      <c r="G65" s="263"/>
      <c r="H65" s="263"/>
      <c r="I65" s="263"/>
      <c r="J65" s="263"/>
      <c r="K65" s="263"/>
      <c r="L65" s="263"/>
      <c r="M65" s="263"/>
      <c r="N65" s="263"/>
      <c r="O65" s="263"/>
      <c r="P65" s="263"/>
      <c r="Q65" s="263"/>
      <c r="R65" s="263"/>
      <c r="S65" s="263"/>
      <c r="T65" s="263"/>
      <c r="U65" s="263"/>
      <c r="V65" s="263"/>
      <c r="W65" s="263"/>
    </row>
    <row r="66" spans="1:23" ht="15">
      <c r="A66" s="263"/>
      <c r="B66" s="263"/>
      <c r="C66" s="263"/>
      <c r="D66" s="263"/>
      <c r="E66" s="263"/>
      <c r="F66" s="263"/>
      <c r="G66" s="263"/>
      <c r="H66" s="263"/>
      <c r="I66" s="263"/>
      <c r="J66" s="263"/>
      <c r="K66" s="263"/>
      <c r="L66" s="263"/>
      <c r="M66" s="263"/>
      <c r="N66" s="263"/>
      <c r="O66" s="263"/>
      <c r="P66" s="263"/>
      <c r="Q66" s="263"/>
      <c r="R66" s="263"/>
      <c r="S66" s="263"/>
      <c r="T66" s="263"/>
      <c r="U66" s="263"/>
      <c r="V66" s="263"/>
      <c r="W66" s="263"/>
    </row>
    <row r="67" spans="1:23" ht="15">
      <c r="A67" s="263"/>
      <c r="B67" s="263"/>
      <c r="C67" s="263"/>
      <c r="D67" s="263"/>
      <c r="E67" s="263"/>
      <c r="F67" s="263"/>
      <c r="G67" s="263"/>
      <c r="H67" s="263"/>
      <c r="I67" s="263"/>
      <c r="J67" s="263"/>
      <c r="K67" s="263"/>
      <c r="L67" s="263"/>
      <c r="M67" s="263"/>
      <c r="N67" s="263"/>
      <c r="O67" s="263"/>
      <c r="P67" s="263"/>
      <c r="Q67" s="263"/>
      <c r="R67" s="263"/>
      <c r="S67" s="263"/>
      <c r="T67" s="263"/>
      <c r="U67" s="263"/>
      <c r="V67" s="263"/>
      <c r="W67" s="263"/>
    </row>
    <row r="68" spans="1:23" ht="15">
      <c r="A68" s="263"/>
      <c r="B68" s="263"/>
      <c r="C68" s="263"/>
      <c r="D68" s="263"/>
      <c r="E68" s="263"/>
      <c r="F68" s="263"/>
      <c r="G68" s="263"/>
      <c r="H68" s="263"/>
      <c r="I68" s="263"/>
      <c r="J68" s="263"/>
      <c r="K68" s="263"/>
      <c r="L68" s="263"/>
      <c r="M68" s="263"/>
      <c r="N68" s="263"/>
      <c r="O68" s="263"/>
      <c r="P68" s="263"/>
      <c r="Q68" s="263"/>
      <c r="R68" s="263"/>
      <c r="S68" s="263"/>
      <c r="T68" s="263"/>
      <c r="U68" s="263"/>
      <c r="V68" s="263"/>
      <c r="W68" s="263"/>
    </row>
    <row r="69" spans="1:23" ht="15">
      <c r="A69" s="263"/>
      <c r="B69" s="263"/>
      <c r="C69" s="263"/>
      <c r="D69" s="263"/>
      <c r="E69" s="263"/>
      <c r="F69" s="263"/>
      <c r="G69" s="263"/>
      <c r="H69" s="263"/>
      <c r="I69" s="263"/>
      <c r="J69" s="263"/>
      <c r="K69" s="263"/>
      <c r="L69" s="263"/>
      <c r="M69" s="263"/>
      <c r="N69" s="263"/>
      <c r="O69" s="263"/>
      <c r="P69" s="263"/>
      <c r="Q69" s="263"/>
      <c r="R69" s="263"/>
      <c r="S69" s="263"/>
      <c r="T69" s="263"/>
      <c r="U69" s="263"/>
      <c r="V69" s="263"/>
      <c r="W69" s="263"/>
    </row>
    <row r="70" spans="1:23" ht="15">
      <c r="A70" s="263"/>
      <c r="B70" s="263"/>
      <c r="C70" s="263"/>
      <c r="D70" s="263"/>
      <c r="E70" s="263"/>
      <c r="F70" s="263"/>
      <c r="G70" s="263"/>
      <c r="H70" s="263"/>
      <c r="I70" s="263"/>
      <c r="J70" s="263"/>
      <c r="K70" s="263"/>
      <c r="L70" s="263"/>
      <c r="M70" s="263"/>
      <c r="N70" s="263"/>
      <c r="O70" s="263"/>
      <c r="P70" s="263"/>
      <c r="Q70" s="263"/>
      <c r="R70" s="263"/>
      <c r="S70" s="263"/>
      <c r="T70" s="263"/>
      <c r="U70" s="263"/>
      <c r="V70" s="263"/>
      <c r="W70" s="263"/>
    </row>
    <row r="71" spans="1:23" ht="15">
      <c r="A71" s="263"/>
      <c r="B71" s="263"/>
      <c r="C71" s="263"/>
      <c r="D71" s="263"/>
      <c r="E71" s="263"/>
      <c r="F71" s="263"/>
      <c r="G71" s="263"/>
      <c r="H71" s="263"/>
      <c r="I71" s="263"/>
      <c r="J71" s="263"/>
      <c r="K71" s="263"/>
      <c r="L71" s="263"/>
      <c r="M71" s="263"/>
      <c r="N71" s="263"/>
      <c r="O71" s="263"/>
      <c r="P71" s="263"/>
      <c r="Q71" s="263"/>
      <c r="R71" s="263"/>
      <c r="S71" s="263"/>
      <c r="T71" s="263"/>
      <c r="U71" s="263"/>
      <c r="V71" s="263"/>
      <c r="W71" s="263"/>
    </row>
    <row r="72" spans="1:23" ht="15">
      <c r="A72" s="263"/>
      <c r="B72" s="263"/>
      <c r="C72" s="263"/>
      <c r="D72" s="263"/>
      <c r="E72" s="263"/>
      <c r="F72" s="263"/>
      <c r="G72" s="263"/>
      <c r="H72" s="263"/>
      <c r="I72" s="263"/>
      <c r="J72" s="263"/>
      <c r="K72" s="263"/>
      <c r="L72" s="263"/>
      <c r="M72" s="263"/>
      <c r="N72" s="263"/>
      <c r="O72" s="263"/>
      <c r="P72" s="263"/>
      <c r="Q72" s="263"/>
      <c r="R72" s="263"/>
      <c r="S72" s="263"/>
      <c r="T72" s="263"/>
      <c r="U72" s="263"/>
      <c r="V72" s="263"/>
      <c r="W72" s="263"/>
    </row>
    <row r="73" spans="1:23" ht="15">
      <c r="A73" s="263"/>
      <c r="B73" s="263"/>
      <c r="C73" s="263"/>
      <c r="D73" s="263"/>
      <c r="E73" s="263"/>
      <c r="F73" s="263"/>
      <c r="G73" s="263"/>
      <c r="H73" s="263"/>
      <c r="I73" s="263"/>
      <c r="J73" s="263"/>
      <c r="K73" s="263"/>
      <c r="L73" s="263"/>
      <c r="M73" s="263"/>
      <c r="N73" s="263"/>
      <c r="O73" s="263"/>
      <c r="P73" s="263"/>
      <c r="Q73" s="263"/>
      <c r="R73" s="263"/>
      <c r="S73" s="263"/>
      <c r="T73" s="263"/>
      <c r="U73" s="263"/>
      <c r="V73" s="263"/>
      <c r="W73" s="263"/>
    </row>
    <row r="74" spans="1:23" ht="15">
      <c r="A74" s="263"/>
      <c r="B74" s="263"/>
      <c r="C74" s="263"/>
      <c r="D74" s="263"/>
      <c r="E74" s="263"/>
      <c r="F74" s="263"/>
      <c r="G74" s="263"/>
      <c r="H74" s="263"/>
      <c r="I74" s="263"/>
      <c r="J74" s="263"/>
      <c r="K74" s="263"/>
      <c r="L74" s="263"/>
      <c r="M74" s="263"/>
      <c r="N74" s="263"/>
      <c r="O74" s="263"/>
      <c r="P74" s="263"/>
      <c r="Q74" s="263"/>
      <c r="R74" s="263"/>
      <c r="S74" s="263"/>
      <c r="T74" s="263"/>
      <c r="U74" s="263"/>
      <c r="V74" s="263"/>
      <c r="W74" s="263"/>
    </row>
    <row r="75" spans="1:23" ht="15">
      <c r="A75" s="263"/>
      <c r="B75" s="263"/>
      <c r="C75" s="263"/>
      <c r="D75" s="263"/>
      <c r="E75" s="263"/>
      <c r="F75" s="263"/>
      <c r="G75" s="263"/>
      <c r="H75" s="263"/>
      <c r="I75" s="263"/>
      <c r="J75" s="263"/>
      <c r="K75" s="263"/>
      <c r="L75" s="263"/>
      <c r="M75" s="263"/>
      <c r="N75" s="263"/>
      <c r="O75" s="263"/>
      <c r="P75" s="263"/>
      <c r="Q75" s="263"/>
      <c r="R75" s="263"/>
      <c r="S75" s="263"/>
      <c r="T75" s="263"/>
      <c r="U75" s="263"/>
      <c r="V75" s="263"/>
      <c r="W75" s="263"/>
    </row>
    <row r="76" spans="1:23" ht="15">
      <c r="A76" s="263"/>
      <c r="B76" s="263"/>
      <c r="C76" s="263"/>
      <c r="D76" s="263"/>
      <c r="E76" s="263"/>
      <c r="F76" s="263"/>
      <c r="G76" s="263"/>
      <c r="H76" s="263"/>
      <c r="I76" s="263"/>
      <c r="J76" s="263"/>
      <c r="K76" s="263"/>
      <c r="L76" s="263"/>
      <c r="M76" s="263"/>
      <c r="N76" s="263"/>
      <c r="O76" s="263"/>
      <c r="P76" s="263"/>
      <c r="Q76" s="263"/>
      <c r="R76" s="263"/>
      <c r="S76" s="263"/>
      <c r="T76" s="263"/>
      <c r="U76" s="263"/>
      <c r="V76" s="263"/>
      <c r="W76" s="263"/>
    </row>
    <row r="77" spans="1:23" ht="15">
      <c r="A77" s="263"/>
      <c r="B77" s="263"/>
      <c r="C77" s="263"/>
      <c r="D77" s="263"/>
      <c r="E77" s="263"/>
      <c r="F77" s="263"/>
      <c r="G77" s="263"/>
      <c r="H77" s="263"/>
      <c r="I77" s="263"/>
      <c r="J77" s="263"/>
      <c r="K77" s="263"/>
      <c r="L77" s="263"/>
      <c r="M77" s="263"/>
      <c r="N77" s="263"/>
      <c r="O77" s="263"/>
      <c r="P77" s="263"/>
      <c r="Q77" s="263"/>
      <c r="R77" s="263"/>
      <c r="S77" s="263"/>
      <c r="T77" s="263"/>
      <c r="U77" s="263"/>
      <c r="V77" s="263"/>
      <c r="W77" s="263"/>
    </row>
    <row r="78" spans="1:23" ht="15">
      <c r="A78" s="263"/>
      <c r="B78" s="263"/>
      <c r="C78" s="263"/>
      <c r="D78" s="263"/>
      <c r="E78" s="263"/>
      <c r="F78" s="263"/>
      <c r="G78" s="263"/>
      <c r="H78" s="263"/>
      <c r="I78" s="263"/>
      <c r="J78" s="263"/>
      <c r="K78" s="263"/>
      <c r="L78" s="263"/>
      <c r="M78" s="263"/>
      <c r="N78" s="263"/>
      <c r="O78" s="263"/>
      <c r="P78" s="263"/>
      <c r="Q78" s="263"/>
      <c r="R78" s="263"/>
      <c r="S78" s="263"/>
      <c r="T78" s="263"/>
      <c r="U78" s="263"/>
      <c r="V78" s="263"/>
      <c r="W78" s="263"/>
    </row>
    <row r="79" spans="1:23" ht="15">
      <c r="A79" s="263"/>
      <c r="B79" s="263"/>
      <c r="C79" s="263"/>
      <c r="D79" s="263"/>
      <c r="E79" s="263"/>
      <c r="F79" s="263"/>
      <c r="G79" s="263"/>
      <c r="H79" s="263"/>
      <c r="I79" s="263"/>
      <c r="J79" s="263"/>
      <c r="K79" s="263"/>
      <c r="L79" s="263"/>
      <c r="M79" s="263"/>
      <c r="N79" s="263"/>
      <c r="O79" s="263"/>
      <c r="P79" s="263"/>
      <c r="Q79" s="263"/>
      <c r="R79" s="263"/>
      <c r="S79" s="263"/>
      <c r="T79" s="263"/>
      <c r="U79" s="263"/>
      <c r="V79" s="263"/>
      <c r="W79" s="263"/>
    </row>
    <row r="80" spans="1:23" ht="15">
      <c r="A80" s="263"/>
      <c r="B80" s="263"/>
      <c r="C80" s="263"/>
      <c r="D80" s="263"/>
      <c r="E80" s="263"/>
      <c r="F80" s="263"/>
      <c r="G80" s="263"/>
      <c r="H80" s="263"/>
      <c r="I80" s="263"/>
      <c r="J80" s="263"/>
      <c r="K80" s="263"/>
      <c r="L80" s="263"/>
      <c r="M80" s="263"/>
      <c r="N80" s="263"/>
      <c r="O80" s="263"/>
      <c r="P80" s="263"/>
      <c r="Q80" s="263"/>
      <c r="R80" s="263"/>
      <c r="S80" s="263"/>
      <c r="T80" s="263"/>
      <c r="U80" s="263"/>
      <c r="V80" s="263"/>
      <c r="W80" s="263"/>
    </row>
    <row r="81" spans="1:23" ht="15">
      <c r="A81" s="263"/>
      <c r="B81" s="263"/>
      <c r="C81" s="263"/>
      <c r="D81" s="263"/>
      <c r="E81" s="263"/>
      <c r="F81" s="263"/>
      <c r="G81" s="263"/>
      <c r="H81" s="263"/>
      <c r="I81" s="263"/>
      <c r="J81" s="263"/>
      <c r="K81" s="263"/>
      <c r="L81" s="263"/>
      <c r="M81" s="263"/>
      <c r="N81" s="263"/>
      <c r="O81" s="263"/>
      <c r="P81" s="263"/>
      <c r="Q81" s="263"/>
      <c r="R81" s="263"/>
      <c r="S81" s="263"/>
      <c r="T81" s="263"/>
      <c r="U81" s="263"/>
      <c r="V81" s="263"/>
      <c r="W81" s="263"/>
    </row>
    <row r="82" spans="1:23" ht="15">
      <c r="A82" s="263"/>
      <c r="B82" s="263"/>
      <c r="C82" s="263"/>
      <c r="D82" s="263"/>
      <c r="E82" s="263"/>
      <c r="F82" s="263"/>
      <c r="G82" s="263"/>
      <c r="H82" s="263"/>
      <c r="I82" s="263"/>
      <c r="J82" s="263"/>
      <c r="K82" s="263"/>
      <c r="L82" s="263"/>
      <c r="M82" s="263"/>
      <c r="N82" s="263"/>
      <c r="O82" s="263"/>
      <c r="P82" s="263"/>
      <c r="Q82" s="263"/>
      <c r="R82" s="263"/>
      <c r="S82" s="263"/>
      <c r="T82" s="263"/>
      <c r="U82" s="263"/>
      <c r="V82" s="263"/>
      <c r="W82" s="263"/>
    </row>
    <row r="83" spans="1:23" ht="15">
      <c r="A83" s="263"/>
      <c r="B83" s="263"/>
      <c r="C83" s="263"/>
      <c r="D83" s="263"/>
      <c r="E83" s="263"/>
      <c r="F83" s="263"/>
      <c r="G83" s="263"/>
      <c r="H83" s="263"/>
      <c r="I83" s="263"/>
      <c r="J83" s="263"/>
      <c r="K83" s="263"/>
      <c r="L83" s="263"/>
      <c r="M83" s="263"/>
      <c r="N83" s="263"/>
      <c r="O83" s="263"/>
      <c r="P83" s="263"/>
      <c r="Q83" s="263"/>
      <c r="R83" s="263"/>
      <c r="S83" s="263"/>
      <c r="T83" s="263"/>
      <c r="U83" s="263"/>
      <c r="V83" s="263"/>
      <c r="W83" s="263"/>
    </row>
    <row r="84" spans="1:23" ht="15">
      <c r="A84" s="263"/>
      <c r="B84" s="263"/>
      <c r="C84" s="263"/>
      <c r="D84" s="263"/>
      <c r="E84" s="263"/>
      <c r="F84" s="263"/>
      <c r="G84" s="263"/>
      <c r="H84" s="263"/>
      <c r="I84" s="263"/>
      <c r="J84" s="263"/>
      <c r="K84" s="263"/>
      <c r="L84" s="263"/>
      <c r="M84" s="263"/>
      <c r="N84" s="263"/>
      <c r="O84" s="263"/>
      <c r="P84" s="263"/>
      <c r="Q84" s="263"/>
      <c r="R84" s="263"/>
      <c r="S84" s="263"/>
      <c r="T84" s="263"/>
      <c r="U84" s="263"/>
      <c r="V84" s="263"/>
      <c r="W84" s="263"/>
    </row>
    <row r="85" spans="1:23" ht="15">
      <c r="A85" s="263"/>
      <c r="B85" s="263"/>
      <c r="C85" s="263"/>
      <c r="D85" s="263"/>
      <c r="E85" s="263"/>
      <c r="F85" s="263"/>
      <c r="G85" s="263"/>
      <c r="H85" s="263"/>
      <c r="I85" s="263"/>
      <c r="J85" s="263"/>
      <c r="K85" s="263"/>
      <c r="L85" s="263"/>
      <c r="M85" s="263"/>
      <c r="N85" s="263"/>
      <c r="O85" s="263"/>
      <c r="P85" s="263"/>
      <c r="Q85" s="263"/>
      <c r="R85" s="263"/>
      <c r="S85" s="263"/>
      <c r="T85" s="263"/>
      <c r="U85" s="263"/>
      <c r="V85" s="263"/>
      <c r="W85" s="263"/>
    </row>
    <row r="86" spans="1:23" ht="15">
      <c r="A86" s="263"/>
      <c r="B86" s="263"/>
      <c r="C86" s="263"/>
      <c r="D86" s="263"/>
      <c r="E86" s="263"/>
      <c r="F86" s="263"/>
      <c r="G86" s="263"/>
      <c r="H86" s="263"/>
      <c r="I86" s="263"/>
      <c r="J86" s="263"/>
      <c r="K86" s="263"/>
      <c r="L86" s="263"/>
      <c r="M86" s="263"/>
      <c r="N86" s="263"/>
      <c r="O86" s="263"/>
      <c r="P86" s="263"/>
      <c r="Q86" s="263"/>
      <c r="R86" s="263"/>
      <c r="S86" s="263"/>
      <c r="T86" s="263"/>
      <c r="U86" s="263"/>
      <c r="V86" s="263"/>
      <c r="W86" s="263"/>
    </row>
    <row r="87" spans="1:23" ht="15">
      <c r="A87" s="263"/>
      <c r="B87" s="263"/>
      <c r="C87" s="263"/>
      <c r="D87" s="263"/>
      <c r="E87" s="263"/>
      <c r="F87" s="263"/>
      <c r="G87" s="263"/>
      <c r="H87" s="263"/>
      <c r="I87" s="263"/>
      <c r="J87" s="263"/>
      <c r="K87" s="263"/>
      <c r="L87" s="263"/>
      <c r="M87" s="263"/>
      <c r="N87" s="263"/>
      <c r="O87" s="263"/>
      <c r="P87" s="263"/>
      <c r="Q87" s="263"/>
      <c r="R87" s="263"/>
      <c r="S87" s="263"/>
      <c r="T87" s="263"/>
      <c r="U87" s="263"/>
      <c r="V87" s="263"/>
      <c r="W87" s="263"/>
    </row>
    <row r="88" spans="1:23" ht="15">
      <c r="A88" s="263"/>
      <c r="B88" s="263"/>
      <c r="C88" s="263"/>
      <c r="D88" s="263"/>
      <c r="E88" s="263"/>
      <c r="F88" s="263"/>
      <c r="G88" s="263"/>
      <c r="H88" s="263"/>
      <c r="I88" s="263"/>
      <c r="J88" s="263"/>
      <c r="K88" s="263"/>
      <c r="L88" s="263"/>
      <c r="M88" s="263"/>
      <c r="N88" s="263"/>
      <c r="O88" s="263"/>
      <c r="P88" s="263"/>
      <c r="Q88" s="263"/>
      <c r="R88" s="263"/>
      <c r="S88" s="263"/>
      <c r="T88" s="263"/>
      <c r="U88" s="263"/>
      <c r="V88" s="263"/>
      <c r="W88" s="263"/>
    </row>
    <row r="89" spans="1:23" ht="15">
      <c r="A89" s="263"/>
      <c r="B89" s="263"/>
      <c r="C89" s="263"/>
      <c r="D89" s="263"/>
      <c r="E89" s="263"/>
      <c r="F89" s="263"/>
      <c r="G89" s="263"/>
      <c r="H89" s="263"/>
      <c r="I89" s="263"/>
      <c r="J89" s="263"/>
      <c r="K89" s="263"/>
      <c r="L89" s="263"/>
      <c r="M89" s="263"/>
      <c r="N89" s="263"/>
      <c r="O89" s="263"/>
      <c r="P89" s="263"/>
      <c r="Q89" s="263"/>
      <c r="R89" s="263"/>
      <c r="S89" s="263"/>
      <c r="T89" s="263"/>
      <c r="U89" s="263"/>
      <c r="V89" s="263"/>
      <c r="W89" s="263"/>
    </row>
    <row r="90" spans="1:23" ht="15">
      <c r="A90" s="263"/>
      <c r="B90" s="263"/>
      <c r="C90" s="263"/>
      <c r="D90" s="263"/>
      <c r="E90" s="263"/>
      <c r="F90" s="263"/>
      <c r="G90" s="263"/>
      <c r="H90" s="263"/>
      <c r="I90" s="263"/>
      <c r="J90" s="263"/>
      <c r="K90" s="263"/>
      <c r="L90" s="263"/>
      <c r="M90" s="263"/>
      <c r="N90" s="263"/>
      <c r="O90" s="263"/>
      <c r="P90" s="263"/>
      <c r="Q90" s="263"/>
      <c r="R90" s="263"/>
      <c r="S90" s="263"/>
      <c r="T90" s="263"/>
      <c r="U90" s="263"/>
      <c r="V90" s="263"/>
      <c r="W90" s="263"/>
    </row>
    <row r="91" spans="1:23" ht="15">
      <c r="A91" s="263"/>
      <c r="B91" s="263"/>
      <c r="C91" s="263"/>
      <c r="D91" s="263"/>
      <c r="E91" s="263"/>
      <c r="F91" s="263"/>
      <c r="G91" s="263"/>
      <c r="H91" s="263"/>
      <c r="I91" s="263"/>
      <c r="J91" s="263"/>
      <c r="K91" s="263"/>
      <c r="L91" s="263"/>
      <c r="M91" s="263"/>
      <c r="N91" s="263"/>
      <c r="O91" s="263"/>
      <c r="P91" s="263"/>
      <c r="Q91" s="263"/>
      <c r="R91" s="263"/>
      <c r="S91" s="263"/>
      <c r="T91" s="263"/>
      <c r="U91" s="263"/>
      <c r="V91" s="263"/>
      <c r="W91" s="263"/>
    </row>
    <row r="92" spans="1:23" ht="15">
      <c r="A92" s="263"/>
      <c r="B92" s="263"/>
      <c r="C92" s="263"/>
      <c r="D92" s="263"/>
      <c r="E92" s="263"/>
      <c r="F92" s="263"/>
      <c r="G92" s="263"/>
      <c r="H92" s="263"/>
      <c r="I92" s="263"/>
      <c r="J92" s="263"/>
      <c r="K92" s="263"/>
      <c r="L92" s="263"/>
      <c r="M92" s="263"/>
      <c r="N92" s="263"/>
      <c r="O92" s="263"/>
      <c r="P92" s="263"/>
      <c r="Q92" s="263"/>
      <c r="R92" s="263"/>
      <c r="S92" s="263"/>
      <c r="T92" s="263"/>
      <c r="U92" s="263"/>
      <c r="V92" s="263"/>
      <c r="W92" s="263"/>
    </row>
    <row r="93" spans="1:23" ht="15">
      <c r="A93" s="263"/>
      <c r="B93" s="263"/>
      <c r="C93" s="263"/>
      <c r="D93" s="263"/>
      <c r="E93" s="263"/>
      <c r="F93" s="263"/>
      <c r="G93" s="263"/>
      <c r="H93" s="263"/>
      <c r="I93" s="263"/>
      <c r="J93" s="263"/>
      <c r="K93" s="263"/>
      <c r="L93" s="263"/>
      <c r="M93" s="263"/>
      <c r="N93" s="263"/>
      <c r="O93" s="263"/>
      <c r="P93" s="263"/>
      <c r="Q93" s="263"/>
      <c r="R93" s="263"/>
      <c r="S93" s="263"/>
      <c r="T93" s="263"/>
      <c r="U93" s="263"/>
      <c r="V93" s="263"/>
      <c r="W93" s="263"/>
    </row>
    <row r="94" spans="1:23" ht="15">
      <c r="A94" s="263"/>
      <c r="B94" s="263"/>
      <c r="C94" s="263"/>
      <c r="D94" s="263"/>
      <c r="E94" s="263"/>
      <c r="F94" s="263"/>
      <c r="G94" s="263"/>
      <c r="H94" s="263"/>
      <c r="I94" s="263"/>
      <c r="J94" s="263"/>
      <c r="K94" s="263"/>
      <c r="L94" s="263"/>
      <c r="M94" s="263"/>
      <c r="N94" s="263"/>
      <c r="O94" s="263"/>
      <c r="P94" s="263"/>
      <c r="Q94" s="263"/>
      <c r="R94" s="263"/>
      <c r="S94" s="263"/>
      <c r="T94" s="263"/>
      <c r="U94" s="263"/>
      <c r="V94" s="263"/>
      <c r="W94" s="263"/>
    </row>
    <row r="95" spans="1:23" ht="15">
      <c r="A95" s="263"/>
      <c r="B95" s="263"/>
      <c r="C95" s="263"/>
      <c r="D95" s="263"/>
      <c r="E95" s="263"/>
      <c r="F95" s="263"/>
      <c r="G95" s="263"/>
      <c r="H95" s="263"/>
      <c r="I95" s="263"/>
      <c r="J95" s="263"/>
      <c r="K95" s="263"/>
      <c r="L95" s="263"/>
      <c r="M95" s="263"/>
      <c r="N95" s="263"/>
      <c r="O95" s="263"/>
      <c r="P95" s="263"/>
      <c r="Q95" s="263"/>
      <c r="R95" s="263"/>
      <c r="S95" s="263"/>
      <c r="T95" s="263"/>
      <c r="U95" s="263"/>
      <c r="V95" s="263"/>
      <c r="W95" s="263"/>
    </row>
    <row r="96" spans="1:23" ht="15">
      <c r="A96" s="263"/>
      <c r="B96" s="263"/>
      <c r="C96" s="263"/>
      <c r="D96" s="263"/>
      <c r="E96" s="263"/>
      <c r="F96" s="263"/>
      <c r="G96" s="263"/>
      <c r="H96" s="263"/>
      <c r="I96" s="263"/>
      <c r="J96" s="263"/>
      <c r="K96" s="263"/>
      <c r="L96" s="263"/>
      <c r="M96" s="263"/>
      <c r="N96" s="263"/>
      <c r="O96" s="263"/>
      <c r="P96" s="263"/>
      <c r="Q96" s="263"/>
      <c r="R96" s="263"/>
      <c r="S96" s="263"/>
      <c r="T96" s="263"/>
      <c r="U96" s="263"/>
      <c r="V96" s="263"/>
      <c r="W96" s="263"/>
    </row>
    <row r="97" spans="1:23" ht="15">
      <c r="A97" s="263"/>
      <c r="B97" s="263"/>
      <c r="C97" s="263"/>
      <c r="D97" s="263"/>
      <c r="E97" s="263"/>
      <c r="F97" s="263"/>
      <c r="G97" s="263"/>
      <c r="H97" s="263"/>
      <c r="I97" s="263"/>
      <c r="J97" s="263"/>
      <c r="K97" s="263"/>
      <c r="L97" s="263"/>
      <c r="M97" s="263"/>
      <c r="N97" s="263"/>
      <c r="O97" s="263"/>
      <c r="P97" s="263"/>
      <c r="Q97" s="263"/>
      <c r="R97" s="263"/>
      <c r="S97" s="263"/>
      <c r="T97" s="263"/>
      <c r="U97" s="263"/>
      <c r="V97" s="263"/>
      <c r="W97" s="263"/>
    </row>
    <row r="98" spans="1:23" ht="15">
      <c r="A98" s="263"/>
      <c r="B98" s="263"/>
      <c r="C98" s="263"/>
      <c r="D98" s="263"/>
      <c r="E98" s="263"/>
      <c r="F98" s="263"/>
      <c r="G98" s="263"/>
      <c r="H98" s="263"/>
      <c r="I98" s="263"/>
      <c r="J98" s="263"/>
      <c r="K98" s="263"/>
      <c r="L98" s="263"/>
      <c r="M98" s="263"/>
      <c r="N98" s="263"/>
      <c r="O98" s="263"/>
      <c r="P98" s="263"/>
      <c r="Q98" s="263"/>
      <c r="R98" s="263"/>
      <c r="S98" s="263"/>
      <c r="T98" s="263"/>
      <c r="U98" s="263"/>
      <c r="V98" s="263"/>
      <c r="W98" s="263"/>
    </row>
    <row r="99" spans="1:23" ht="15">
      <c r="A99" s="263"/>
      <c r="B99" s="263"/>
      <c r="C99" s="263"/>
      <c r="D99" s="263"/>
      <c r="E99" s="263"/>
      <c r="F99" s="263"/>
      <c r="G99" s="263"/>
      <c r="H99" s="263"/>
      <c r="I99" s="263"/>
      <c r="J99" s="263"/>
      <c r="K99" s="263"/>
      <c r="L99" s="263"/>
      <c r="M99" s="263"/>
      <c r="N99" s="263"/>
      <c r="O99" s="263"/>
      <c r="P99" s="263"/>
      <c r="Q99" s="263"/>
      <c r="R99" s="263"/>
      <c r="S99" s="263"/>
      <c r="T99" s="263"/>
      <c r="U99" s="263"/>
      <c r="V99" s="263"/>
      <c r="W99" s="263"/>
    </row>
    <row r="100" spans="1:23" ht="15">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row>
    <row r="101" spans="1:23" ht="15">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row>
    <row r="102" spans="1:23" ht="15">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row>
    <row r="103" spans="1:23" ht="15">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row>
    <row r="104" spans="1:23" ht="15">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row>
    <row r="105" spans="1:23" ht="15">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row>
    <row r="106" spans="1:23" ht="15">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row>
    <row r="107" spans="1:23" ht="15">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row>
    <row r="108" spans="1:23" ht="15">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row>
    <row r="109" spans="1:23" ht="15">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row>
    <row r="110" spans="1:23" ht="15">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row>
    <row r="111" spans="1:23" ht="15">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row>
    <row r="112" spans="1:23" ht="15">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row>
    <row r="113" spans="1:23" ht="15">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row>
    <row r="114" spans="1:23" ht="15">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row>
    <row r="115" spans="1:23" ht="15">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row>
    <row r="116" spans="1:23" ht="15">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row>
    <row r="117" spans="1:23" ht="15">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row>
  </sheetData>
  <sheetProtection password="D950" sheet="1" scenarios="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W2:Z2"/>
    <mergeCell ref="C2:F2"/>
    <mergeCell ref="G2:J2"/>
    <mergeCell ref="K2:N2"/>
    <mergeCell ref="O2:R2"/>
    <mergeCell ref="S2:V2"/>
    <mergeCell ref="AA2:AD2"/>
    <mergeCell ref="AE2:AH2"/>
    <mergeCell ref="AI2:AL2"/>
    <mergeCell ref="AM2:AP2"/>
    <mergeCell ref="AQ2:AT2"/>
  </mergeCells>
  <phoneticPr fontId="0" type="noConversion"/>
  <printOptions horizontalCentered="1" verticalCentered="1" gridLines="1"/>
  <pageMargins left="0.5" right="0.5" top="1" bottom="0" header="0.4" footer="0.5"/>
  <pageSetup scale="73" orientation="portrait" r:id="rId2"/>
  <headerFooter alignWithMargins="0">
    <oddHeader xml:space="preserve">&amp;C&amp;"Arial,Bold"&amp;14TOWN OF BROADUS
COMBINING STATEMENT OF REVENUES, EXPENDITURES, AND CHANGES IN FUND BALANCES
NONMAJOR CAPITAL PROJECTS FUNDS
FISCAL YEAR ENDED JUNE 30, 2017
</oddHeader>
  </headerFooter>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3"/>
  <sheetViews>
    <sheetView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ColWidth="8.85546875" defaultRowHeight="12.75"/>
  <cols>
    <col min="1" max="1" width="13.85546875" style="261" customWidth="1"/>
    <col min="2" max="2" width="47.7109375" style="261" customWidth="1"/>
    <col min="3" max="8" width="18.7109375" style="261" customWidth="1"/>
    <col min="9" max="16384" width="8.85546875" style="261"/>
  </cols>
  <sheetData>
    <row r="1" spans="1:13" ht="15.75">
      <c r="A1" s="282"/>
      <c r="B1" s="282"/>
      <c r="C1" s="266" t="s">
        <v>1016</v>
      </c>
      <c r="D1" s="266" t="s">
        <v>1016</v>
      </c>
      <c r="E1" s="266" t="s">
        <v>1016</v>
      </c>
      <c r="F1" s="266" t="s">
        <v>1016</v>
      </c>
      <c r="G1" s="266" t="s">
        <v>1016</v>
      </c>
      <c r="H1" s="430" t="s">
        <v>1030</v>
      </c>
      <c r="I1" s="266"/>
      <c r="J1" s="263"/>
      <c r="K1" s="263"/>
      <c r="L1" s="263"/>
      <c r="M1" s="263"/>
    </row>
    <row r="2" spans="1:13" ht="15.75">
      <c r="A2" s="263"/>
      <c r="B2" s="263"/>
      <c r="C2" s="266" t="s">
        <v>1017</v>
      </c>
      <c r="D2" s="266" t="s">
        <v>1017</v>
      </c>
      <c r="E2" s="266" t="s">
        <v>1017</v>
      </c>
      <c r="F2" s="266" t="s">
        <v>1017</v>
      </c>
      <c r="G2" s="266" t="s">
        <v>1017</v>
      </c>
      <c r="H2" s="430" t="s">
        <v>1316</v>
      </c>
      <c r="I2" s="266"/>
      <c r="J2" s="263"/>
      <c r="K2" s="263"/>
      <c r="L2" s="263"/>
      <c r="M2" s="263"/>
    </row>
    <row r="3" spans="1:13" ht="15.75">
      <c r="A3" s="266" t="s">
        <v>1013</v>
      </c>
      <c r="B3" s="266"/>
      <c r="C3" s="266" t="s">
        <v>1555</v>
      </c>
      <c r="D3" s="266" t="s">
        <v>1555</v>
      </c>
      <c r="E3" s="300" t="s">
        <v>1555</v>
      </c>
      <c r="F3" s="300" t="s">
        <v>1555</v>
      </c>
      <c r="G3" s="300" t="s">
        <v>1555</v>
      </c>
      <c r="H3" s="430" t="s">
        <v>1032</v>
      </c>
      <c r="I3" s="263"/>
      <c r="J3" s="263"/>
      <c r="K3" s="263"/>
      <c r="L3" s="263"/>
      <c r="M3" s="263"/>
    </row>
    <row r="4" spans="1:13" ht="16.5" thickBot="1">
      <c r="A4" s="267" t="s">
        <v>1014</v>
      </c>
      <c r="B4" s="267" t="s">
        <v>1015</v>
      </c>
      <c r="C4" s="267"/>
      <c r="D4" s="267"/>
      <c r="E4" s="331"/>
      <c r="F4" s="331"/>
      <c r="G4" s="331"/>
      <c r="H4" s="700"/>
      <c r="I4" s="263"/>
      <c r="J4" s="263"/>
      <c r="K4" s="263"/>
      <c r="L4" s="263"/>
      <c r="M4" s="263"/>
    </row>
    <row r="5" spans="1:13" s="308" customFormat="1" ht="18" customHeight="1">
      <c r="A5" s="428"/>
      <c r="B5" s="677" t="s">
        <v>1060</v>
      </c>
      <c r="C5" s="432"/>
      <c r="D5" s="432"/>
      <c r="E5" s="432"/>
      <c r="F5" s="432"/>
      <c r="G5" s="432"/>
      <c r="H5" s="432"/>
      <c r="I5" s="411"/>
      <c r="J5" s="411"/>
      <c r="K5" s="411"/>
      <c r="L5" s="411"/>
      <c r="M5" s="411"/>
    </row>
    <row r="6" spans="1:13" ht="18" customHeight="1">
      <c r="A6" s="300">
        <v>101000</v>
      </c>
      <c r="B6" s="263" t="s">
        <v>1061</v>
      </c>
      <c r="C6" s="269"/>
      <c r="D6" s="269"/>
      <c r="E6" s="269"/>
      <c r="F6" s="269"/>
      <c r="G6" s="269"/>
      <c r="H6" s="277">
        <f t="shared" ref="H6:H11" si="0">SUM(C6:G6)</f>
        <v>0</v>
      </c>
      <c r="I6" s="263"/>
      <c r="J6" s="263"/>
      <c r="K6" s="263"/>
      <c r="L6" s="263"/>
      <c r="M6" s="263"/>
    </row>
    <row r="7" spans="1:13" ht="18" customHeight="1">
      <c r="A7" s="300">
        <v>103000</v>
      </c>
      <c r="B7" s="263" t="s">
        <v>1205</v>
      </c>
      <c r="C7" s="269"/>
      <c r="D7" s="269"/>
      <c r="E7" s="269"/>
      <c r="F7" s="269"/>
      <c r="G7" s="269"/>
      <c r="H7" s="277">
        <f t="shared" si="0"/>
        <v>0</v>
      </c>
      <c r="I7" s="263"/>
      <c r="J7" s="263"/>
      <c r="K7" s="263"/>
      <c r="L7" s="263"/>
      <c r="M7" s="263"/>
    </row>
    <row r="8" spans="1:13" ht="18" customHeight="1">
      <c r="A8" s="300">
        <v>101100</v>
      </c>
      <c r="B8" s="263" t="s">
        <v>1062</v>
      </c>
      <c r="C8" s="269"/>
      <c r="D8" s="269"/>
      <c r="E8" s="269"/>
      <c r="F8" s="269"/>
      <c r="G8" s="269"/>
      <c r="H8" s="277">
        <f t="shared" si="0"/>
        <v>0</v>
      </c>
      <c r="I8" s="263"/>
      <c r="J8" s="263"/>
      <c r="K8" s="263"/>
      <c r="L8" s="263"/>
      <c r="M8" s="263"/>
    </row>
    <row r="9" spans="1:13" ht="18" customHeight="1">
      <c r="A9" s="300">
        <v>102000</v>
      </c>
      <c r="B9" s="263" t="s">
        <v>1018</v>
      </c>
      <c r="C9" s="269"/>
      <c r="D9" s="269"/>
      <c r="E9" s="269"/>
      <c r="F9" s="269"/>
      <c r="G9" s="269"/>
      <c r="H9" s="277">
        <f t="shared" si="0"/>
        <v>0</v>
      </c>
      <c r="I9" s="263"/>
      <c r="J9" s="263"/>
      <c r="K9" s="263"/>
      <c r="L9" s="263"/>
      <c r="M9" s="263"/>
    </row>
    <row r="10" spans="1:13" ht="18" customHeight="1">
      <c r="A10" s="300">
        <v>102300</v>
      </c>
      <c r="B10" s="263" t="s">
        <v>1019</v>
      </c>
      <c r="C10" s="269"/>
      <c r="D10" s="269"/>
      <c r="E10" s="269"/>
      <c r="F10" s="269"/>
      <c r="G10" s="269"/>
      <c r="H10" s="277">
        <f t="shared" si="0"/>
        <v>0</v>
      </c>
      <c r="I10" s="263"/>
      <c r="J10" s="263"/>
      <c r="K10" s="263"/>
      <c r="L10" s="263"/>
      <c r="M10" s="263"/>
    </row>
    <row r="11" spans="1:13" ht="18" customHeight="1">
      <c r="A11" s="300">
        <v>106000</v>
      </c>
      <c r="B11" s="263" t="s">
        <v>1020</v>
      </c>
      <c r="C11" s="269"/>
      <c r="D11" s="269"/>
      <c r="E11" s="269"/>
      <c r="F11" s="269"/>
      <c r="G11" s="269"/>
      <c r="H11" s="277">
        <f t="shared" si="0"/>
        <v>0</v>
      </c>
      <c r="I11" s="263"/>
      <c r="J11" s="263"/>
      <c r="K11" s="263"/>
      <c r="L11" s="263"/>
      <c r="M11" s="263"/>
    </row>
    <row r="12" spans="1:13" s="308" customFormat="1" ht="18" customHeight="1">
      <c r="A12" s="428"/>
      <c r="B12" s="411" t="s">
        <v>1021</v>
      </c>
      <c r="C12" s="277"/>
      <c r="D12" s="277"/>
      <c r="E12" s="277"/>
      <c r="F12" s="277"/>
      <c r="G12" s="277"/>
      <c r="H12" s="277"/>
      <c r="I12" s="411"/>
      <c r="J12" s="411"/>
      <c r="K12" s="411"/>
      <c r="L12" s="411"/>
      <c r="M12" s="411"/>
    </row>
    <row r="13" spans="1:13" ht="18" customHeight="1">
      <c r="A13" s="300">
        <v>111000</v>
      </c>
      <c r="B13" s="263" t="s">
        <v>1022</v>
      </c>
      <c r="C13" s="269"/>
      <c r="D13" s="269"/>
      <c r="E13" s="269"/>
      <c r="F13" s="269"/>
      <c r="G13" s="269"/>
      <c r="H13" s="277">
        <f t="shared" ref="H13:H25" si="1">SUM(C13:G13)</f>
        <v>0</v>
      </c>
      <c r="I13" s="263"/>
      <c r="J13" s="263"/>
      <c r="K13" s="263"/>
      <c r="L13" s="263"/>
      <c r="M13" s="263"/>
    </row>
    <row r="14" spans="1:13" ht="18" customHeight="1">
      <c r="A14" s="300">
        <v>113000</v>
      </c>
      <c r="B14" s="263" t="s">
        <v>1023</v>
      </c>
      <c r="C14" s="269"/>
      <c r="D14" s="269"/>
      <c r="E14" s="269"/>
      <c r="F14" s="269"/>
      <c r="G14" s="269"/>
      <c r="H14" s="277">
        <f t="shared" si="1"/>
        <v>0</v>
      </c>
      <c r="I14" s="263"/>
      <c r="J14" s="263"/>
      <c r="K14" s="263"/>
      <c r="L14" s="263"/>
      <c r="M14" s="263"/>
    </row>
    <row r="15" spans="1:13" ht="18" customHeight="1">
      <c r="A15" s="300">
        <v>114000</v>
      </c>
      <c r="B15" s="263" t="s">
        <v>1024</v>
      </c>
      <c r="C15" s="269"/>
      <c r="D15" s="269"/>
      <c r="E15" s="269"/>
      <c r="F15" s="269"/>
      <c r="G15" s="269"/>
      <c r="H15" s="277">
        <f t="shared" si="1"/>
        <v>0</v>
      </c>
      <c r="I15" s="263"/>
      <c r="J15" s="263"/>
      <c r="K15" s="263"/>
      <c r="L15" s="263"/>
      <c r="M15" s="263"/>
    </row>
    <row r="16" spans="1:13" ht="18" customHeight="1">
      <c r="A16" s="300">
        <v>115000</v>
      </c>
      <c r="B16" s="263" t="s">
        <v>1025</v>
      </c>
      <c r="C16" s="269"/>
      <c r="D16" s="269"/>
      <c r="E16" s="269"/>
      <c r="F16" s="269"/>
      <c r="G16" s="269"/>
      <c r="H16" s="277">
        <f t="shared" si="1"/>
        <v>0</v>
      </c>
      <c r="I16" s="263"/>
      <c r="J16" s="263"/>
      <c r="K16" s="263"/>
      <c r="L16" s="263"/>
      <c r="M16" s="263"/>
    </row>
    <row r="17" spans="1:13" ht="18" customHeight="1">
      <c r="A17" s="300">
        <v>116000</v>
      </c>
      <c r="B17" s="263" t="s">
        <v>1026</v>
      </c>
      <c r="C17" s="269"/>
      <c r="D17" s="269"/>
      <c r="E17" s="269"/>
      <c r="F17" s="269"/>
      <c r="G17" s="269"/>
      <c r="H17" s="277">
        <f t="shared" si="1"/>
        <v>0</v>
      </c>
      <c r="I17" s="263"/>
      <c r="J17" s="263"/>
      <c r="K17" s="263"/>
      <c r="L17" s="263"/>
      <c r="M17" s="263"/>
    </row>
    <row r="18" spans="1:13" ht="18" customHeight="1">
      <c r="A18" s="300">
        <v>118000</v>
      </c>
      <c r="B18" s="263" t="s">
        <v>825</v>
      </c>
      <c r="C18" s="269"/>
      <c r="D18" s="269"/>
      <c r="E18" s="269"/>
      <c r="F18" s="269"/>
      <c r="G18" s="269"/>
      <c r="H18" s="277">
        <f t="shared" si="1"/>
        <v>0</v>
      </c>
      <c r="I18" s="263"/>
      <c r="J18" s="263"/>
      <c r="K18" s="263"/>
      <c r="L18" s="263"/>
      <c r="M18" s="263"/>
    </row>
    <row r="19" spans="1:13" ht="27.95" customHeight="1">
      <c r="A19" s="300">
        <v>120000</v>
      </c>
      <c r="B19" s="270" t="s">
        <v>666</v>
      </c>
      <c r="C19" s="269"/>
      <c r="D19" s="269"/>
      <c r="E19" s="269"/>
      <c r="F19" s="269"/>
      <c r="G19" s="269"/>
      <c r="H19" s="277">
        <f t="shared" si="1"/>
        <v>0</v>
      </c>
      <c r="I19" s="263"/>
      <c r="J19" s="263"/>
      <c r="K19" s="263"/>
      <c r="L19" s="263"/>
      <c r="M19" s="263"/>
    </row>
    <row r="20" spans="1:13" ht="18" customHeight="1">
      <c r="A20" s="300">
        <v>131000</v>
      </c>
      <c r="B20" s="263" t="s">
        <v>249</v>
      </c>
      <c r="C20" s="269"/>
      <c r="D20" s="269"/>
      <c r="E20" s="269"/>
      <c r="F20" s="269"/>
      <c r="G20" s="269"/>
      <c r="H20" s="277">
        <f t="shared" si="1"/>
        <v>0</v>
      </c>
      <c r="I20" s="263"/>
      <c r="J20" s="263"/>
      <c r="K20" s="263"/>
      <c r="L20" s="263"/>
      <c r="M20" s="263"/>
    </row>
    <row r="21" spans="1:13" ht="18" customHeight="1">
      <c r="A21" s="300">
        <v>132000</v>
      </c>
      <c r="B21" s="263" t="s">
        <v>250</v>
      </c>
      <c r="C21" s="269"/>
      <c r="D21" s="269"/>
      <c r="E21" s="269"/>
      <c r="F21" s="269"/>
      <c r="G21" s="269"/>
      <c r="H21" s="277">
        <f t="shared" si="1"/>
        <v>0</v>
      </c>
      <c r="I21" s="263"/>
      <c r="J21" s="263"/>
      <c r="K21" s="263"/>
      <c r="L21" s="263"/>
      <c r="M21" s="263"/>
    </row>
    <row r="22" spans="1:13" ht="18" customHeight="1">
      <c r="A22" s="300">
        <v>133000</v>
      </c>
      <c r="B22" s="263" t="s">
        <v>1209</v>
      </c>
      <c r="C22" s="269"/>
      <c r="D22" s="269"/>
      <c r="E22" s="269"/>
      <c r="F22" s="269"/>
      <c r="G22" s="269"/>
      <c r="H22" s="277">
        <f t="shared" si="1"/>
        <v>0</v>
      </c>
      <c r="I22" s="263"/>
      <c r="J22" s="263"/>
      <c r="K22" s="263"/>
      <c r="L22" s="263"/>
      <c r="M22" s="263"/>
    </row>
    <row r="23" spans="1:13" ht="18" customHeight="1">
      <c r="A23" s="300">
        <v>140000</v>
      </c>
      <c r="B23" s="263" t="s">
        <v>202</v>
      </c>
      <c r="C23" s="269"/>
      <c r="D23" s="269"/>
      <c r="E23" s="269"/>
      <c r="F23" s="269"/>
      <c r="G23" s="269"/>
      <c r="H23" s="277">
        <f t="shared" si="1"/>
        <v>0</v>
      </c>
      <c r="I23" s="263"/>
      <c r="J23" s="263"/>
      <c r="K23" s="263"/>
      <c r="L23" s="263"/>
      <c r="M23" s="263"/>
    </row>
    <row r="24" spans="1:13" ht="18" customHeight="1">
      <c r="A24" s="300">
        <v>150000</v>
      </c>
      <c r="B24" s="263" t="s">
        <v>1065</v>
      </c>
      <c r="C24" s="269"/>
      <c r="D24" s="269"/>
      <c r="E24" s="269"/>
      <c r="F24" s="269"/>
      <c r="G24" s="269"/>
      <c r="H24" s="277">
        <f t="shared" si="1"/>
        <v>0</v>
      </c>
      <c r="I24" s="263"/>
      <c r="J24" s="263"/>
      <c r="K24" s="263"/>
      <c r="L24" s="263"/>
      <c r="M24" s="263"/>
    </row>
    <row r="25" spans="1:13" ht="18" customHeight="1" thickBot="1">
      <c r="A25" s="300">
        <v>170000</v>
      </c>
      <c r="B25" s="263" t="s">
        <v>180</v>
      </c>
      <c r="C25" s="271"/>
      <c r="D25" s="271"/>
      <c r="E25" s="271"/>
      <c r="F25" s="271"/>
      <c r="G25" s="271"/>
      <c r="H25" s="278">
        <f t="shared" si="1"/>
        <v>0</v>
      </c>
      <c r="I25" s="263"/>
      <c r="J25" s="263"/>
      <c r="K25" s="263"/>
      <c r="L25" s="263"/>
      <c r="M25" s="263"/>
    </row>
    <row r="26" spans="1:13" s="308" customFormat="1" ht="18" customHeight="1">
      <c r="A26" s="428"/>
      <c r="B26" s="430" t="s">
        <v>1027</v>
      </c>
      <c r="C26" s="277">
        <f t="shared" ref="C26:H26" si="2">SUM(C5:C25)</f>
        <v>0</v>
      </c>
      <c r="D26" s="277">
        <f t="shared" si="2"/>
        <v>0</v>
      </c>
      <c r="E26" s="277">
        <f t="shared" si="2"/>
        <v>0</v>
      </c>
      <c r="F26" s="277">
        <f t="shared" si="2"/>
        <v>0</v>
      </c>
      <c r="G26" s="277">
        <f t="shared" si="2"/>
        <v>0</v>
      </c>
      <c r="H26" s="277">
        <f t="shared" si="2"/>
        <v>0</v>
      </c>
      <c r="I26" s="411"/>
      <c r="J26" s="411"/>
      <c r="K26" s="411"/>
      <c r="L26" s="411"/>
      <c r="M26" s="411"/>
    </row>
    <row r="27" spans="1:13" s="308" customFormat="1" ht="11.25" customHeight="1">
      <c r="A27" s="428"/>
      <c r="B27" s="430"/>
      <c r="C27" s="277"/>
      <c r="D27" s="277"/>
      <c r="E27" s="277"/>
      <c r="F27" s="277"/>
      <c r="G27" s="277"/>
      <c r="H27" s="277"/>
      <c r="I27" s="411"/>
      <c r="J27" s="411"/>
      <c r="K27" s="411"/>
      <c r="L27" s="411"/>
      <c r="M27" s="411"/>
    </row>
    <row r="28" spans="1:13" s="308" customFormat="1" ht="18" customHeight="1">
      <c r="A28" s="429"/>
      <c r="B28" s="677" t="s">
        <v>1903</v>
      </c>
      <c r="C28" s="277"/>
      <c r="D28" s="277"/>
      <c r="E28" s="277"/>
      <c r="F28" s="277"/>
      <c r="G28" s="277"/>
      <c r="H28" s="277"/>
      <c r="I28" s="411"/>
      <c r="J28" s="411"/>
      <c r="K28" s="411"/>
      <c r="L28" s="411"/>
      <c r="M28" s="411"/>
    </row>
    <row r="29" spans="1:13" ht="18" customHeight="1">
      <c r="A29" s="300">
        <v>190000</v>
      </c>
      <c r="B29" s="263" t="s">
        <v>1904</v>
      </c>
      <c r="C29" s="269"/>
      <c r="D29" s="269"/>
      <c r="E29" s="269"/>
      <c r="F29" s="269"/>
      <c r="G29" s="269"/>
      <c r="H29" s="277">
        <f t="shared" ref="H29:H30" si="3">SUM(C29:G29)</f>
        <v>0</v>
      </c>
      <c r="I29" s="263"/>
      <c r="J29" s="263"/>
      <c r="K29" s="263"/>
      <c r="L29" s="263"/>
      <c r="M29" s="263"/>
    </row>
    <row r="30" spans="1:13" ht="18" customHeight="1" thickBot="1">
      <c r="A30" s="300" t="s">
        <v>1957</v>
      </c>
      <c r="B30" s="263" t="s">
        <v>1914</v>
      </c>
      <c r="C30" s="271"/>
      <c r="D30" s="271"/>
      <c r="E30" s="271"/>
      <c r="F30" s="271"/>
      <c r="G30" s="271"/>
      <c r="H30" s="278">
        <f t="shared" si="3"/>
        <v>0</v>
      </c>
      <c r="I30" s="263"/>
      <c r="J30" s="263"/>
      <c r="K30" s="263"/>
      <c r="L30" s="263"/>
      <c r="M30" s="263"/>
    </row>
    <row r="31" spans="1:13" s="308" customFormat="1" ht="18" customHeight="1">
      <c r="A31" s="429"/>
      <c r="B31" s="430" t="s">
        <v>1905</v>
      </c>
      <c r="C31" s="277">
        <f>SUM(C29:C30)</f>
        <v>0</v>
      </c>
      <c r="D31" s="277">
        <f t="shared" ref="D31:H31" si="4">SUM(D29:D30)</f>
        <v>0</v>
      </c>
      <c r="E31" s="277">
        <f t="shared" si="4"/>
        <v>0</v>
      </c>
      <c r="F31" s="277">
        <f t="shared" si="4"/>
        <v>0</v>
      </c>
      <c r="G31" s="277">
        <f t="shared" si="4"/>
        <v>0</v>
      </c>
      <c r="H31" s="277">
        <f t="shared" si="4"/>
        <v>0</v>
      </c>
      <c r="I31" s="411"/>
      <c r="J31" s="411"/>
      <c r="K31" s="411"/>
      <c r="L31" s="411"/>
      <c r="M31" s="411"/>
    </row>
    <row r="32" spans="1:13" s="308" customFormat="1" ht="11.25" customHeight="1">
      <c r="A32" s="428"/>
      <c r="B32" s="411"/>
      <c r="C32" s="277"/>
      <c r="D32" s="277"/>
      <c r="E32" s="277"/>
      <c r="F32" s="277"/>
      <c r="G32" s="277"/>
      <c r="H32" s="277"/>
      <c r="I32" s="411"/>
      <c r="J32" s="411"/>
      <c r="K32" s="411"/>
      <c r="L32" s="411"/>
      <c r="M32" s="411"/>
    </row>
    <row r="33" spans="1:13" s="308" customFormat="1" ht="18" customHeight="1">
      <c r="A33" s="428"/>
      <c r="B33" s="431" t="s">
        <v>1070</v>
      </c>
      <c r="C33" s="277"/>
      <c r="D33" s="277"/>
      <c r="E33" s="277"/>
      <c r="F33" s="277"/>
      <c r="G33" s="277"/>
      <c r="H33" s="277"/>
      <c r="I33" s="411"/>
      <c r="J33" s="411"/>
      <c r="K33" s="411"/>
      <c r="L33" s="411"/>
      <c r="M33" s="411"/>
    </row>
    <row r="34" spans="1:13" ht="18" customHeight="1">
      <c r="A34" s="300">
        <v>201000</v>
      </c>
      <c r="B34" s="263" t="s">
        <v>728</v>
      </c>
      <c r="C34" s="269"/>
      <c r="D34" s="269"/>
      <c r="E34" s="269"/>
      <c r="F34" s="269"/>
      <c r="G34" s="269"/>
      <c r="H34" s="277">
        <f t="shared" ref="H34:H44" si="5">SUM(C34:G34)</f>
        <v>0</v>
      </c>
      <c r="I34" s="263"/>
      <c r="J34" s="263"/>
      <c r="K34" s="263"/>
      <c r="L34" s="263"/>
      <c r="M34" s="263"/>
    </row>
    <row r="35" spans="1:13" ht="18" customHeight="1">
      <c r="A35" s="300">
        <v>202100</v>
      </c>
      <c r="B35" s="263" t="s">
        <v>205</v>
      </c>
      <c r="C35" s="269"/>
      <c r="D35" s="269"/>
      <c r="E35" s="269"/>
      <c r="F35" s="269"/>
      <c r="G35" s="269"/>
      <c r="H35" s="277">
        <f t="shared" si="5"/>
        <v>0</v>
      </c>
      <c r="I35" s="263"/>
      <c r="J35" s="263"/>
      <c r="K35" s="263"/>
      <c r="L35" s="263"/>
      <c r="M35" s="263"/>
    </row>
    <row r="36" spans="1:13" ht="18" customHeight="1">
      <c r="A36" s="300">
        <v>203100</v>
      </c>
      <c r="B36" s="263" t="s">
        <v>288</v>
      </c>
      <c r="C36" s="269"/>
      <c r="D36" s="269"/>
      <c r="E36" s="269"/>
      <c r="F36" s="269"/>
      <c r="G36" s="269"/>
      <c r="H36" s="277">
        <f t="shared" si="5"/>
        <v>0</v>
      </c>
      <c r="I36" s="263"/>
      <c r="J36" s="263"/>
      <c r="K36" s="263"/>
      <c r="L36" s="263"/>
      <c r="M36" s="263"/>
    </row>
    <row r="37" spans="1:13" ht="18" customHeight="1">
      <c r="A37" s="300">
        <v>204000</v>
      </c>
      <c r="B37" s="263" t="s">
        <v>814</v>
      </c>
      <c r="C37" s="269"/>
      <c r="D37" s="269"/>
      <c r="E37" s="269"/>
      <c r="F37" s="269"/>
      <c r="G37" s="269"/>
      <c r="H37" s="277">
        <f t="shared" si="5"/>
        <v>0</v>
      </c>
      <c r="I37" s="263"/>
      <c r="J37" s="263"/>
      <c r="K37" s="263"/>
      <c r="L37" s="263"/>
      <c r="M37" s="263"/>
    </row>
    <row r="38" spans="1:13" ht="18" customHeight="1">
      <c r="A38" s="300">
        <v>205200</v>
      </c>
      <c r="B38" s="263" t="s">
        <v>287</v>
      </c>
      <c r="C38" s="269"/>
      <c r="D38" s="269"/>
      <c r="E38" s="269"/>
      <c r="F38" s="269"/>
      <c r="G38" s="269"/>
      <c r="H38" s="277">
        <f t="shared" si="5"/>
        <v>0</v>
      </c>
      <c r="I38" s="263"/>
      <c r="J38" s="263"/>
      <c r="K38" s="263"/>
      <c r="L38" s="263"/>
      <c r="M38" s="263"/>
    </row>
    <row r="39" spans="1:13" ht="18" customHeight="1">
      <c r="A39" s="300">
        <v>206100</v>
      </c>
      <c r="B39" s="263" t="s">
        <v>1180</v>
      </c>
      <c r="C39" s="269"/>
      <c r="D39" s="269"/>
      <c r="E39" s="269"/>
      <c r="F39" s="269"/>
      <c r="G39" s="269"/>
      <c r="H39" s="277">
        <f t="shared" si="5"/>
        <v>0</v>
      </c>
      <c r="I39" s="263"/>
      <c r="J39" s="263"/>
      <c r="K39" s="263"/>
      <c r="L39" s="263"/>
      <c r="M39" s="263"/>
    </row>
    <row r="40" spans="1:13" ht="18" customHeight="1">
      <c r="A40" s="300">
        <v>211000</v>
      </c>
      <c r="B40" s="263" t="s">
        <v>1182</v>
      </c>
      <c r="C40" s="269"/>
      <c r="D40" s="269"/>
      <c r="E40" s="269"/>
      <c r="F40" s="269"/>
      <c r="G40" s="269"/>
      <c r="H40" s="277">
        <f t="shared" si="5"/>
        <v>0</v>
      </c>
      <c r="I40" s="263"/>
      <c r="J40" s="263"/>
      <c r="K40" s="263"/>
      <c r="L40" s="263"/>
      <c r="M40" s="263"/>
    </row>
    <row r="41" spans="1:13" ht="18" customHeight="1">
      <c r="A41" s="300">
        <v>212000</v>
      </c>
      <c r="B41" s="263" t="s">
        <v>1204</v>
      </c>
      <c r="C41" s="269"/>
      <c r="D41" s="269"/>
      <c r="E41" s="269"/>
      <c r="F41" s="269"/>
      <c r="G41" s="269"/>
      <c r="H41" s="277">
        <f t="shared" si="5"/>
        <v>0</v>
      </c>
      <c r="I41" s="263"/>
      <c r="J41" s="263"/>
      <c r="K41" s="263"/>
      <c r="L41" s="263"/>
      <c r="M41" s="263"/>
    </row>
    <row r="42" spans="1:13" ht="18" customHeight="1">
      <c r="A42" s="300">
        <v>214000</v>
      </c>
      <c r="B42" s="263" t="s">
        <v>811</v>
      </c>
      <c r="C42" s="269"/>
      <c r="D42" s="269"/>
      <c r="E42" s="269"/>
      <c r="F42" s="269"/>
      <c r="G42" s="269"/>
      <c r="H42" s="277">
        <f t="shared" si="5"/>
        <v>0</v>
      </c>
      <c r="I42" s="263"/>
      <c r="J42" s="263"/>
      <c r="K42" s="263"/>
      <c r="L42" s="263"/>
      <c r="M42" s="263"/>
    </row>
    <row r="43" spans="1:13" ht="18" customHeight="1">
      <c r="A43" s="300">
        <v>216000</v>
      </c>
      <c r="B43" s="263" t="s">
        <v>2033</v>
      </c>
      <c r="C43" s="269"/>
      <c r="D43" s="269"/>
      <c r="E43" s="269"/>
      <c r="F43" s="269"/>
      <c r="G43" s="269"/>
      <c r="H43" s="277">
        <f t="shared" si="5"/>
        <v>0</v>
      </c>
      <c r="I43" s="263"/>
      <c r="J43" s="263"/>
      <c r="K43" s="263"/>
      <c r="L43" s="263"/>
      <c r="M43" s="263"/>
    </row>
    <row r="44" spans="1:13" ht="18" customHeight="1" thickBot="1">
      <c r="A44" s="300">
        <v>233000</v>
      </c>
      <c r="B44" s="263" t="s">
        <v>266</v>
      </c>
      <c r="C44" s="271"/>
      <c r="D44" s="271"/>
      <c r="E44" s="271"/>
      <c r="F44" s="271"/>
      <c r="G44" s="271"/>
      <c r="H44" s="278">
        <f t="shared" si="5"/>
        <v>0</v>
      </c>
      <c r="I44" s="263"/>
      <c r="J44" s="263"/>
      <c r="K44" s="263"/>
      <c r="L44" s="263"/>
      <c r="M44" s="263"/>
    </row>
    <row r="45" spans="1:13" s="308" customFormat="1" ht="18" customHeight="1">
      <c r="A45" s="428"/>
      <c r="B45" s="430" t="s">
        <v>1028</v>
      </c>
      <c r="C45" s="277">
        <f t="shared" ref="C45:H45" si="6">SUM(C33:C44)</f>
        <v>0</v>
      </c>
      <c r="D45" s="277">
        <f t="shared" si="6"/>
        <v>0</v>
      </c>
      <c r="E45" s="277">
        <f t="shared" si="6"/>
        <v>0</v>
      </c>
      <c r="F45" s="277">
        <f t="shared" si="6"/>
        <v>0</v>
      </c>
      <c r="G45" s="277">
        <f t="shared" si="6"/>
        <v>0</v>
      </c>
      <c r="H45" s="277">
        <f t="shared" si="6"/>
        <v>0</v>
      </c>
      <c r="I45" s="411"/>
      <c r="J45" s="411"/>
      <c r="K45" s="411"/>
      <c r="L45" s="411"/>
      <c r="M45" s="411"/>
    </row>
    <row r="46" spans="1:13" s="308" customFormat="1" ht="12" customHeight="1">
      <c r="A46" s="428"/>
      <c r="B46" s="430"/>
      <c r="C46" s="277"/>
      <c r="D46" s="277"/>
      <c r="E46" s="277"/>
      <c r="F46" s="277"/>
      <c r="G46" s="277"/>
      <c r="H46" s="277"/>
      <c r="I46" s="411"/>
      <c r="J46" s="411"/>
      <c r="K46" s="411"/>
      <c r="L46" s="411"/>
      <c r="M46" s="411"/>
    </row>
    <row r="47" spans="1:13" s="308" customFormat="1" ht="18" customHeight="1">
      <c r="A47" s="429"/>
      <c r="B47" s="677" t="s">
        <v>1906</v>
      </c>
      <c r="C47" s="277"/>
      <c r="D47" s="277"/>
      <c r="E47" s="277"/>
      <c r="F47" s="277"/>
      <c r="G47" s="277"/>
      <c r="H47" s="277"/>
      <c r="I47" s="411"/>
      <c r="J47" s="411"/>
      <c r="K47" s="411"/>
      <c r="L47" s="411"/>
      <c r="M47" s="411"/>
    </row>
    <row r="48" spans="1:13" ht="18" customHeight="1">
      <c r="A48" s="300">
        <v>220000</v>
      </c>
      <c r="B48" s="263" t="s">
        <v>1908</v>
      </c>
      <c r="C48" s="269"/>
      <c r="D48" s="269"/>
      <c r="E48" s="269"/>
      <c r="F48" s="269"/>
      <c r="G48" s="269"/>
      <c r="H48" s="277">
        <f>SUM(C48:G48)</f>
        <v>0</v>
      </c>
      <c r="I48" s="263"/>
      <c r="J48" s="263"/>
      <c r="K48" s="263"/>
      <c r="L48" s="263"/>
      <c r="M48" s="263"/>
    </row>
    <row r="49" spans="1:13" ht="18" customHeight="1" thickBot="1">
      <c r="A49" s="300">
        <v>223000</v>
      </c>
      <c r="B49" s="263" t="s">
        <v>1907</v>
      </c>
      <c r="C49" s="271"/>
      <c r="D49" s="271"/>
      <c r="E49" s="271"/>
      <c r="F49" s="271"/>
      <c r="G49" s="271"/>
      <c r="H49" s="278">
        <f t="shared" ref="H49" si="7">SUM(C49:G49)</f>
        <v>0</v>
      </c>
      <c r="I49" s="263"/>
      <c r="J49" s="263"/>
      <c r="K49" s="263"/>
      <c r="L49" s="263"/>
      <c r="M49" s="263"/>
    </row>
    <row r="50" spans="1:13" s="308" customFormat="1" ht="18" customHeight="1">
      <c r="A50" s="429"/>
      <c r="B50" s="430" t="s">
        <v>1909</v>
      </c>
      <c r="C50" s="277">
        <f>SUM(C48:C49)</f>
        <v>0</v>
      </c>
      <c r="D50" s="277">
        <f t="shared" ref="D50:H50" si="8">SUM(D48:D49)</f>
        <v>0</v>
      </c>
      <c r="E50" s="277">
        <f t="shared" si="8"/>
        <v>0</v>
      </c>
      <c r="F50" s="277">
        <f t="shared" si="8"/>
        <v>0</v>
      </c>
      <c r="G50" s="277">
        <f t="shared" si="8"/>
        <v>0</v>
      </c>
      <c r="H50" s="277">
        <f t="shared" si="8"/>
        <v>0</v>
      </c>
      <c r="I50" s="411"/>
      <c r="J50" s="411"/>
      <c r="K50" s="411"/>
      <c r="L50" s="411"/>
      <c r="M50" s="411"/>
    </row>
    <row r="51" spans="1:13" s="308" customFormat="1" ht="11.25" customHeight="1">
      <c r="A51" s="428"/>
      <c r="B51" s="411"/>
      <c r="C51" s="277"/>
      <c r="D51" s="277"/>
      <c r="E51" s="277"/>
      <c r="F51" s="277"/>
      <c r="G51" s="277"/>
      <c r="H51" s="277"/>
      <c r="I51" s="411"/>
      <c r="J51" s="411"/>
      <c r="K51" s="411"/>
      <c r="L51" s="411"/>
      <c r="M51" s="411"/>
    </row>
    <row r="52" spans="1:13" s="308" customFormat="1" ht="18" customHeight="1">
      <c r="A52" s="428"/>
      <c r="B52" s="431" t="s">
        <v>1569</v>
      </c>
      <c r="C52" s="277"/>
      <c r="D52" s="277"/>
      <c r="E52" s="277"/>
      <c r="F52" s="277"/>
      <c r="G52" s="277"/>
      <c r="H52" s="277"/>
      <c r="I52" s="411"/>
      <c r="J52" s="411"/>
      <c r="K52" s="411"/>
      <c r="L52" s="411"/>
      <c r="M52" s="411"/>
    </row>
    <row r="53" spans="1:13" ht="18" customHeight="1">
      <c r="A53" s="300">
        <v>250100</v>
      </c>
      <c r="B53" s="263" t="s">
        <v>1643</v>
      </c>
      <c r="C53" s="269"/>
      <c r="D53" s="269"/>
      <c r="E53" s="269"/>
      <c r="F53" s="269"/>
      <c r="G53" s="269"/>
      <c r="H53" s="277">
        <f>SUM(C53:G53)</f>
        <v>0</v>
      </c>
      <c r="I53" s="263"/>
      <c r="J53" s="263"/>
      <c r="K53" s="263"/>
      <c r="L53" s="263"/>
      <c r="M53" s="263"/>
    </row>
    <row r="54" spans="1:13" ht="18" customHeight="1">
      <c r="A54" s="300">
        <v>250200</v>
      </c>
      <c r="B54" s="263" t="s">
        <v>1565</v>
      </c>
      <c r="C54" s="269"/>
      <c r="D54" s="269"/>
      <c r="E54" s="269"/>
      <c r="F54" s="269"/>
      <c r="G54" s="269"/>
      <c r="H54" s="277">
        <f>SUM(C54:G54)</f>
        <v>0</v>
      </c>
      <c r="I54" s="263"/>
      <c r="J54" s="263"/>
      <c r="K54" s="263"/>
      <c r="L54" s="263"/>
      <c r="M54" s="263"/>
    </row>
    <row r="55" spans="1:13" ht="18" customHeight="1">
      <c r="A55" s="300">
        <v>260100</v>
      </c>
      <c r="B55" s="263" t="s">
        <v>1563</v>
      </c>
      <c r="C55" s="269"/>
      <c r="D55" s="269"/>
      <c r="E55" s="269"/>
      <c r="F55" s="269"/>
      <c r="G55" s="269"/>
      <c r="H55" s="277">
        <f>SUM(C55:G55)</f>
        <v>0</v>
      </c>
      <c r="I55" s="263"/>
      <c r="J55" s="263"/>
      <c r="K55" s="263"/>
      <c r="L55" s="263"/>
      <c r="M55" s="263"/>
    </row>
    <row r="56" spans="1:13" ht="18" customHeight="1">
      <c r="A56" s="300">
        <v>260200</v>
      </c>
      <c r="B56" s="263" t="s">
        <v>1562</v>
      </c>
      <c r="C56" s="269"/>
      <c r="D56" s="269"/>
      <c r="E56" s="269"/>
      <c r="F56" s="269"/>
      <c r="G56" s="269"/>
      <c r="H56" s="277">
        <f>SUM(C56:G56)</f>
        <v>0</v>
      </c>
      <c r="I56" s="263"/>
      <c r="J56" s="263"/>
      <c r="K56" s="263"/>
      <c r="L56" s="263"/>
      <c r="M56" s="263"/>
    </row>
    <row r="57" spans="1:13" ht="18" customHeight="1" thickBot="1">
      <c r="A57" s="300">
        <v>271000</v>
      </c>
      <c r="B57" s="263" t="s">
        <v>1567</v>
      </c>
      <c r="C57" s="271"/>
      <c r="D57" s="271"/>
      <c r="E57" s="271"/>
      <c r="F57" s="271"/>
      <c r="G57" s="271"/>
      <c r="H57" s="278">
        <f>SUM(C57:G57)</f>
        <v>0</v>
      </c>
      <c r="I57" s="263"/>
      <c r="J57" s="263"/>
      <c r="K57" s="263"/>
      <c r="L57" s="263"/>
      <c r="M57" s="263"/>
    </row>
    <row r="58" spans="1:13" s="308" customFormat="1" ht="18" customHeight="1" thickBot="1">
      <c r="A58" s="428"/>
      <c r="B58" s="430" t="s">
        <v>1953</v>
      </c>
      <c r="C58" s="278">
        <f t="shared" ref="C58:H58" si="9">SUM(C52:C57)</f>
        <v>0</v>
      </c>
      <c r="D58" s="278">
        <f t="shared" si="9"/>
        <v>0</v>
      </c>
      <c r="E58" s="278">
        <f t="shared" si="9"/>
        <v>0</v>
      </c>
      <c r="F58" s="278">
        <f t="shared" si="9"/>
        <v>0</v>
      </c>
      <c r="G58" s="278">
        <f t="shared" si="9"/>
        <v>0</v>
      </c>
      <c r="H58" s="278">
        <f t="shared" si="9"/>
        <v>0</v>
      </c>
      <c r="I58" s="411"/>
      <c r="J58" s="411"/>
      <c r="K58" s="411"/>
      <c r="L58" s="411"/>
      <c r="M58" s="411"/>
    </row>
    <row r="59" spans="1:13" s="308" customFormat="1" ht="33.75" customHeight="1" thickBot="1">
      <c r="A59" s="428"/>
      <c r="B59" s="679" t="s">
        <v>1954</v>
      </c>
      <c r="C59" s="280">
        <f>+C45+C58+C50</f>
        <v>0</v>
      </c>
      <c r="D59" s="280">
        <f t="shared" ref="D59:H59" si="10">+D45+D58+D50</f>
        <v>0</v>
      </c>
      <c r="E59" s="280">
        <f t="shared" si="10"/>
        <v>0</v>
      </c>
      <c r="F59" s="280">
        <f t="shared" si="10"/>
        <v>0</v>
      </c>
      <c r="G59" s="280">
        <f t="shared" si="10"/>
        <v>0</v>
      </c>
      <c r="H59" s="280">
        <f t="shared" si="10"/>
        <v>0</v>
      </c>
      <c r="I59" s="411"/>
      <c r="J59" s="411"/>
      <c r="K59" s="411"/>
      <c r="L59" s="411"/>
      <c r="M59" s="411"/>
    </row>
    <row r="60" spans="1:13" s="308" customFormat="1" ht="16.5" thickTop="1">
      <c r="A60" s="428"/>
      <c r="B60" s="411"/>
      <c r="C60" s="681" t="s">
        <v>3129</v>
      </c>
      <c r="D60" s="411"/>
      <c r="E60" s="411"/>
      <c r="F60" s="681" t="s">
        <v>3130</v>
      </c>
      <c r="G60" s="411"/>
      <c r="H60" s="411"/>
      <c r="I60" s="411"/>
      <c r="J60" s="411"/>
      <c r="K60" s="411"/>
      <c r="L60" s="411"/>
      <c r="M60" s="411"/>
    </row>
    <row r="61" spans="1:13" ht="15">
      <c r="A61" s="300"/>
      <c r="B61" s="263"/>
      <c r="C61" s="263"/>
      <c r="D61" s="263"/>
      <c r="E61" s="263"/>
      <c r="F61" s="263"/>
      <c r="G61" s="263"/>
      <c r="H61" s="263"/>
      <c r="I61" s="263"/>
      <c r="J61" s="263"/>
      <c r="K61" s="263"/>
      <c r="L61" s="263"/>
      <c r="M61" s="263"/>
    </row>
    <row r="62" spans="1:13" ht="15">
      <c r="A62" s="300"/>
      <c r="B62" s="263"/>
      <c r="C62" s="263"/>
      <c r="D62" s="263"/>
      <c r="E62" s="263"/>
      <c r="F62" s="263"/>
      <c r="G62" s="263"/>
      <c r="H62" s="263"/>
      <c r="I62" s="263"/>
      <c r="J62" s="263"/>
      <c r="K62" s="263"/>
      <c r="L62" s="263"/>
      <c r="M62" s="263"/>
    </row>
    <row r="63" spans="1:13" ht="15">
      <c r="A63" s="300"/>
      <c r="B63" s="263"/>
      <c r="C63" s="263"/>
      <c r="D63" s="263"/>
      <c r="E63" s="263"/>
      <c r="F63" s="263"/>
      <c r="G63" s="263"/>
      <c r="H63" s="263"/>
      <c r="I63" s="263"/>
      <c r="J63" s="263"/>
      <c r="K63" s="263"/>
      <c r="L63" s="263"/>
      <c r="M63" s="263"/>
    </row>
    <row r="64" spans="1:13" ht="15">
      <c r="A64" s="300"/>
      <c r="B64" s="263"/>
      <c r="C64" s="263"/>
      <c r="D64" s="263"/>
      <c r="E64" s="263"/>
      <c r="F64" s="263"/>
      <c r="G64" s="263"/>
      <c r="H64" s="263"/>
      <c r="I64" s="263"/>
      <c r="J64" s="263"/>
      <c r="K64" s="263"/>
      <c r="L64" s="263"/>
      <c r="M64" s="263"/>
    </row>
    <row r="65" spans="1:13" ht="15">
      <c r="A65" s="300"/>
      <c r="B65" s="263"/>
      <c r="C65" s="263"/>
      <c r="D65" s="263"/>
      <c r="E65" s="263"/>
      <c r="F65" s="263"/>
      <c r="G65" s="263"/>
      <c r="H65" s="263"/>
      <c r="I65" s="263"/>
      <c r="J65" s="263"/>
      <c r="K65" s="263"/>
      <c r="L65" s="263"/>
      <c r="M65" s="263"/>
    </row>
    <row r="66" spans="1:13" ht="15">
      <c r="A66" s="300"/>
      <c r="B66" s="263"/>
      <c r="C66" s="263"/>
      <c r="D66" s="263"/>
      <c r="E66" s="263"/>
      <c r="F66" s="263"/>
      <c r="G66" s="263"/>
      <c r="H66" s="263"/>
      <c r="I66" s="263"/>
      <c r="J66" s="263"/>
      <c r="K66" s="263"/>
      <c r="L66" s="263"/>
      <c r="M66" s="263"/>
    </row>
    <row r="67" spans="1:13" ht="15">
      <c r="A67" s="300"/>
      <c r="B67" s="263"/>
      <c r="C67" s="263"/>
      <c r="D67" s="263"/>
      <c r="E67" s="263"/>
      <c r="F67" s="263"/>
      <c r="G67" s="263"/>
      <c r="H67" s="263"/>
      <c r="I67" s="263"/>
      <c r="J67" s="263"/>
      <c r="K67" s="263"/>
      <c r="L67" s="263"/>
      <c r="M67" s="263"/>
    </row>
    <row r="68" spans="1:13" ht="15">
      <c r="A68" s="300"/>
      <c r="B68" s="263"/>
      <c r="C68" s="263"/>
      <c r="D68" s="263"/>
      <c r="E68" s="263"/>
      <c r="F68" s="263"/>
      <c r="G68" s="263"/>
      <c r="H68" s="263"/>
      <c r="I68" s="263"/>
      <c r="J68" s="263"/>
      <c r="K68" s="263"/>
      <c r="L68" s="263"/>
      <c r="M68" s="263"/>
    </row>
    <row r="69" spans="1:13" ht="15">
      <c r="A69" s="300"/>
      <c r="B69" s="263"/>
      <c r="C69" s="263"/>
      <c r="D69" s="263"/>
      <c r="E69" s="263"/>
      <c r="F69" s="263"/>
      <c r="G69" s="263"/>
      <c r="H69" s="263"/>
      <c r="I69" s="263"/>
      <c r="J69" s="263"/>
      <c r="K69" s="263"/>
      <c r="L69" s="263"/>
      <c r="M69" s="263"/>
    </row>
    <row r="70" spans="1:13" ht="15">
      <c r="A70" s="300"/>
      <c r="B70" s="263"/>
      <c r="C70" s="263"/>
      <c r="D70" s="263"/>
      <c r="E70" s="263"/>
      <c r="F70" s="263"/>
      <c r="G70" s="263"/>
      <c r="H70" s="263"/>
      <c r="I70" s="263"/>
      <c r="J70" s="263"/>
      <c r="K70" s="263"/>
      <c r="L70" s="263"/>
      <c r="M70" s="263"/>
    </row>
    <row r="71" spans="1:13" ht="15">
      <c r="A71" s="300"/>
      <c r="B71" s="263"/>
      <c r="C71" s="263"/>
      <c r="D71" s="263"/>
      <c r="E71" s="263"/>
      <c r="F71" s="263"/>
      <c r="G71" s="263"/>
      <c r="H71" s="263"/>
      <c r="I71" s="263"/>
      <c r="J71" s="263"/>
      <c r="K71" s="263"/>
      <c r="L71" s="263"/>
      <c r="M71" s="263"/>
    </row>
    <row r="72" spans="1:13" ht="15">
      <c r="A72" s="300"/>
      <c r="B72" s="263"/>
      <c r="C72" s="263"/>
      <c r="D72" s="263"/>
      <c r="E72" s="263"/>
      <c r="F72" s="263"/>
      <c r="G72" s="263"/>
      <c r="H72" s="263"/>
      <c r="I72" s="263"/>
      <c r="J72" s="263"/>
      <c r="K72" s="263"/>
      <c r="L72" s="263"/>
      <c r="M72" s="263"/>
    </row>
    <row r="73" spans="1:13" ht="15">
      <c r="A73" s="300"/>
      <c r="B73" s="263"/>
      <c r="C73" s="263"/>
      <c r="D73" s="263"/>
      <c r="E73" s="263"/>
      <c r="F73" s="263"/>
      <c r="G73" s="263"/>
      <c r="H73" s="263"/>
      <c r="I73" s="263"/>
      <c r="J73" s="263"/>
      <c r="K73" s="263"/>
      <c r="L73" s="263"/>
      <c r="M73" s="263"/>
    </row>
    <row r="74" spans="1:13" ht="15">
      <c r="A74" s="263"/>
      <c r="B74" s="263"/>
      <c r="C74" s="263"/>
      <c r="D74" s="263"/>
      <c r="E74" s="263"/>
      <c r="F74" s="263"/>
      <c r="G74" s="263"/>
      <c r="H74" s="263"/>
      <c r="I74" s="263"/>
      <c r="J74" s="263"/>
      <c r="K74" s="263"/>
      <c r="L74" s="263"/>
      <c r="M74" s="263"/>
    </row>
    <row r="75" spans="1:13" ht="15">
      <c r="A75" s="263"/>
      <c r="B75" s="263"/>
      <c r="C75" s="263"/>
      <c r="D75" s="263"/>
      <c r="E75" s="263"/>
      <c r="F75" s="263"/>
      <c r="G75" s="263"/>
      <c r="H75" s="263"/>
      <c r="I75" s="263"/>
      <c r="J75" s="263"/>
      <c r="K75" s="263"/>
      <c r="L75" s="263"/>
      <c r="M75" s="263"/>
    </row>
    <row r="76" spans="1:13" ht="15">
      <c r="A76" s="263"/>
      <c r="B76" s="263"/>
      <c r="C76" s="263"/>
      <c r="D76" s="263"/>
      <c r="E76" s="263"/>
      <c r="F76" s="263"/>
      <c r="G76" s="263"/>
      <c r="H76" s="263"/>
      <c r="I76" s="263"/>
      <c r="J76" s="263"/>
      <c r="K76" s="263"/>
      <c r="L76" s="263"/>
      <c r="M76" s="263"/>
    </row>
    <row r="77" spans="1:13" ht="15">
      <c r="A77" s="263"/>
      <c r="B77" s="263"/>
      <c r="C77" s="263"/>
      <c r="D77" s="263"/>
      <c r="E77" s="263"/>
      <c r="F77" s="263"/>
      <c r="G77" s="263"/>
      <c r="H77" s="263"/>
      <c r="I77" s="263"/>
      <c r="J77" s="263"/>
      <c r="K77" s="263"/>
      <c r="L77" s="263"/>
      <c r="M77" s="263"/>
    </row>
    <row r="78" spans="1:13" ht="15">
      <c r="A78" s="263"/>
      <c r="B78" s="263"/>
      <c r="C78" s="263"/>
      <c r="D78" s="263"/>
      <c r="E78" s="263"/>
      <c r="F78" s="263"/>
      <c r="G78" s="263"/>
      <c r="H78" s="263"/>
      <c r="I78" s="263"/>
      <c r="J78" s="263"/>
      <c r="K78" s="263"/>
      <c r="L78" s="263"/>
      <c r="M78" s="263"/>
    </row>
    <row r="79" spans="1:13" ht="15">
      <c r="A79" s="263"/>
      <c r="B79" s="263"/>
      <c r="C79" s="263"/>
      <c r="D79" s="263"/>
      <c r="E79" s="263"/>
      <c r="F79" s="263"/>
      <c r="G79" s="263"/>
      <c r="H79" s="263"/>
      <c r="I79" s="263"/>
      <c r="J79" s="263"/>
      <c r="K79" s="263"/>
      <c r="L79" s="263"/>
      <c r="M79" s="263"/>
    </row>
    <row r="80" spans="1:13" ht="15">
      <c r="A80" s="263"/>
      <c r="B80" s="263"/>
      <c r="C80" s="263"/>
      <c r="D80" s="263"/>
      <c r="E80" s="263"/>
      <c r="F80" s="263"/>
      <c r="G80" s="263"/>
      <c r="H80" s="263"/>
      <c r="I80" s="263"/>
      <c r="J80" s="263"/>
      <c r="K80" s="263"/>
      <c r="L80" s="263"/>
      <c r="M80" s="263"/>
    </row>
    <row r="81" spans="1:13" ht="15">
      <c r="A81" s="263"/>
      <c r="B81" s="263"/>
      <c r="C81" s="263"/>
      <c r="D81" s="263"/>
      <c r="E81" s="263"/>
      <c r="F81" s="263"/>
      <c r="G81" s="263"/>
      <c r="H81" s="263"/>
      <c r="I81" s="263"/>
      <c r="J81" s="263"/>
      <c r="K81" s="263"/>
      <c r="L81" s="263"/>
      <c r="M81" s="263"/>
    </row>
    <row r="82" spans="1:13" ht="15">
      <c r="A82" s="263"/>
      <c r="B82" s="263"/>
      <c r="C82" s="263"/>
      <c r="D82" s="263"/>
      <c r="E82" s="263"/>
      <c r="F82" s="263"/>
      <c r="G82" s="263"/>
      <c r="H82" s="263"/>
      <c r="I82" s="263"/>
      <c r="J82" s="263"/>
      <c r="K82" s="263"/>
      <c r="L82" s="263"/>
      <c r="M82" s="263"/>
    </row>
    <row r="83" spans="1:13" ht="15">
      <c r="A83" s="263"/>
      <c r="B83" s="263"/>
      <c r="C83" s="263"/>
      <c r="D83" s="263"/>
      <c r="E83" s="263"/>
      <c r="F83" s="263"/>
      <c r="G83" s="263"/>
      <c r="H83" s="263"/>
      <c r="I83" s="263"/>
      <c r="J83" s="263"/>
      <c r="K83" s="263"/>
      <c r="L83" s="263"/>
      <c r="M83" s="263"/>
    </row>
    <row r="84" spans="1:13" ht="15">
      <c r="A84" s="263"/>
      <c r="B84" s="263"/>
      <c r="C84" s="263"/>
      <c r="D84" s="263"/>
      <c r="E84" s="263"/>
      <c r="F84" s="263"/>
      <c r="G84" s="263"/>
      <c r="H84" s="263"/>
      <c r="I84" s="263"/>
      <c r="J84" s="263"/>
      <c r="K84" s="263"/>
      <c r="L84" s="263"/>
      <c r="M84" s="263"/>
    </row>
    <row r="85" spans="1:13" ht="15">
      <c r="A85" s="263"/>
      <c r="B85" s="263"/>
      <c r="C85" s="263"/>
      <c r="D85" s="263"/>
      <c r="E85" s="263"/>
      <c r="F85" s="263"/>
      <c r="G85" s="263"/>
      <c r="H85" s="263"/>
      <c r="I85" s="263"/>
      <c r="J85" s="263"/>
      <c r="K85" s="263"/>
      <c r="L85" s="263"/>
      <c r="M85" s="263"/>
    </row>
    <row r="86" spans="1:13" ht="15">
      <c r="A86" s="263"/>
      <c r="B86" s="263"/>
      <c r="C86" s="263"/>
      <c r="D86" s="263"/>
      <c r="E86" s="263"/>
      <c r="F86" s="263"/>
      <c r="G86" s="263"/>
      <c r="H86" s="263"/>
      <c r="I86" s="263"/>
      <c r="J86" s="263"/>
      <c r="K86" s="263"/>
      <c r="L86" s="263"/>
      <c r="M86" s="263"/>
    </row>
    <row r="87" spans="1:13" ht="15">
      <c r="A87" s="263"/>
      <c r="B87" s="263"/>
      <c r="C87" s="263"/>
      <c r="D87" s="263"/>
      <c r="E87" s="263"/>
      <c r="F87" s="263"/>
      <c r="G87" s="263"/>
      <c r="H87" s="263"/>
      <c r="I87" s="263"/>
      <c r="J87" s="263"/>
      <c r="K87" s="263"/>
      <c r="L87" s="263"/>
      <c r="M87" s="263"/>
    </row>
    <row r="88" spans="1:13" ht="15">
      <c r="A88" s="263"/>
      <c r="B88" s="263"/>
      <c r="C88" s="263"/>
      <c r="D88" s="263"/>
      <c r="E88" s="263"/>
      <c r="F88" s="263"/>
      <c r="G88" s="263"/>
      <c r="H88" s="263"/>
      <c r="I88" s="263"/>
      <c r="J88" s="263"/>
      <c r="K88" s="263"/>
      <c r="L88" s="263"/>
      <c r="M88" s="263"/>
    </row>
    <row r="89" spans="1:13" ht="15">
      <c r="A89" s="263"/>
      <c r="B89" s="263"/>
      <c r="C89" s="263"/>
      <c r="D89" s="263"/>
      <c r="E89" s="263"/>
      <c r="F89" s="263"/>
      <c r="G89" s="263"/>
      <c r="H89" s="263"/>
      <c r="I89" s="263"/>
      <c r="J89" s="263"/>
      <c r="K89" s="263"/>
      <c r="L89" s="263"/>
      <c r="M89" s="263"/>
    </row>
    <row r="90" spans="1:13" ht="15">
      <c r="A90" s="263"/>
      <c r="B90" s="263"/>
      <c r="C90" s="263"/>
      <c r="D90" s="263"/>
      <c r="E90" s="263"/>
      <c r="F90" s="263"/>
      <c r="G90" s="263"/>
      <c r="H90" s="263"/>
      <c r="I90" s="263"/>
      <c r="J90" s="263"/>
      <c r="K90" s="263"/>
      <c r="L90" s="263"/>
      <c r="M90" s="263"/>
    </row>
    <row r="91" spans="1:13" ht="15">
      <c r="A91" s="263"/>
      <c r="B91" s="263"/>
      <c r="C91" s="263"/>
      <c r="D91" s="263"/>
      <c r="E91" s="263"/>
      <c r="F91" s="263"/>
      <c r="G91" s="263"/>
      <c r="H91" s="263"/>
      <c r="I91" s="263"/>
      <c r="J91" s="263"/>
      <c r="K91" s="263"/>
      <c r="L91" s="263"/>
      <c r="M91" s="263"/>
    </row>
    <row r="92" spans="1:13" ht="15">
      <c r="A92" s="263"/>
      <c r="B92" s="263"/>
      <c r="C92" s="263"/>
      <c r="D92" s="263"/>
      <c r="E92" s="263"/>
      <c r="F92" s="263"/>
      <c r="G92" s="263"/>
      <c r="H92" s="263"/>
      <c r="I92" s="263"/>
      <c r="J92" s="263"/>
      <c r="K92" s="263"/>
      <c r="L92" s="263"/>
      <c r="M92" s="263"/>
    </row>
    <row r="93" spans="1:13" ht="15">
      <c r="A93" s="263"/>
      <c r="B93" s="263"/>
      <c r="C93" s="263"/>
      <c r="D93" s="263"/>
      <c r="E93" s="263"/>
      <c r="F93" s="263"/>
      <c r="G93" s="263"/>
      <c r="H93" s="263"/>
      <c r="I93" s="263"/>
      <c r="J93" s="263"/>
      <c r="K93" s="263"/>
      <c r="L93" s="263"/>
      <c r="M93" s="263"/>
    </row>
    <row r="94" spans="1:13" ht="15">
      <c r="A94" s="263"/>
      <c r="B94" s="263"/>
      <c r="C94" s="263"/>
      <c r="D94" s="263"/>
      <c r="E94" s="263"/>
      <c r="F94" s="263"/>
      <c r="G94" s="263"/>
      <c r="H94" s="263"/>
      <c r="I94" s="263"/>
      <c r="J94" s="263"/>
      <c r="K94" s="263"/>
      <c r="L94" s="263"/>
      <c r="M94" s="263"/>
    </row>
    <row r="95" spans="1:13" ht="15">
      <c r="A95" s="263"/>
      <c r="B95" s="263"/>
      <c r="C95" s="263"/>
      <c r="D95" s="263"/>
      <c r="E95" s="263"/>
      <c r="F95" s="263"/>
      <c r="G95" s="263"/>
      <c r="H95" s="263"/>
      <c r="I95" s="263"/>
      <c r="J95" s="263"/>
      <c r="K95" s="263"/>
      <c r="L95" s="263"/>
      <c r="M95" s="263"/>
    </row>
    <row r="96" spans="1:13" ht="15">
      <c r="A96" s="263"/>
      <c r="B96" s="263"/>
      <c r="C96" s="263"/>
      <c r="D96" s="263"/>
      <c r="E96" s="263"/>
      <c r="F96" s="263"/>
      <c r="G96" s="263"/>
      <c r="H96" s="263"/>
      <c r="I96" s="263"/>
      <c r="J96" s="263"/>
      <c r="K96" s="263"/>
      <c r="L96" s="263"/>
      <c r="M96" s="263"/>
    </row>
    <row r="97" spans="1:13" ht="15">
      <c r="A97" s="263"/>
      <c r="B97" s="263"/>
      <c r="C97" s="263"/>
      <c r="D97" s="263"/>
      <c r="E97" s="263"/>
      <c r="F97" s="263"/>
      <c r="G97" s="263"/>
      <c r="H97" s="263"/>
      <c r="I97" s="263"/>
      <c r="J97" s="263"/>
      <c r="K97" s="263"/>
      <c r="L97" s="263"/>
      <c r="M97" s="263"/>
    </row>
    <row r="98" spans="1:13" ht="15">
      <c r="A98" s="263"/>
      <c r="B98" s="263"/>
      <c r="C98" s="263"/>
      <c r="D98" s="263"/>
      <c r="E98" s="263"/>
      <c r="F98" s="263"/>
      <c r="G98" s="263"/>
      <c r="H98" s="263"/>
      <c r="I98" s="263"/>
      <c r="J98" s="263"/>
      <c r="K98" s="263"/>
      <c r="L98" s="263"/>
      <c r="M98" s="263"/>
    </row>
    <row r="99" spans="1:13" ht="15">
      <c r="A99" s="263"/>
      <c r="B99" s="263"/>
      <c r="C99" s="263"/>
      <c r="D99" s="263"/>
      <c r="E99" s="263"/>
      <c r="F99" s="263"/>
      <c r="G99" s="263"/>
      <c r="H99" s="263"/>
      <c r="I99" s="263"/>
      <c r="J99" s="263"/>
      <c r="K99" s="263"/>
      <c r="L99" s="263"/>
      <c r="M99" s="263"/>
    </row>
    <row r="100" spans="1:13" ht="15">
      <c r="A100" s="263"/>
      <c r="B100" s="263"/>
      <c r="C100" s="263"/>
      <c r="D100" s="263"/>
      <c r="E100" s="263"/>
      <c r="F100" s="263"/>
      <c r="G100" s="263"/>
      <c r="H100" s="263"/>
      <c r="I100" s="263"/>
      <c r="J100" s="263"/>
      <c r="K100" s="263"/>
      <c r="L100" s="263"/>
      <c r="M100" s="263"/>
    </row>
    <row r="101" spans="1:13" ht="15">
      <c r="A101" s="263"/>
      <c r="B101" s="263"/>
      <c r="C101" s="263"/>
      <c r="D101" s="263"/>
      <c r="E101" s="263"/>
      <c r="F101" s="263"/>
      <c r="G101" s="263"/>
      <c r="H101" s="263"/>
      <c r="I101" s="263"/>
      <c r="J101" s="263"/>
      <c r="K101" s="263"/>
      <c r="L101" s="263"/>
      <c r="M101" s="263"/>
    </row>
    <row r="102" spans="1:13" ht="15">
      <c r="A102" s="263"/>
      <c r="B102" s="263"/>
      <c r="C102" s="263"/>
      <c r="D102" s="263"/>
      <c r="E102" s="263"/>
      <c r="F102" s="263"/>
      <c r="G102" s="263"/>
      <c r="H102" s="263"/>
      <c r="I102" s="263"/>
      <c r="J102" s="263"/>
      <c r="K102" s="263"/>
      <c r="L102" s="263"/>
      <c r="M102" s="263"/>
    </row>
    <row r="103" spans="1:13" ht="15">
      <c r="A103" s="263"/>
      <c r="B103" s="263"/>
      <c r="C103" s="263"/>
      <c r="D103" s="263"/>
      <c r="E103" s="263"/>
      <c r="F103" s="263"/>
      <c r="G103" s="263"/>
      <c r="H103" s="263"/>
      <c r="I103" s="263"/>
      <c r="J103" s="263"/>
      <c r="K103" s="263"/>
      <c r="L103" s="263"/>
      <c r="M103" s="263"/>
    </row>
    <row r="104" spans="1:13" ht="15">
      <c r="A104" s="263"/>
      <c r="B104" s="263"/>
      <c r="C104" s="263"/>
      <c r="D104" s="263"/>
      <c r="E104" s="263"/>
      <c r="F104" s="263"/>
      <c r="G104" s="263"/>
      <c r="H104" s="263"/>
      <c r="I104" s="263"/>
      <c r="J104" s="263"/>
      <c r="K104" s="263"/>
      <c r="L104" s="263"/>
      <c r="M104" s="263"/>
    </row>
    <row r="105" spans="1:13" ht="15">
      <c r="A105" s="263"/>
      <c r="B105" s="263"/>
      <c r="C105" s="263"/>
      <c r="D105" s="263"/>
      <c r="E105" s="263"/>
      <c r="F105" s="263"/>
      <c r="G105" s="263"/>
      <c r="H105" s="263"/>
      <c r="I105" s="263"/>
      <c r="J105" s="263"/>
      <c r="K105" s="263"/>
      <c r="L105" s="263"/>
      <c r="M105" s="263"/>
    </row>
    <row r="106" spans="1:13" ht="15">
      <c r="A106" s="263"/>
      <c r="B106" s="263"/>
      <c r="C106" s="263"/>
      <c r="D106" s="263"/>
      <c r="E106" s="263"/>
      <c r="F106" s="263"/>
      <c r="G106" s="263"/>
      <c r="H106" s="263"/>
      <c r="I106" s="263"/>
      <c r="J106" s="263"/>
      <c r="K106" s="263"/>
      <c r="L106" s="263"/>
      <c r="M106" s="263"/>
    </row>
    <row r="107" spans="1:13" ht="15">
      <c r="A107" s="263"/>
      <c r="B107" s="263"/>
      <c r="C107" s="263"/>
      <c r="D107" s="263"/>
      <c r="E107" s="263"/>
      <c r="F107" s="263"/>
      <c r="G107" s="263"/>
      <c r="H107" s="263"/>
      <c r="I107" s="263"/>
      <c r="J107" s="263"/>
      <c r="K107" s="263"/>
      <c r="L107" s="263"/>
      <c r="M107" s="263"/>
    </row>
    <row r="108" spans="1:13" ht="15">
      <c r="A108" s="263"/>
      <c r="B108" s="263"/>
      <c r="C108" s="263"/>
      <c r="D108" s="263"/>
      <c r="E108" s="263"/>
      <c r="F108" s="263"/>
      <c r="G108" s="263"/>
      <c r="H108" s="263"/>
      <c r="I108" s="263"/>
      <c r="J108" s="263"/>
      <c r="K108" s="263"/>
      <c r="L108" s="263"/>
      <c r="M108" s="263"/>
    </row>
    <row r="109" spans="1:13" ht="15">
      <c r="A109" s="263"/>
      <c r="B109" s="263"/>
      <c r="C109" s="263"/>
      <c r="D109" s="263"/>
      <c r="E109" s="263"/>
      <c r="F109" s="263"/>
      <c r="G109" s="263"/>
      <c r="H109" s="263"/>
      <c r="I109" s="263"/>
      <c r="J109" s="263"/>
      <c r="K109" s="263"/>
      <c r="L109" s="263"/>
      <c r="M109" s="263"/>
    </row>
    <row r="110" spans="1:13" ht="15">
      <c r="A110" s="263"/>
      <c r="B110" s="263"/>
      <c r="C110" s="263"/>
      <c r="D110" s="263"/>
      <c r="E110" s="263"/>
      <c r="F110" s="263"/>
      <c r="G110" s="263"/>
      <c r="H110" s="263"/>
      <c r="I110" s="263"/>
      <c r="J110" s="263"/>
      <c r="K110" s="263"/>
      <c r="L110" s="263"/>
      <c r="M110" s="263"/>
    </row>
    <row r="111" spans="1:13" ht="15">
      <c r="A111" s="263"/>
      <c r="B111" s="263"/>
      <c r="C111" s="263"/>
      <c r="D111" s="263"/>
      <c r="E111" s="263"/>
      <c r="F111" s="263"/>
      <c r="G111" s="263"/>
      <c r="H111" s="263"/>
      <c r="I111" s="263"/>
      <c r="J111" s="263"/>
      <c r="K111" s="263"/>
      <c r="L111" s="263"/>
      <c r="M111" s="263"/>
    </row>
    <row r="112" spans="1:13" ht="15">
      <c r="A112" s="263"/>
      <c r="B112" s="263"/>
      <c r="C112" s="263"/>
      <c r="D112" s="263"/>
      <c r="E112" s="263"/>
      <c r="F112" s="263"/>
      <c r="G112" s="263"/>
      <c r="H112" s="263"/>
      <c r="I112" s="263"/>
      <c r="J112" s="263"/>
      <c r="K112" s="263"/>
      <c r="L112" s="263"/>
      <c r="M112" s="263"/>
    </row>
    <row r="113" spans="1:13" ht="15">
      <c r="A113" s="263"/>
      <c r="B113" s="263"/>
      <c r="C113" s="263"/>
      <c r="D113" s="263"/>
      <c r="E113" s="263"/>
      <c r="F113" s="263"/>
      <c r="G113" s="263"/>
      <c r="H113" s="263"/>
      <c r="I113" s="263"/>
      <c r="J113" s="263"/>
      <c r="K113" s="263"/>
      <c r="L113" s="263"/>
      <c r="M113" s="263"/>
    </row>
    <row r="114" spans="1:13" ht="15">
      <c r="A114" s="263"/>
      <c r="B114" s="263"/>
      <c r="C114" s="263"/>
      <c r="D114" s="263"/>
      <c r="E114" s="263"/>
      <c r="F114" s="263"/>
      <c r="G114" s="263"/>
      <c r="H114" s="263"/>
      <c r="I114" s="263"/>
      <c r="J114" s="263"/>
      <c r="K114" s="263"/>
      <c r="L114" s="263"/>
      <c r="M114" s="263"/>
    </row>
    <row r="115" spans="1:13" ht="15">
      <c r="A115" s="263"/>
      <c r="B115" s="263"/>
      <c r="C115" s="263"/>
      <c r="D115" s="263"/>
      <c r="E115" s="263"/>
      <c r="F115" s="263"/>
      <c r="G115" s="263"/>
      <c r="H115" s="263"/>
      <c r="I115" s="263"/>
      <c r="J115" s="263"/>
      <c r="K115" s="263"/>
      <c r="L115" s="263"/>
      <c r="M115" s="263"/>
    </row>
    <row r="116" spans="1:13" ht="15">
      <c r="A116" s="263"/>
      <c r="B116" s="263"/>
      <c r="C116" s="263"/>
      <c r="D116" s="263"/>
      <c r="E116" s="263"/>
      <c r="F116" s="263"/>
      <c r="G116" s="263"/>
      <c r="H116" s="263"/>
      <c r="I116" s="263"/>
      <c r="J116" s="263"/>
      <c r="K116" s="263"/>
      <c r="L116" s="263"/>
      <c r="M116" s="263"/>
    </row>
    <row r="117" spans="1:13" ht="15">
      <c r="A117" s="263"/>
      <c r="B117" s="263"/>
      <c r="C117" s="263"/>
      <c r="D117" s="263"/>
      <c r="E117" s="263"/>
      <c r="F117" s="263"/>
      <c r="G117" s="263"/>
      <c r="H117" s="263"/>
      <c r="I117" s="263"/>
      <c r="J117" s="263"/>
      <c r="K117" s="263"/>
      <c r="L117" s="263"/>
      <c r="M117" s="263"/>
    </row>
    <row r="118" spans="1:13" ht="15">
      <c r="A118" s="263"/>
      <c r="B118" s="263"/>
      <c r="C118" s="263"/>
      <c r="D118" s="263"/>
      <c r="E118" s="263"/>
      <c r="F118" s="263"/>
      <c r="G118" s="263"/>
      <c r="H118" s="263"/>
      <c r="I118" s="263"/>
      <c r="J118" s="263"/>
      <c r="K118" s="263"/>
      <c r="L118" s="263"/>
      <c r="M118" s="263"/>
    </row>
    <row r="119" spans="1:13" ht="15">
      <c r="A119" s="263"/>
      <c r="B119" s="263"/>
      <c r="C119" s="263"/>
      <c r="D119" s="263"/>
      <c r="E119" s="263"/>
      <c r="F119" s="263"/>
      <c r="G119" s="263"/>
      <c r="H119" s="263"/>
      <c r="I119" s="263"/>
      <c r="J119" s="263"/>
      <c r="K119" s="263"/>
      <c r="L119" s="263"/>
      <c r="M119" s="263"/>
    </row>
    <row r="120" spans="1:13" ht="15">
      <c r="A120" s="263"/>
      <c r="B120" s="263"/>
      <c r="C120" s="263"/>
      <c r="D120" s="263"/>
      <c r="E120" s="263"/>
      <c r="F120" s="263"/>
      <c r="G120" s="263"/>
      <c r="H120" s="263"/>
      <c r="I120" s="263"/>
      <c r="J120" s="263"/>
      <c r="K120" s="263"/>
      <c r="L120" s="263"/>
      <c r="M120" s="263"/>
    </row>
    <row r="121" spans="1:13" ht="15">
      <c r="A121" s="263"/>
      <c r="B121" s="263"/>
      <c r="C121" s="263"/>
      <c r="D121" s="263"/>
      <c r="E121" s="263"/>
      <c r="F121" s="263"/>
      <c r="G121" s="263"/>
      <c r="H121" s="263"/>
      <c r="I121" s="263"/>
      <c r="J121" s="263"/>
      <c r="K121" s="263"/>
      <c r="L121" s="263"/>
      <c r="M121" s="263"/>
    </row>
    <row r="122" spans="1:13" ht="15">
      <c r="A122" s="263"/>
      <c r="B122" s="263"/>
      <c r="C122" s="263"/>
      <c r="D122" s="263"/>
      <c r="E122" s="263"/>
      <c r="F122" s="263"/>
      <c r="G122" s="263"/>
      <c r="H122" s="263"/>
      <c r="I122" s="263"/>
      <c r="J122" s="263"/>
      <c r="K122" s="263"/>
      <c r="L122" s="263"/>
      <c r="M122" s="263"/>
    </row>
    <row r="123" spans="1:13" ht="15">
      <c r="A123" s="263"/>
      <c r="B123" s="263"/>
      <c r="C123" s="263"/>
      <c r="D123" s="263"/>
      <c r="E123" s="263"/>
      <c r="F123" s="263"/>
      <c r="G123" s="263"/>
      <c r="H123" s="263"/>
      <c r="I123" s="263"/>
      <c r="J123" s="263"/>
      <c r="K123" s="263"/>
      <c r="L123" s="263"/>
      <c r="M123" s="263"/>
    </row>
    <row r="124" spans="1:13" ht="15">
      <c r="A124" s="263"/>
      <c r="B124" s="263"/>
      <c r="C124" s="263"/>
      <c r="D124" s="263"/>
      <c r="E124" s="263"/>
      <c r="F124" s="263"/>
      <c r="G124" s="263"/>
      <c r="H124" s="263"/>
      <c r="I124" s="263"/>
      <c r="J124" s="263"/>
      <c r="K124" s="263"/>
      <c r="L124" s="263"/>
      <c r="M124" s="263"/>
    </row>
    <row r="125" spans="1:13" ht="15">
      <c r="A125" s="263"/>
      <c r="B125" s="263"/>
      <c r="C125" s="263"/>
      <c r="D125" s="263"/>
      <c r="E125" s="263"/>
      <c r="F125" s="263"/>
      <c r="G125" s="263"/>
      <c r="H125" s="263"/>
      <c r="I125" s="263"/>
      <c r="J125" s="263"/>
      <c r="K125" s="263"/>
      <c r="L125" s="263"/>
      <c r="M125" s="263"/>
    </row>
    <row r="126" spans="1:13" ht="15">
      <c r="A126" s="263"/>
      <c r="B126" s="263"/>
      <c r="C126" s="263"/>
      <c r="D126" s="263"/>
      <c r="E126" s="263"/>
      <c r="F126" s="263"/>
      <c r="G126" s="263"/>
      <c r="H126" s="263"/>
      <c r="I126" s="263"/>
      <c r="J126" s="263"/>
      <c r="K126" s="263"/>
      <c r="L126" s="263"/>
      <c r="M126" s="263"/>
    </row>
    <row r="127" spans="1:13" ht="15">
      <c r="A127" s="263"/>
      <c r="B127" s="263"/>
      <c r="C127" s="263"/>
      <c r="D127" s="263"/>
      <c r="E127" s="263"/>
      <c r="F127" s="263"/>
      <c r="G127" s="263"/>
      <c r="H127" s="263"/>
      <c r="I127" s="263"/>
      <c r="J127" s="263"/>
      <c r="K127" s="263"/>
      <c r="L127" s="263"/>
      <c r="M127" s="263"/>
    </row>
    <row r="128" spans="1:13" ht="15">
      <c r="A128" s="263"/>
      <c r="B128" s="263"/>
      <c r="C128" s="263"/>
      <c r="D128" s="263"/>
      <c r="E128" s="263"/>
      <c r="F128" s="263"/>
      <c r="G128" s="263"/>
      <c r="H128" s="263"/>
      <c r="I128" s="263"/>
      <c r="J128" s="263"/>
      <c r="K128" s="263"/>
      <c r="L128" s="263"/>
      <c r="M128" s="263"/>
    </row>
    <row r="129" spans="1:13" ht="15">
      <c r="A129" s="263"/>
      <c r="B129" s="263"/>
      <c r="C129" s="263"/>
      <c r="D129" s="263"/>
      <c r="E129" s="263"/>
      <c r="F129" s="263"/>
      <c r="G129" s="263"/>
      <c r="H129" s="263"/>
      <c r="I129" s="263"/>
      <c r="J129" s="263"/>
      <c r="K129" s="263"/>
      <c r="L129" s="263"/>
      <c r="M129" s="263"/>
    </row>
    <row r="130" spans="1:13" ht="15">
      <c r="A130" s="263"/>
      <c r="B130" s="263"/>
      <c r="C130" s="263"/>
      <c r="D130" s="263"/>
      <c r="E130" s="263"/>
      <c r="F130" s="263"/>
      <c r="G130" s="263"/>
      <c r="H130" s="263"/>
      <c r="I130" s="263"/>
      <c r="J130" s="263"/>
      <c r="K130" s="263"/>
      <c r="L130" s="263"/>
      <c r="M130" s="263"/>
    </row>
    <row r="131" spans="1:13" ht="15">
      <c r="A131" s="263"/>
      <c r="B131" s="263"/>
      <c r="C131" s="263"/>
      <c r="D131" s="263"/>
      <c r="E131" s="263"/>
      <c r="F131" s="263"/>
      <c r="G131" s="263"/>
      <c r="H131" s="263"/>
      <c r="I131" s="263"/>
      <c r="J131" s="263"/>
      <c r="K131" s="263"/>
      <c r="L131" s="263"/>
      <c r="M131" s="263"/>
    </row>
    <row r="132" spans="1:13" ht="15">
      <c r="A132" s="263"/>
      <c r="B132" s="263"/>
      <c r="C132" s="263"/>
      <c r="D132" s="263"/>
      <c r="E132" s="263"/>
      <c r="F132" s="263"/>
      <c r="G132" s="263"/>
      <c r="H132" s="263"/>
      <c r="I132" s="263"/>
      <c r="J132" s="263"/>
      <c r="K132" s="263"/>
      <c r="L132" s="263"/>
      <c r="M132" s="263"/>
    </row>
    <row r="133" spans="1:13" ht="15">
      <c r="A133" s="263"/>
      <c r="B133" s="263"/>
      <c r="C133" s="263"/>
      <c r="D133" s="263"/>
      <c r="E133" s="263"/>
      <c r="F133" s="263"/>
      <c r="G133" s="263"/>
      <c r="H133" s="263"/>
      <c r="I133" s="263"/>
      <c r="J133" s="263"/>
      <c r="K133" s="263"/>
      <c r="L133" s="263"/>
      <c r="M133" s="263"/>
    </row>
    <row r="134" spans="1:13" ht="15">
      <c r="A134" s="263"/>
      <c r="B134" s="263"/>
      <c r="C134" s="263"/>
      <c r="D134" s="263"/>
      <c r="E134" s="263"/>
      <c r="F134" s="263"/>
      <c r="G134" s="263"/>
      <c r="H134" s="263"/>
      <c r="I134" s="263"/>
      <c r="J134" s="263"/>
      <c r="K134" s="263"/>
      <c r="L134" s="263"/>
      <c r="M134" s="263"/>
    </row>
    <row r="135" spans="1:13" ht="15">
      <c r="A135" s="263"/>
      <c r="B135" s="263"/>
      <c r="C135" s="263"/>
      <c r="D135" s="263"/>
      <c r="E135" s="263"/>
      <c r="F135" s="263"/>
      <c r="G135" s="263"/>
      <c r="H135" s="263"/>
      <c r="I135" s="263"/>
      <c r="J135" s="263"/>
      <c r="K135" s="263"/>
      <c r="L135" s="263"/>
      <c r="M135" s="263"/>
    </row>
    <row r="136" spans="1:13" ht="15">
      <c r="A136" s="263"/>
      <c r="B136" s="263"/>
      <c r="C136" s="263"/>
      <c r="D136" s="263"/>
      <c r="E136" s="263"/>
      <c r="F136" s="263"/>
      <c r="G136" s="263"/>
      <c r="H136" s="263"/>
      <c r="I136" s="263"/>
      <c r="J136" s="263"/>
      <c r="K136" s="263"/>
      <c r="L136" s="263"/>
      <c r="M136" s="263"/>
    </row>
    <row r="137" spans="1:13" ht="15">
      <c r="A137" s="263"/>
      <c r="B137" s="263"/>
      <c r="C137" s="263"/>
      <c r="D137" s="263"/>
      <c r="E137" s="263"/>
      <c r="F137" s="263"/>
      <c r="G137" s="263"/>
      <c r="H137" s="263"/>
      <c r="I137" s="263"/>
      <c r="J137" s="263"/>
      <c r="K137" s="263"/>
      <c r="L137" s="263"/>
      <c r="M137" s="263"/>
    </row>
    <row r="138" spans="1:13" ht="15">
      <c r="A138" s="263"/>
      <c r="B138" s="263"/>
      <c r="C138" s="263"/>
      <c r="D138" s="263"/>
      <c r="E138" s="263"/>
      <c r="F138" s="263"/>
      <c r="G138" s="263"/>
      <c r="H138" s="263"/>
      <c r="I138" s="263"/>
      <c r="J138" s="263"/>
      <c r="K138" s="263"/>
      <c r="L138" s="263"/>
      <c r="M138" s="263"/>
    </row>
    <row r="139" spans="1:13" ht="15">
      <c r="A139" s="263"/>
      <c r="B139" s="263"/>
      <c r="C139" s="263"/>
      <c r="D139" s="263"/>
      <c r="E139" s="263"/>
      <c r="F139" s="263"/>
      <c r="G139" s="263"/>
      <c r="H139" s="263"/>
      <c r="I139" s="263"/>
      <c r="J139" s="263"/>
      <c r="K139" s="263"/>
      <c r="L139" s="263"/>
      <c r="M139" s="263"/>
    </row>
    <row r="140" spans="1:13" ht="15">
      <c r="A140" s="263"/>
      <c r="B140" s="263"/>
      <c r="C140" s="263"/>
      <c r="D140" s="263"/>
      <c r="E140" s="263"/>
      <c r="F140" s="263"/>
      <c r="G140" s="263"/>
      <c r="H140" s="263"/>
      <c r="I140" s="263"/>
      <c r="J140" s="263"/>
      <c r="K140" s="263"/>
      <c r="L140" s="263"/>
      <c r="M140" s="263"/>
    </row>
    <row r="141" spans="1:13" ht="15">
      <c r="A141" s="263"/>
      <c r="B141" s="263"/>
      <c r="C141" s="263"/>
      <c r="D141" s="263"/>
      <c r="E141" s="263"/>
      <c r="F141" s="263"/>
      <c r="G141" s="263"/>
      <c r="H141" s="263"/>
      <c r="I141" s="263"/>
      <c r="J141" s="263"/>
      <c r="K141" s="263"/>
      <c r="L141" s="263"/>
      <c r="M141" s="263"/>
    </row>
    <row r="142" spans="1:13" ht="15">
      <c r="A142" s="263"/>
      <c r="B142" s="263"/>
      <c r="C142" s="263"/>
      <c r="D142" s="263"/>
      <c r="E142" s="263"/>
      <c r="F142" s="263"/>
      <c r="G142" s="263"/>
      <c r="H142" s="263"/>
      <c r="I142" s="263"/>
      <c r="J142" s="263"/>
      <c r="K142" s="263"/>
      <c r="L142" s="263"/>
      <c r="M142" s="263"/>
    </row>
    <row r="143" spans="1:13" ht="15">
      <c r="A143" s="263"/>
      <c r="B143" s="263"/>
      <c r="C143" s="263"/>
      <c r="D143" s="263"/>
      <c r="E143" s="263"/>
      <c r="F143" s="263"/>
      <c r="G143" s="263"/>
      <c r="H143" s="263"/>
      <c r="I143" s="263"/>
      <c r="J143" s="263"/>
      <c r="K143" s="263"/>
      <c r="L143" s="263"/>
      <c r="M143" s="263"/>
    </row>
  </sheetData>
  <sheetProtection password="D950" sheet="1" scenarios="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78" bottom="0.25" header="0" footer="0.5"/>
  <pageSetup scale="70" orientation="portrait" r:id="rId2"/>
  <headerFooter alignWithMargins="0">
    <oddHeader xml:space="preserve">&amp;C&amp;"Arial,Bold"&amp;14TOWN OF BROADUS
COMBINING BALANCE SHEET
PERMANENT FUNDS
JUNE 30, 2017
</oddHead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17"/>
  <sheetViews>
    <sheetView zoomScaleNormal="100" workbookViewId="0">
      <pane xSplit="2" ySplit="7" topLeftCell="C8" activePane="bottomRight" state="frozen"/>
      <selection pane="topRight" activeCell="C1" sqref="C1"/>
      <selection pane="bottomLeft" activeCell="A8" sqref="A8"/>
      <selection pane="bottomRight" activeCell="D30" sqref="D30:E31"/>
    </sheetView>
  </sheetViews>
  <sheetFormatPr defaultColWidth="8.85546875" defaultRowHeight="12.75"/>
  <cols>
    <col min="1" max="1" width="13.7109375" style="261" customWidth="1"/>
    <col min="2" max="2" width="45.7109375" style="261" customWidth="1"/>
    <col min="3" max="8" width="16.7109375" style="261" customWidth="1"/>
    <col min="9" max="16384" width="8.85546875" style="261"/>
  </cols>
  <sheetData>
    <row r="1" spans="1:8" ht="15.75">
      <c r="C1" s="281"/>
      <c r="D1" s="281"/>
      <c r="E1" s="281"/>
      <c r="F1" s="281"/>
      <c r="G1" s="281"/>
      <c r="H1" s="281"/>
    </row>
    <row r="2" spans="1:8" ht="15.75">
      <c r="C2" s="268"/>
      <c r="D2" s="268"/>
      <c r="E2" s="268"/>
      <c r="F2" s="268"/>
      <c r="G2" s="268"/>
      <c r="H2" s="268"/>
    </row>
    <row r="3" spans="1:8" ht="15.75">
      <c r="A3" s="276"/>
      <c r="B3" s="276"/>
      <c r="C3" s="418"/>
      <c r="D3" s="328"/>
      <c r="E3" s="418"/>
      <c r="F3" s="328"/>
      <c r="G3" s="281"/>
      <c r="H3" s="419"/>
    </row>
    <row r="4" spans="1:8" ht="15.75">
      <c r="A4" s="282"/>
      <c r="B4" s="282"/>
      <c r="C4" s="777" t="str">
        <f>'BS-PERMANENT FUNDS(75-76)'!C1</f>
        <v>FUND#</v>
      </c>
      <c r="D4" s="777" t="str">
        <f>'BS-PERMANENT FUNDS(75-76)'!D1</f>
        <v>FUND#</v>
      </c>
      <c r="E4" s="777" t="str">
        <f>'BS-PERMANENT FUNDS(75-76)'!E1</f>
        <v>FUND#</v>
      </c>
      <c r="F4" s="777" t="str">
        <f>'BS-PERMANENT FUNDS(75-76)'!F1</f>
        <v>FUND#</v>
      </c>
      <c r="G4" s="777" t="str">
        <f>'BS-PERMANENT FUNDS(75-76)'!G1</f>
        <v>FUND#</v>
      </c>
      <c r="H4" s="266"/>
    </row>
    <row r="5" spans="1:8" ht="15.75">
      <c r="A5" s="263"/>
      <c r="B5" s="263"/>
      <c r="C5" s="656" t="str">
        <f>'BS-PERMANENT FUNDS(75-76)'!C2</f>
        <v>NAME</v>
      </c>
      <c r="D5" s="656" t="str">
        <f>'BS-PERMANENT FUNDS(75-76)'!D2</f>
        <v>NAME</v>
      </c>
      <c r="E5" s="656" t="str">
        <f>'BS-PERMANENT FUNDS(75-76)'!E2</f>
        <v>NAME</v>
      </c>
      <c r="F5" s="656" t="str">
        <f>'BS-PERMANENT FUNDS(75-76)'!F2</f>
        <v>NAME</v>
      </c>
      <c r="G5" s="656" t="str">
        <f>'BS-PERMANENT FUNDS(75-76)'!G2</f>
        <v>NAME</v>
      </c>
      <c r="H5" s="266" t="s">
        <v>1030</v>
      </c>
    </row>
    <row r="6" spans="1:8" ht="15.75">
      <c r="A6" s="266" t="s">
        <v>1013</v>
      </c>
      <c r="B6" s="266"/>
      <c r="C6" s="266" t="str">
        <f>'BS-PERMANENT FUNDS(75-76)'!C3</f>
        <v>-</v>
      </c>
      <c r="D6" s="266" t="str">
        <f>'BS-PERMANENT FUNDS(75-76)'!D3</f>
        <v>-</v>
      </c>
      <c r="E6" s="266" t="str">
        <f>'BS-PERMANENT FUNDS(75-76)'!E3</f>
        <v>-</v>
      </c>
      <c r="F6" s="266" t="str">
        <f>'BS-PERMANENT FUNDS(75-76)'!F3</f>
        <v>-</v>
      </c>
      <c r="G6" s="266" t="str">
        <f>'BS-PERMANENT FUNDS(75-76)'!G3</f>
        <v>-</v>
      </c>
      <c r="H6" s="266" t="s">
        <v>1316</v>
      </c>
    </row>
    <row r="7" spans="1:8" ht="16.5" thickBot="1">
      <c r="A7" s="267" t="s">
        <v>1014</v>
      </c>
      <c r="B7" s="267" t="s">
        <v>1015</v>
      </c>
      <c r="C7" s="267"/>
      <c r="D7" s="436"/>
      <c r="E7" s="267"/>
      <c r="F7" s="436"/>
      <c r="G7" s="267"/>
      <c r="H7" s="267" t="s">
        <v>1032</v>
      </c>
    </row>
    <row r="8" spans="1:8" s="308" customFormat="1" ht="17.100000000000001" customHeight="1">
      <c r="A8" s="428"/>
      <c r="B8" s="431" t="s">
        <v>208</v>
      </c>
      <c r="C8" s="701"/>
      <c r="D8" s="701"/>
      <c r="E8" s="417"/>
      <c r="F8" s="417"/>
      <c r="G8" s="417"/>
      <c r="H8" s="417"/>
    </row>
    <row r="9" spans="1:8" s="308" customFormat="1" ht="17.100000000000001" customHeight="1">
      <c r="A9" s="428"/>
      <c r="B9" s="431" t="s">
        <v>127</v>
      </c>
      <c r="C9" s="701"/>
      <c r="D9" s="701"/>
      <c r="E9" s="417"/>
      <c r="F9" s="417"/>
      <c r="G9" s="417"/>
      <c r="H9" s="417"/>
    </row>
    <row r="10" spans="1:8" ht="17.100000000000001" customHeight="1">
      <c r="A10" s="301" t="s">
        <v>187</v>
      </c>
      <c r="B10" s="263" t="s">
        <v>128</v>
      </c>
      <c r="C10" s="311"/>
      <c r="D10" s="311"/>
      <c r="E10" s="311"/>
      <c r="F10" s="311"/>
      <c r="G10" s="311"/>
      <c r="H10" s="314">
        <f>SUM(C10:G10)</f>
        <v>0</v>
      </c>
    </row>
    <row r="11" spans="1:8" ht="17.100000000000001" customHeight="1">
      <c r="A11" s="301">
        <v>314140</v>
      </c>
      <c r="B11" s="263" t="s">
        <v>129</v>
      </c>
      <c r="C11" s="311"/>
      <c r="D11" s="311"/>
      <c r="E11" s="311"/>
      <c r="F11" s="311"/>
      <c r="G11" s="311"/>
      <c r="H11" s="314">
        <f>SUM(C11:G11)</f>
        <v>0</v>
      </c>
    </row>
    <row r="12" spans="1:8" ht="30" customHeight="1">
      <c r="A12" s="429"/>
      <c r="B12" s="435" t="s">
        <v>493</v>
      </c>
      <c r="C12" s="314"/>
      <c r="D12" s="314"/>
      <c r="E12" s="314"/>
      <c r="F12" s="314"/>
      <c r="G12" s="314"/>
      <c r="H12" s="314"/>
    </row>
    <row r="13" spans="1:8" ht="17.100000000000001" customHeight="1">
      <c r="A13" s="301">
        <v>331000</v>
      </c>
      <c r="B13" s="263" t="s">
        <v>489</v>
      </c>
      <c r="C13" s="311"/>
      <c r="D13" s="311"/>
      <c r="E13" s="311"/>
      <c r="F13" s="311"/>
      <c r="G13" s="311"/>
      <c r="H13" s="314">
        <f t="shared" ref="H13:H18" si="0">SUM(C13:G13)</f>
        <v>0</v>
      </c>
    </row>
    <row r="14" spans="1:8" ht="17.100000000000001" customHeight="1">
      <c r="A14" s="301"/>
      <c r="B14" s="263"/>
      <c r="C14" s="311"/>
      <c r="D14" s="311"/>
      <c r="E14" s="311"/>
      <c r="F14" s="311"/>
      <c r="G14" s="311"/>
      <c r="H14" s="314">
        <f t="shared" si="0"/>
        <v>0</v>
      </c>
    </row>
    <row r="15" spans="1:8" ht="17.100000000000001" customHeight="1">
      <c r="A15" s="301">
        <v>332000</v>
      </c>
      <c r="B15" s="263" t="s">
        <v>490</v>
      </c>
      <c r="C15" s="311"/>
      <c r="D15" s="311"/>
      <c r="E15" s="311"/>
      <c r="F15" s="311"/>
      <c r="G15" s="311"/>
      <c r="H15" s="314">
        <f t="shared" si="0"/>
        <v>0</v>
      </c>
    </row>
    <row r="16" spans="1:8" ht="17.100000000000001" customHeight="1">
      <c r="A16" s="301">
        <v>334000</v>
      </c>
      <c r="B16" s="263" t="s">
        <v>491</v>
      </c>
      <c r="C16" s="311"/>
      <c r="D16" s="311"/>
      <c r="E16" s="311"/>
      <c r="F16" s="311"/>
      <c r="G16" s="311"/>
      <c r="H16" s="314">
        <f t="shared" si="0"/>
        <v>0</v>
      </c>
    </row>
    <row r="17" spans="1:8" ht="17.100000000000001" customHeight="1">
      <c r="A17" s="301"/>
      <c r="B17" s="263"/>
      <c r="C17" s="311"/>
      <c r="D17" s="311"/>
      <c r="E17" s="311"/>
      <c r="F17" s="311"/>
      <c r="G17" s="311"/>
      <c r="H17" s="314">
        <f t="shared" si="0"/>
        <v>0</v>
      </c>
    </row>
    <row r="18" spans="1:8" ht="17.100000000000001" customHeight="1">
      <c r="A18" s="301">
        <v>335000</v>
      </c>
      <c r="B18" s="263" t="s">
        <v>492</v>
      </c>
      <c r="C18" s="311"/>
      <c r="D18" s="311"/>
      <c r="E18" s="311"/>
      <c r="F18" s="311"/>
      <c r="G18" s="311"/>
      <c r="H18" s="314">
        <f t="shared" si="0"/>
        <v>0</v>
      </c>
    </row>
    <row r="19" spans="1:8" ht="17.100000000000001" customHeight="1">
      <c r="A19" s="429"/>
      <c r="B19" s="431" t="s">
        <v>212</v>
      </c>
      <c r="C19" s="314"/>
      <c r="D19" s="314"/>
      <c r="E19" s="314"/>
      <c r="F19" s="314"/>
      <c r="G19" s="314"/>
      <c r="H19" s="314"/>
    </row>
    <row r="20" spans="1:8" ht="17.100000000000001" customHeight="1">
      <c r="A20" s="301">
        <v>341010</v>
      </c>
      <c r="B20" s="263" t="s">
        <v>705</v>
      </c>
      <c r="C20" s="311"/>
      <c r="D20" s="311"/>
      <c r="E20" s="311"/>
      <c r="F20" s="311"/>
      <c r="G20" s="311"/>
      <c r="H20" s="314">
        <f>SUM(C20:G20)</f>
        <v>0</v>
      </c>
    </row>
    <row r="21" spans="1:8" ht="17.100000000000001" customHeight="1">
      <c r="A21" s="301">
        <v>341070</v>
      </c>
      <c r="B21" s="263" t="s">
        <v>704</v>
      </c>
      <c r="C21" s="311"/>
      <c r="D21" s="311"/>
      <c r="E21" s="311"/>
      <c r="F21" s="311"/>
      <c r="G21" s="311"/>
      <c r="H21" s="314">
        <f>SUM(C21:G21)</f>
        <v>0</v>
      </c>
    </row>
    <row r="22" spans="1:8" ht="17.100000000000001" customHeight="1">
      <c r="A22" s="301">
        <v>343000</v>
      </c>
      <c r="B22" s="263" t="s">
        <v>703</v>
      </c>
      <c r="C22" s="311"/>
      <c r="D22" s="311"/>
      <c r="E22" s="311"/>
      <c r="F22" s="311"/>
      <c r="G22" s="311"/>
      <c r="H22" s="314">
        <f>SUM(C22:G22)</f>
        <v>0</v>
      </c>
    </row>
    <row r="23" spans="1:8" ht="17.100000000000001" customHeight="1">
      <c r="A23" s="429">
        <v>360000</v>
      </c>
      <c r="B23" s="431" t="s">
        <v>214</v>
      </c>
      <c r="C23" s="314"/>
      <c r="D23" s="314"/>
      <c r="E23" s="314"/>
      <c r="F23" s="314"/>
      <c r="G23" s="314"/>
      <c r="H23" s="314"/>
    </row>
    <row r="24" spans="1:8" ht="17.100000000000001" customHeight="1">
      <c r="A24" s="301">
        <v>361000</v>
      </c>
      <c r="B24" s="263" t="s">
        <v>700</v>
      </c>
      <c r="C24" s="311"/>
      <c r="D24" s="311"/>
      <c r="E24" s="311"/>
      <c r="F24" s="311"/>
      <c r="G24" s="311"/>
      <c r="H24" s="314">
        <f>SUM(C24:G24)</f>
        <v>0</v>
      </c>
    </row>
    <row r="25" spans="1:8" ht="17.100000000000001" customHeight="1">
      <c r="A25" s="301">
        <v>362000</v>
      </c>
      <c r="B25" s="263" t="s">
        <v>701</v>
      </c>
      <c r="C25" s="311"/>
      <c r="D25" s="311"/>
      <c r="E25" s="311"/>
      <c r="F25" s="311"/>
      <c r="G25" s="311"/>
      <c r="H25" s="314">
        <f>SUM(C25:G25)</f>
        <v>0</v>
      </c>
    </row>
    <row r="26" spans="1:8" ht="17.100000000000001" customHeight="1">
      <c r="A26" s="301">
        <v>365000</v>
      </c>
      <c r="B26" s="263" t="s">
        <v>702</v>
      </c>
      <c r="C26" s="311"/>
      <c r="D26" s="311"/>
      <c r="E26" s="311"/>
      <c r="F26" s="311"/>
      <c r="G26" s="311"/>
      <c r="H26" s="314">
        <f>SUM(C26:G26)</f>
        <v>0</v>
      </c>
    </row>
    <row r="27" spans="1:8" ht="17.100000000000001" customHeight="1">
      <c r="A27" s="301">
        <v>370000</v>
      </c>
      <c r="B27" s="268" t="s">
        <v>215</v>
      </c>
      <c r="C27" s="311"/>
      <c r="D27" s="311"/>
      <c r="E27" s="311"/>
      <c r="F27" s="311"/>
      <c r="G27" s="311"/>
      <c r="H27" s="314">
        <f>SUM(C27:G27)</f>
        <v>0</v>
      </c>
    </row>
    <row r="28" spans="1:8" ht="17.100000000000001" customHeight="1" thickBot="1">
      <c r="A28" s="429"/>
      <c r="B28" s="411"/>
      <c r="C28" s="316"/>
      <c r="D28" s="316"/>
      <c r="E28" s="316"/>
      <c r="F28" s="316"/>
      <c r="G28" s="316"/>
      <c r="H28" s="316"/>
    </row>
    <row r="29" spans="1:8" ht="17.100000000000001" customHeight="1">
      <c r="A29" s="429"/>
      <c r="B29" s="430" t="s">
        <v>130</v>
      </c>
      <c r="C29" s="314">
        <f t="shared" ref="C29:H29" si="1">SUM(C8:C28)</f>
        <v>0</v>
      </c>
      <c r="D29" s="314">
        <f t="shared" si="1"/>
        <v>0</v>
      </c>
      <c r="E29" s="314">
        <f t="shared" si="1"/>
        <v>0</v>
      </c>
      <c r="F29" s="314">
        <f t="shared" si="1"/>
        <v>0</v>
      </c>
      <c r="G29" s="314">
        <f t="shared" si="1"/>
        <v>0</v>
      </c>
      <c r="H29" s="314">
        <f t="shared" si="1"/>
        <v>0</v>
      </c>
    </row>
    <row r="30" spans="1:8" ht="17.100000000000001" customHeight="1">
      <c r="A30" s="428"/>
      <c r="B30" s="411"/>
      <c r="C30" s="314"/>
      <c r="D30" s="314"/>
      <c r="E30" s="314"/>
      <c r="F30" s="314"/>
      <c r="G30" s="314"/>
      <c r="H30" s="314"/>
    </row>
    <row r="31" spans="1:8" ht="17.100000000000001" customHeight="1">
      <c r="A31" s="428"/>
      <c r="B31" s="431" t="s">
        <v>217</v>
      </c>
      <c r="C31" s="314"/>
      <c r="D31" s="314"/>
      <c r="E31" s="314"/>
      <c r="F31" s="314"/>
      <c r="G31" s="314"/>
      <c r="H31" s="314"/>
    </row>
    <row r="32" spans="1:8" ht="17.100000000000001" customHeight="1">
      <c r="A32" s="301">
        <v>510000</v>
      </c>
      <c r="B32" s="268" t="s">
        <v>214</v>
      </c>
      <c r="C32" s="311"/>
      <c r="D32" s="311"/>
      <c r="E32" s="311"/>
      <c r="F32" s="311"/>
      <c r="G32" s="311"/>
      <c r="H32" s="314">
        <f>SUM(C32:G32)</f>
        <v>0</v>
      </c>
    </row>
    <row r="33" spans="1:8" ht="17.100000000000001" customHeight="1" thickBot="1">
      <c r="A33" s="301" t="s">
        <v>801</v>
      </c>
      <c r="B33" s="268" t="s">
        <v>1090</v>
      </c>
      <c r="C33" s="313"/>
      <c r="D33" s="313"/>
      <c r="E33" s="313"/>
      <c r="F33" s="313"/>
      <c r="G33" s="313"/>
      <c r="H33" s="316">
        <f>SUM(C33:G33)</f>
        <v>0</v>
      </c>
    </row>
    <row r="34" spans="1:8" ht="17.100000000000001" customHeight="1" thickBot="1">
      <c r="A34" s="429"/>
      <c r="B34" s="430" t="s">
        <v>1156</v>
      </c>
      <c r="C34" s="316">
        <f t="shared" ref="C34:H34" si="2">SUM(C31:C33)</f>
        <v>0</v>
      </c>
      <c r="D34" s="316">
        <f t="shared" si="2"/>
        <v>0</v>
      </c>
      <c r="E34" s="316">
        <f t="shared" si="2"/>
        <v>0</v>
      </c>
      <c r="F34" s="316">
        <f t="shared" si="2"/>
        <v>0</v>
      </c>
      <c r="G34" s="316">
        <f t="shared" si="2"/>
        <v>0</v>
      </c>
      <c r="H34" s="316">
        <f t="shared" si="2"/>
        <v>0</v>
      </c>
    </row>
    <row r="35" spans="1:8" ht="30" customHeight="1">
      <c r="A35" s="429"/>
      <c r="B35" s="435" t="s">
        <v>843</v>
      </c>
      <c r="C35" s="314">
        <f t="shared" ref="C35:H35" si="3">+C29-C34</f>
        <v>0</v>
      </c>
      <c r="D35" s="314">
        <f t="shared" si="3"/>
        <v>0</v>
      </c>
      <c r="E35" s="314">
        <f t="shared" si="3"/>
        <v>0</v>
      </c>
      <c r="F35" s="314">
        <f t="shared" si="3"/>
        <v>0</v>
      </c>
      <c r="G35" s="314">
        <f t="shared" si="3"/>
        <v>0</v>
      </c>
      <c r="H35" s="314">
        <f t="shared" si="3"/>
        <v>0</v>
      </c>
    </row>
    <row r="36" spans="1:8" ht="17.100000000000001" customHeight="1">
      <c r="A36" s="429"/>
      <c r="B36" s="431" t="s">
        <v>1158</v>
      </c>
      <c r="C36" s="314"/>
      <c r="D36" s="314"/>
      <c r="E36" s="314"/>
      <c r="F36" s="314"/>
      <c r="G36" s="314"/>
      <c r="H36" s="314"/>
    </row>
    <row r="37" spans="1:8" ht="17.100000000000001" customHeight="1">
      <c r="A37" s="301">
        <v>381000</v>
      </c>
      <c r="B37" s="263" t="s">
        <v>479</v>
      </c>
      <c r="C37" s="311"/>
      <c r="D37" s="311"/>
      <c r="E37" s="311"/>
      <c r="F37" s="311"/>
      <c r="G37" s="311"/>
      <c r="H37" s="314">
        <f t="shared" ref="H37:H46" si="4">SUM(C37:G37)</f>
        <v>0</v>
      </c>
    </row>
    <row r="38" spans="1:8" ht="17.100000000000001" customHeight="1">
      <c r="A38" s="301">
        <v>381000</v>
      </c>
      <c r="B38" s="263" t="s">
        <v>1117</v>
      </c>
      <c r="C38" s="311"/>
      <c r="D38" s="311"/>
      <c r="E38" s="311"/>
      <c r="F38" s="311"/>
      <c r="G38" s="311"/>
      <c r="H38" s="314">
        <f t="shared" si="4"/>
        <v>0</v>
      </c>
    </row>
    <row r="39" spans="1:8" ht="17.100000000000001" customHeight="1">
      <c r="A39" s="301">
        <v>381070</v>
      </c>
      <c r="B39" s="263" t="s">
        <v>549</v>
      </c>
      <c r="C39" s="311"/>
      <c r="D39" s="311"/>
      <c r="E39" s="311"/>
      <c r="F39" s="311"/>
      <c r="G39" s="311"/>
      <c r="H39" s="314">
        <f t="shared" si="4"/>
        <v>0</v>
      </c>
    </row>
    <row r="40" spans="1:8" ht="17.100000000000001" customHeight="1">
      <c r="A40" s="301">
        <v>382010</v>
      </c>
      <c r="B40" s="263" t="s">
        <v>1159</v>
      </c>
      <c r="C40" s="311"/>
      <c r="D40" s="311"/>
      <c r="E40" s="311"/>
      <c r="F40" s="311"/>
      <c r="G40" s="311"/>
      <c r="H40" s="314">
        <f t="shared" si="4"/>
        <v>0</v>
      </c>
    </row>
    <row r="41" spans="1:8" ht="17.100000000000001" customHeight="1">
      <c r="A41" s="301">
        <v>383000</v>
      </c>
      <c r="B41" s="263" t="s">
        <v>1161</v>
      </c>
      <c r="C41" s="311"/>
      <c r="D41" s="311"/>
      <c r="E41" s="311"/>
      <c r="F41" s="311"/>
      <c r="G41" s="311"/>
      <c r="H41" s="314">
        <f t="shared" si="4"/>
        <v>0</v>
      </c>
    </row>
    <row r="42" spans="1:8" ht="17.100000000000001" customHeight="1">
      <c r="A42" s="301">
        <v>520000</v>
      </c>
      <c r="B42" s="263" t="s">
        <v>1791</v>
      </c>
      <c r="C42" s="311"/>
      <c r="D42" s="311"/>
      <c r="E42" s="311"/>
      <c r="F42" s="311"/>
      <c r="G42" s="311"/>
      <c r="H42" s="314">
        <f t="shared" si="4"/>
        <v>0</v>
      </c>
    </row>
    <row r="43" spans="1:8" ht="17.100000000000001" customHeight="1">
      <c r="A43" s="301">
        <v>384000</v>
      </c>
      <c r="B43" s="263" t="s">
        <v>1755</v>
      </c>
      <c r="C43" s="311"/>
      <c r="D43" s="311"/>
      <c r="E43" s="311"/>
      <c r="F43" s="311"/>
      <c r="G43" s="311"/>
      <c r="H43" s="314">
        <f t="shared" si="4"/>
        <v>0</v>
      </c>
    </row>
    <row r="44" spans="1:8" ht="17.100000000000001" customHeight="1">
      <c r="A44" s="301">
        <v>385000</v>
      </c>
      <c r="B44" s="263" t="s">
        <v>1751</v>
      </c>
      <c r="C44" s="311"/>
      <c r="D44" s="311"/>
      <c r="E44" s="311"/>
      <c r="F44" s="311"/>
      <c r="G44" s="311"/>
      <c r="H44" s="314">
        <f t="shared" si="4"/>
        <v>0</v>
      </c>
    </row>
    <row r="45" spans="1:8" ht="17.100000000000001" customHeight="1">
      <c r="A45" s="301">
        <v>524000</v>
      </c>
      <c r="B45" s="263" t="s">
        <v>1756</v>
      </c>
      <c r="C45" s="311"/>
      <c r="D45" s="311"/>
      <c r="E45" s="311"/>
      <c r="F45" s="311"/>
      <c r="G45" s="311"/>
      <c r="H45" s="314">
        <f t="shared" si="4"/>
        <v>0</v>
      </c>
    </row>
    <row r="46" spans="1:8" ht="17.100000000000001" customHeight="1" thickBot="1">
      <c r="A46" s="301">
        <v>525000</v>
      </c>
      <c r="B46" s="263" t="s">
        <v>1758</v>
      </c>
      <c r="C46" s="316"/>
      <c r="D46" s="316"/>
      <c r="E46" s="316"/>
      <c r="F46" s="316"/>
      <c r="G46" s="316"/>
      <c r="H46" s="316">
        <f t="shared" si="4"/>
        <v>0</v>
      </c>
    </row>
    <row r="47" spans="1:8" ht="17.100000000000001" customHeight="1" thickBot="1">
      <c r="A47" s="429"/>
      <c r="B47" s="430" t="s">
        <v>237</v>
      </c>
      <c r="C47" s="316">
        <f t="shared" ref="C47:H47" si="5">SUM(C36:C46)</f>
        <v>0</v>
      </c>
      <c r="D47" s="316">
        <f t="shared" si="5"/>
        <v>0</v>
      </c>
      <c r="E47" s="316">
        <f t="shared" si="5"/>
        <v>0</v>
      </c>
      <c r="F47" s="316">
        <f t="shared" si="5"/>
        <v>0</v>
      </c>
      <c r="G47" s="316">
        <f t="shared" si="5"/>
        <v>0</v>
      </c>
      <c r="H47" s="316">
        <f t="shared" si="5"/>
        <v>0</v>
      </c>
    </row>
    <row r="48" spans="1:8" ht="17.100000000000001" customHeight="1">
      <c r="A48" s="429"/>
      <c r="B48" s="430" t="s">
        <v>175</v>
      </c>
      <c r="C48" s="314">
        <f t="shared" ref="C48:H48" si="6">+C35+C47</f>
        <v>0</v>
      </c>
      <c r="D48" s="314">
        <f t="shared" si="6"/>
        <v>0</v>
      </c>
      <c r="E48" s="314">
        <f t="shared" si="6"/>
        <v>0</v>
      </c>
      <c r="F48" s="314">
        <f t="shared" si="6"/>
        <v>0</v>
      </c>
      <c r="G48" s="314">
        <f t="shared" si="6"/>
        <v>0</v>
      </c>
      <c r="H48" s="314">
        <f t="shared" si="6"/>
        <v>0</v>
      </c>
    </row>
    <row r="49" spans="1:8" ht="30" customHeight="1">
      <c r="A49" s="301"/>
      <c r="B49" s="324" t="str">
        <f>+'GENERAL FUND-OPERATING(48-53)'!B295</f>
        <v>Fund balances - July 1, 2016 as previously reported</v>
      </c>
      <c r="C49" s="311"/>
      <c r="D49" s="311"/>
      <c r="E49" s="311"/>
      <c r="F49" s="311"/>
      <c r="G49" s="311"/>
      <c r="H49" s="314">
        <f>SUM(C49:G49)</f>
        <v>0</v>
      </c>
    </row>
    <row r="50" spans="1:8" ht="18" customHeight="1" thickBot="1">
      <c r="A50" s="301"/>
      <c r="B50" s="268" t="s">
        <v>699</v>
      </c>
      <c r="C50" s="313"/>
      <c r="D50" s="313"/>
      <c r="E50" s="313"/>
      <c r="F50" s="313"/>
      <c r="G50" s="313"/>
      <c r="H50" s="316">
        <f>SUM(C50:G50)</f>
        <v>0</v>
      </c>
    </row>
    <row r="51" spans="1:8" ht="30" customHeight="1" thickBot="1">
      <c r="A51" s="263"/>
      <c r="B51" s="324" t="str">
        <f>+'GENERAL FUND-OPERATING(48-53)'!B297</f>
        <v>Fund balances - July 1, 2016 as restated</v>
      </c>
      <c r="C51" s="314">
        <f t="shared" ref="C51:G51" si="7">+C49+C50</f>
        <v>0</v>
      </c>
      <c r="D51" s="314">
        <f t="shared" si="7"/>
        <v>0</v>
      </c>
      <c r="E51" s="314">
        <f t="shared" si="7"/>
        <v>0</v>
      </c>
      <c r="F51" s="314">
        <f t="shared" si="7"/>
        <v>0</v>
      </c>
      <c r="G51" s="314">
        <f t="shared" si="7"/>
        <v>0</v>
      </c>
      <c r="H51" s="316">
        <f>SUM(C51:G51)</f>
        <v>0</v>
      </c>
    </row>
    <row r="52" spans="1:8" ht="18" customHeight="1" thickBot="1">
      <c r="A52" s="263"/>
      <c r="B52" s="268" t="str">
        <f>+'GENERAL FUND-OPERATING(48-53)'!B298</f>
        <v>Fund balances - June 30, 2017</v>
      </c>
      <c r="C52" s="438">
        <f>+C48+C51</f>
        <v>0</v>
      </c>
      <c r="D52" s="438">
        <f>+D48+D51</f>
        <v>0</v>
      </c>
      <c r="E52" s="438">
        <f>+E48+E51</f>
        <v>0</v>
      </c>
      <c r="F52" s="438">
        <f>+F48+F51</f>
        <v>0</v>
      </c>
      <c r="G52" s="438">
        <f>+G48+G51</f>
        <v>0</v>
      </c>
      <c r="H52" s="438">
        <f>SUM(C52:G52)</f>
        <v>0</v>
      </c>
    </row>
    <row r="53" spans="1:8" ht="15.75" thickTop="1">
      <c r="A53" s="263"/>
      <c r="B53" s="263"/>
      <c r="C53" s="263"/>
      <c r="D53" s="263"/>
      <c r="E53" s="263"/>
      <c r="F53" s="263"/>
      <c r="G53" s="263"/>
      <c r="H53" s="263"/>
    </row>
    <row r="54" spans="1:8" ht="15.75">
      <c r="A54" s="263"/>
      <c r="B54" s="263"/>
      <c r="C54" s="422" t="s">
        <v>3131</v>
      </c>
      <c r="D54" s="263"/>
      <c r="E54" s="263"/>
      <c r="F54" s="422" t="s">
        <v>3132</v>
      </c>
      <c r="G54" s="263"/>
      <c r="H54" s="263"/>
    </row>
    <row r="55" spans="1:8" ht="15">
      <c r="A55" s="263"/>
      <c r="B55" s="263"/>
      <c r="C55" s="263"/>
      <c r="D55" s="263"/>
      <c r="E55" s="263"/>
      <c r="F55" s="263"/>
      <c r="G55" s="263"/>
      <c r="H55" s="263"/>
    </row>
    <row r="56" spans="1:8" ht="15">
      <c r="A56" s="263"/>
      <c r="B56" s="263"/>
      <c r="C56" s="263"/>
      <c r="D56" s="263"/>
      <c r="E56" s="263"/>
      <c r="F56" s="263"/>
      <c r="G56" s="263"/>
      <c r="H56" s="263"/>
    </row>
    <row r="57" spans="1:8" ht="15">
      <c r="A57" s="263"/>
      <c r="B57" s="263"/>
      <c r="C57" s="263"/>
      <c r="D57" s="263"/>
      <c r="E57" s="263"/>
      <c r="F57" s="263"/>
      <c r="G57" s="263"/>
      <c r="H57" s="263"/>
    </row>
    <row r="58" spans="1:8" ht="15">
      <c r="A58" s="263"/>
      <c r="B58" s="263"/>
      <c r="C58" s="263"/>
      <c r="D58" s="263"/>
      <c r="E58" s="263"/>
      <c r="F58" s="263"/>
      <c r="G58" s="263"/>
      <c r="H58" s="263"/>
    </row>
    <row r="59" spans="1:8" ht="15">
      <c r="A59" s="263"/>
      <c r="B59" s="263"/>
      <c r="C59" s="263"/>
      <c r="D59" s="263"/>
      <c r="E59" s="263"/>
      <c r="F59" s="263"/>
      <c r="G59" s="263"/>
      <c r="H59" s="263"/>
    </row>
    <row r="60" spans="1:8" ht="15">
      <c r="A60" s="263"/>
      <c r="B60" s="263"/>
      <c r="C60" s="263"/>
      <c r="D60" s="263"/>
      <c r="E60" s="263"/>
      <c r="F60" s="263"/>
      <c r="G60" s="263"/>
      <c r="H60" s="263"/>
    </row>
    <row r="61" spans="1:8" ht="15">
      <c r="A61" s="263"/>
      <c r="B61" s="263"/>
      <c r="C61" s="263"/>
      <c r="D61" s="263"/>
      <c r="E61" s="263"/>
      <c r="F61" s="263"/>
      <c r="G61" s="263"/>
      <c r="H61" s="263"/>
    </row>
    <row r="62" spans="1:8" ht="15">
      <c r="A62" s="263"/>
      <c r="B62" s="263"/>
      <c r="C62" s="263"/>
      <c r="D62" s="263"/>
      <c r="E62" s="263"/>
      <c r="F62" s="263"/>
      <c r="G62" s="263"/>
      <c r="H62" s="263"/>
    </row>
    <row r="63" spans="1:8" ht="15">
      <c r="A63" s="263"/>
      <c r="B63" s="263"/>
      <c r="C63" s="263"/>
      <c r="D63" s="263"/>
      <c r="E63" s="263"/>
      <c r="F63" s="263"/>
      <c r="G63" s="263"/>
      <c r="H63" s="263"/>
    </row>
    <row r="64" spans="1:8" ht="15">
      <c r="A64" s="263"/>
      <c r="B64" s="263"/>
      <c r="C64" s="263"/>
      <c r="D64" s="263"/>
      <c r="E64" s="263"/>
      <c r="F64" s="263"/>
      <c r="G64" s="263"/>
      <c r="H64" s="263"/>
    </row>
    <row r="65" spans="1:8" ht="15">
      <c r="A65" s="263"/>
      <c r="B65" s="263"/>
      <c r="C65" s="263"/>
      <c r="D65" s="263"/>
      <c r="E65" s="263"/>
      <c r="F65" s="263"/>
      <c r="G65" s="263"/>
      <c r="H65" s="263"/>
    </row>
    <row r="66" spans="1:8" ht="15">
      <c r="A66" s="263"/>
      <c r="B66" s="263"/>
      <c r="C66" s="263"/>
      <c r="D66" s="263"/>
      <c r="E66" s="263"/>
      <c r="F66" s="263"/>
      <c r="G66" s="263"/>
      <c r="H66" s="263"/>
    </row>
    <row r="67" spans="1:8" ht="15">
      <c r="A67" s="263"/>
      <c r="B67" s="263"/>
      <c r="C67" s="263"/>
      <c r="D67" s="263"/>
      <c r="E67" s="263"/>
      <c r="F67" s="263"/>
      <c r="G67" s="263"/>
      <c r="H67" s="263"/>
    </row>
    <row r="68" spans="1:8" ht="15">
      <c r="A68" s="263"/>
      <c r="B68" s="263"/>
      <c r="C68" s="263"/>
      <c r="D68" s="263"/>
      <c r="E68" s="263"/>
      <c r="F68" s="263"/>
      <c r="G68" s="263"/>
      <c r="H68" s="263"/>
    </row>
    <row r="69" spans="1:8" ht="15">
      <c r="A69" s="263"/>
      <c r="B69" s="263"/>
      <c r="C69" s="263"/>
      <c r="D69" s="263"/>
      <c r="E69" s="263"/>
      <c r="F69" s="263"/>
      <c r="G69" s="263"/>
      <c r="H69" s="263"/>
    </row>
    <row r="70" spans="1:8" ht="15">
      <c r="A70" s="263"/>
      <c r="B70" s="263"/>
      <c r="C70" s="263"/>
      <c r="D70" s="263"/>
      <c r="E70" s="263"/>
      <c r="F70" s="263"/>
      <c r="G70" s="263"/>
      <c r="H70" s="263"/>
    </row>
    <row r="71" spans="1:8" ht="15">
      <c r="A71" s="263"/>
      <c r="B71" s="263"/>
      <c r="C71" s="263"/>
      <c r="D71" s="263"/>
      <c r="E71" s="263"/>
      <c r="F71" s="263"/>
      <c r="G71" s="263"/>
      <c r="H71" s="263"/>
    </row>
    <row r="72" spans="1:8" ht="15">
      <c r="A72" s="263"/>
      <c r="B72" s="263"/>
      <c r="C72" s="263"/>
      <c r="D72" s="263"/>
      <c r="E72" s="263"/>
      <c r="F72" s="263"/>
      <c r="G72" s="263"/>
      <c r="H72" s="263"/>
    </row>
    <row r="73" spans="1:8" ht="15">
      <c r="A73" s="263"/>
      <c r="B73" s="263"/>
      <c r="C73" s="263"/>
      <c r="D73" s="263"/>
      <c r="E73" s="263"/>
      <c r="F73" s="263"/>
      <c r="G73" s="263"/>
      <c r="H73" s="263"/>
    </row>
    <row r="74" spans="1:8" ht="15">
      <c r="A74" s="263"/>
      <c r="B74" s="263"/>
      <c r="C74" s="263"/>
      <c r="D74" s="263"/>
      <c r="E74" s="263"/>
      <c r="F74" s="263"/>
      <c r="G74" s="263"/>
      <c r="H74" s="263"/>
    </row>
    <row r="75" spans="1:8" ht="15">
      <c r="A75" s="263"/>
      <c r="B75" s="263"/>
      <c r="C75" s="263"/>
      <c r="D75" s="263"/>
      <c r="E75" s="263"/>
      <c r="F75" s="263"/>
      <c r="G75" s="263"/>
      <c r="H75" s="263"/>
    </row>
    <row r="76" spans="1:8" ht="15">
      <c r="A76" s="263"/>
      <c r="B76" s="263"/>
      <c r="C76" s="263"/>
      <c r="D76" s="263"/>
      <c r="E76" s="263"/>
      <c r="F76" s="263"/>
      <c r="G76" s="263"/>
      <c r="H76" s="263"/>
    </row>
    <row r="77" spans="1:8" ht="15">
      <c r="A77" s="263"/>
      <c r="B77" s="263"/>
      <c r="C77" s="263"/>
      <c r="D77" s="263"/>
      <c r="E77" s="263"/>
      <c r="F77" s="263"/>
      <c r="G77" s="263"/>
      <c r="H77" s="263"/>
    </row>
    <row r="78" spans="1:8" ht="15">
      <c r="A78" s="263"/>
      <c r="B78" s="263"/>
      <c r="C78" s="263"/>
      <c r="D78" s="263"/>
      <c r="E78" s="263"/>
      <c r="F78" s="263"/>
      <c r="G78" s="263"/>
      <c r="H78" s="263"/>
    </row>
    <row r="79" spans="1:8" ht="15">
      <c r="A79" s="263"/>
      <c r="B79" s="263"/>
      <c r="C79" s="263"/>
      <c r="D79" s="263"/>
      <c r="E79" s="263"/>
      <c r="F79" s="263"/>
      <c r="G79" s="263"/>
      <c r="H79" s="263"/>
    </row>
    <row r="80" spans="1:8" ht="15">
      <c r="A80" s="263"/>
      <c r="B80" s="263"/>
      <c r="C80" s="263"/>
      <c r="D80" s="263"/>
      <c r="E80" s="263"/>
      <c r="F80" s="263"/>
      <c r="G80" s="263"/>
      <c r="H80" s="263"/>
    </row>
    <row r="81" spans="1:8" ht="15">
      <c r="A81" s="263"/>
      <c r="B81" s="263"/>
      <c r="C81" s="263"/>
      <c r="D81" s="263"/>
      <c r="E81" s="263"/>
      <c r="F81" s="263"/>
      <c r="G81" s="263"/>
      <c r="H81" s="263"/>
    </row>
    <row r="82" spans="1:8" ht="15">
      <c r="A82" s="263"/>
      <c r="B82" s="263"/>
      <c r="C82" s="263"/>
      <c r="D82" s="263"/>
      <c r="E82" s="263"/>
      <c r="F82" s="263"/>
      <c r="G82" s="263"/>
      <c r="H82" s="263"/>
    </row>
    <row r="83" spans="1:8" ht="15">
      <c r="A83" s="263"/>
      <c r="B83" s="263"/>
      <c r="C83" s="263"/>
      <c r="D83" s="263"/>
      <c r="E83" s="263"/>
      <c r="F83" s="263"/>
      <c r="G83" s="263"/>
      <c r="H83" s="263"/>
    </row>
    <row r="84" spans="1:8" ht="15">
      <c r="A84" s="263"/>
      <c r="B84" s="263"/>
      <c r="C84" s="263"/>
      <c r="D84" s="263"/>
      <c r="E84" s="263"/>
      <c r="F84" s="263"/>
      <c r="G84" s="263"/>
      <c r="H84" s="263"/>
    </row>
    <row r="85" spans="1:8" ht="15">
      <c r="A85" s="263"/>
      <c r="B85" s="263"/>
      <c r="C85" s="263"/>
      <c r="D85" s="263"/>
      <c r="E85" s="263"/>
      <c r="F85" s="263"/>
      <c r="G85" s="263"/>
      <c r="H85" s="263"/>
    </row>
    <row r="86" spans="1:8" ht="15">
      <c r="A86" s="263"/>
      <c r="B86" s="263"/>
      <c r="C86" s="263"/>
      <c r="D86" s="263"/>
      <c r="E86" s="263"/>
      <c r="F86" s="263"/>
      <c r="G86" s="263"/>
      <c r="H86" s="263"/>
    </row>
    <row r="87" spans="1:8" ht="15">
      <c r="A87" s="263"/>
      <c r="B87" s="263"/>
      <c r="C87" s="263"/>
      <c r="D87" s="263"/>
      <c r="E87" s="263"/>
      <c r="F87" s="263"/>
      <c r="G87" s="263"/>
      <c r="H87" s="263"/>
    </row>
    <row r="88" spans="1:8" ht="15">
      <c r="A88" s="263"/>
      <c r="B88" s="263"/>
      <c r="C88" s="263"/>
      <c r="D88" s="263"/>
      <c r="E88" s="263"/>
      <c r="F88" s="263"/>
      <c r="G88" s="263"/>
      <c r="H88" s="263"/>
    </row>
    <row r="89" spans="1:8" ht="15">
      <c r="A89" s="263"/>
      <c r="B89" s="263"/>
      <c r="C89" s="263"/>
      <c r="D89" s="263"/>
      <c r="E89" s="263"/>
      <c r="F89" s="263"/>
      <c r="G89" s="263"/>
      <c r="H89" s="263"/>
    </row>
    <row r="90" spans="1:8" ht="15">
      <c r="A90" s="263"/>
      <c r="B90" s="263"/>
      <c r="C90" s="263"/>
      <c r="D90" s="263"/>
      <c r="E90" s="263"/>
      <c r="F90" s="263"/>
      <c r="G90" s="263"/>
      <c r="H90" s="263"/>
    </row>
    <row r="91" spans="1:8" ht="15">
      <c r="A91" s="263"/>
      <c r="B91" s="263"/>
      <c r="C91" s="263"/>
      <c r="D91" s="263"/>
      <c r="E91" s="263"/>
      <c r="F91" s="263"/>
      <c r="G91" s="263"/>
      <c r="H91" s="263"/>
    </row>
    <row r="92" spans="1:8" ht="15">
      <c r="A92" s="263"/>
      <c r="B92" s="263"/>
      <c r="C92" s="263"/>
      <c r="D92" s="263"/>
      <c r="E92" s="263"/>
      <c r="F92" s="263"/>
      <c r="G92" s="263"/>
      <c r="H92" s="263"/>
    </row>
    <row r="93" spans="1:8" ht="15">
      <c r="A93" s="263"/>
      <c r="B93" s="263"/>
      <c r="C93" s="263"/>
      <c r="D93" s="263"/>
      <c r="E93" s="263"/>
      <c r="F93" s="263"/>
      <c r="G93" s="263"/>
      <c r="H93" s="263"/>
    </row>
    <row r="94" spans="1:8" ht="15">
      <c r="A94" s="263"/>
      <c r="B94" s="263"/>
      <c r="C94" s="263"/>
      <c r="D94" s="263"/>
      <c r="E94" s="263"/>
      <c r="F94" s="263"/>
      <c r="G94" s="263"/>
      <c r="H94" s="263"/>
    </row>
    <row r="95" spans="1:8" ht="15">
      <c r="A95" s="263"/>
      <c r="B95" s="263"/>
      <c r="C95" s="263"/>
      <c r="D95" s="263"/>
      <c r="E95" s="263"/>
      <c r="F95" s="263"/>
      <c r="G95" s="263"/>
      <c r="H95" s="263"/>
    </row>
    <row r="96" spans="1:8" ht="15">
      <c r="A96" s="263"/>
      <c r="B96" s="263"/>
      <c r="C96" s="263"/>
      <c r="D96" s="263"/>
      <c r="E96" s="263"/>
      <c r="F96" s="263"/>
      <c r="G96" s="263"/>
      <c r="H96" s="263"/>
    </row>
    <row r="97" spans="1:8" ht="15">
      <c r="A97" s="263"/>
      <c r="B97" s="263"/>
      <c r="C97" s="263"/>
      <c r="D97" s="263"/>
      <c r="E97" s="263"/>
      <c r="F97" s="263"/>
      <c r="G97" s="263"/>
      <c r="H97" s="263"/>
    </row>
    <row r="98" spans="1:8" ht="15">
      <c r="A98" s="263"/>
      <c r="B98" s="263"/>
      <c r="C98" s="263"/>
      <c r="D98" s="263"/>
      <c r="E98" s="263"/>
      <c r="F98" s="263"/>
      <c r="G98" s="263"/>
      <c r="H98" s="263"/>
    </row>
    <row r="99" spans="1:8" ht="15">
      <c r="A99" s="263"/>
      <c r="B99" s="263"/>
      <c r="C99" s="263"/>
      <c r="D99" s="263"/>
      <c r="E99" s="263"/>
      <c r="F99" s="263"/>
      <c r="G99" s="263"/>
      <c r="H99" s="263"/>
    </row>
    <row r="100" spans="1:8" ht="15">
      <c r="A100" s="263"/>
      <c r="B100" s="263"/>
      <c r="C100" s="263"/>
      <c r="D100" s="263"/>
      <c r="E100" s="263"/>
      <c r="F100" s="263"/>
      <c r="G100" s="263"/>
      <c r="H100" s="263"/>
    </row>
    <row r="101" spans="1:8" ht="15">
      <c r="A101" s="263"/>
      <c r="B101" s="263"/>
      <c r="C101" s="263"/>
      <c r="D101" s="263"/>
      <c r="E101" s="263"/>
      <c r="F101" s="263"/>
      <c r="G101" s="263"/>
      <c r="H101" s="263"/>
    </row>
    <row r="102" spans="1:8" ht="15">
      <c r="A102" s="263"/>
      <c r="B102" s="263"/>
      <c r="C102" s="263"/>
      <c r="D102" s="263"/>
      <c r="E102" s="263"/>
      <c r="F102" s="263"/>
      <c r="G102" s="263"/>
      <c r="H102" s="263"/>
    </row>
    <row r="103" spans="1:8" ht="15">
      <c r="A103" s="263"/>
      <c r="B103" s="263"/>
      <c r="C103" s="263"/>
      <c r="D103" s="263"/>
      <c r="E103" s="263"/>
      <c r="F103" s="263"/>
      <c r="G103" s="263"/>
      <c r="H103" s="263"/>
    </row>
    <row r="104" spans="1:8" ht="15">
      <c r="A104" s="263"/>
      <c r="B104" s="263"/>
      <c r="C104" s="263"/>
      <c r="D104" s="263"/>
      <c r="E104" s="263"/>
      <c r="F104" s="263"/>
      <c r="G104" s="263"/>
      <c r="H104" s="263"/>
    </row>
    <row r="105" spans="1:8" ht="15">
      <c r="A105" s="263"/>
      <c r="B105" s="263"/>
      <c r="C105" s="263"/>
      <c r="D105" s="263"/>
      <c r="E105" s="263"/>
      <c r="F105" s="263"/>
      <c r="G105" s="263"/>
      <c r="H105" s="263"/>
    </row>
    <row r="106" spans="1:8" ht="15">
      <c r="A106" s="263"/>
      <c r="B106" s="263"/>
      <c r="C106" s="263"/>
      <c r="D106" s="263"/>
      <c r="E106" s="263"/>
      <c r="F106" s="263"/>
      <c r="G106" s="263"/>
      <c r="H106" s="263"/>
    </row>
    <row r="107" spans="1:8" ht="15">
      <c r="A107" s="263"/>
      <c r="B107" s="263"/>
      <c r="C107" s="263"/>
      <c r="D107" s="263"/>
      <c r="E107" s="263"/>
      <c r="F107" s="263"/>
      <c r="G107" s="263"/>
      <c r="H107" s="263"/>
    </row>
    <row r="108" spans="1:8" ht="15">
      <c r="A108" s="263"/>
      <c r="B108" s="263"/>
      <c r="C108" s="263"/>
      <c r="D108" s="263"/>
      <c r="E108" s="263"/>
      <c r="F108" s="263"/>
      <c r="G108" s="263"/>
      <c r="H108" s="263"/>
    </row>
    <row r="109" spans="1:8" ht="15">
      <c r="A109" s="263"/>
      <c r="B109" s="263"/>
      <c r="C109" s="263"/>
      <c r="D109" s="263"/>
      <c r="E109" s="263"/>
      <c r="F109" s="263"/>
      <c r="G109" s="263"/>
      <c r="H109" s="263"/>
    </row>
    <row r="110" spans="1:8" ht="15">
      <c r="A110" s="263"/>
      <c r="B110" s="263"/>
      <c r="C110" s="263"/>
      <c r="D110" s="263"/>
      <c r="E110" s="263"/>
      <c r="F110" s="263"/>
      <c r="G110" s="263"/>
      <c r="H110" s="263"/>
    </row>
    <row r="111" spans="1:8" ht="15">
      <c r="A111" s="263"/>
      <c r="B111" s="263"/>
      <c r="C111" s="263"/>
      <c r="D111" s="263"/>
      <c r="E111" s="263"/>
      <c r="F111" s="263"/>
      <c r="G111" s="263"/>
      <c r="H111" s="263"/>
    </row>
    <row r="112" spans="1:8" ht="15">
      <c r="A112" s="263"/>
      <c r="B112" s="263"/>
      <c r="C112" s="263"/>
      <c r="D112" s="263"/>
      <c r="E112" s="263"/>
      <c r="F112" s="263"/>
      <c r="G112" s="263"/>
      <c r="H112" s="263"/>
    </row>
    <row r="113" spans="1:8" ht="15">
      <c r="A113" s="263"/>
      <c r="B113" s="263"/>
      <c r="C113" s="263"/>
      <c r="D113" s="263"/>
      <c r="E113" s="263"/>
      <c r="F113" s="263"/>
      <c r="G113" s="263"/>
      <c r="H113" s="263"/>
    </row>
    <row r="114" spans="1:8" ht="15">
      <c r="A114" s="263"/>
      <c r="B114" s="263"/>
      <c r="C114" s="263"/>
      <c r="D114" s="263"/>
      <c r="E114" s="263"/>
      <c r="F114" s="263"/>
      <c r="G114" s="263"/>
      <c r="H114" s="263"/>
    </row>
    <row r="115" spans="1:8" ht="15">
      <c r="A115" s="263"/>
      <c r="B115" s="263"/>
      <c r="C115" s="263"/>
      <c r="D115" s="263"/>
      <c r="E115" s="263"/>
      <c r="F115" s="263"/>
      <c r="G115" s="263"/>
      <c r="H115" s="263"/>
    </row>
    <row r="116" spans="1:8" ht="15">
      <c r="A116" s="263"/>
      <c r="B116" s="263"/>
      <c r="C116" s="263"/>
      <c r="D116" s="263"/>
      <c r="E116" s="263"/>
      <c r="F116" s="263"/>
      <c r="G116" s="263"/>
      <c r="H116" s="263"/>
    </row>
    <row r="117" spans="1:8" ht="15">
      <c r="A117" s="263"/>
      <c r="B117" s="263"/>
      <c r="C117" s="263"/>
      <c r="D117" s="263"/>
      <c r="E117" s="263"/>
      <c r="F117" s="263"/>
      <c r="G117" s="263"/>
      <c r="H117" s="263"/>
    </row>
  </sheetData>
  <sheetProtection password="D950" sheet="1" scenarios="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 xml:space="preserve">&amp;C&amp;"Arial,Bold"&amp;14TOWN OF BROADUS
COMBINING STATEMENT OF REVENUES, EXPENDITURES, AND CHANGES IN FUND BALANCES
PERMANENT FUNDS
FISCAL YEAR ENDED JUNE 30, 2017
</oddHeader>
  </headerFooter>
  <colBreaks count="1" manualBreakCount="1">
    <brk id="5" max="50" man="1"/>
  </col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topLeftCell="A16" zoomScaleNormal="100" workbookViewId="0">
      <selection activeCell="C27" sqref="C27"/>
    </sheetView>
  </sheetViews>
  <sheetFormatPr defaultRowHeight="12.75"/>
  <cols>
    <col min="1" max="1" width="30.7109375" customWidth="1"/>
    <col min="2" max="2" width="60.7109375" customWidth="1"/>
    <col min="3" max="3" width="20.7109375" customWidth="1"/>
  </cols>
  <sheetData>
    <row r="1" spans="1:15" ht="18">
      <c r="A1" s="1438" t="str">
        <f>+'TABLE OF CONTENTS'!A1</f>
        <v>TOWN OF BROADUS</v>
      </c>
      <c r="B1" s="1439"/>
      <c r="C1" s="1440"/>
      <c r="D1" s="2"/>
      <c r="E1" s="2"/>
      <c r="F1" s="2"/>
      <c r="G1" s="2"/>
      <c r="H1" s="2"/>
      <c r="I1" s="2"/>
      <c r="J1" s="2"/>
      <c r="K1" s="2"/>
      <c r="L1" s="2"/>
      <c r="M1" s="2"/>
      <c r="N1" s="2"/>
      <c r="O1" s="2"/>
    </row>
    <row r="2" spans="1:15" ht="18.75" thickBot="1">
      <c r="A2" s="1441" t="s">
        <v>967</v>
      </c>
      <c r="B2" s="1442"/>
      <c r="C2" s="1443"/>
      <c r="D2" s="2"/>
      <c r="E2" s="2"/>
      <c r="F2" s="2"/>
      <c r="G2" s="2"/>
      <c r="H2" s="2"/>
      <c r="I2" s="2"/>
      <c r="J2" s="2"/>
      <c r="K2" s="2"/>
      <c r="L2" s="2"/>
      <c r="M2" s="2"/>
      <c r="N2" s="2"/>
      <c r="O2" s="2"/>
    </row>
    <row r="3" spans="1:15">
      <c r="A3" s="831"/>
      <c r="B3" s="831"/>
      <c r="C3" s="831"/>
    </row>
    <row r="4" spans="1:15">
      <c r="A4" s="832" t="s">
        <v>968</v>
      </c>
      <c r="B4" s="335" t="s">
        <v>973</v>
      </c>
      <c r="C4" s="832" t="s">
        <v>977</v>
      </c>
    </row>
    <row r="5" spans="1:15" ht="13.5" thickBot="1">
      <c r="A5" s="833"/>
      <c r="B5" s="846"/>
      <c r="C5" s="832" t="s">
        <v>978</v>
      </c>
    </row>
    <row r="6" spans="1:15">
      <c r="A6" s="825" t="s">
        <v>969</v>
      </c>
      <c r="B6" s="826"/>
      <c r="C6" s="825"/>
    </row>
    <row r="7" spans="1:15">
      <c r="A7" s="827" t="s">
        <v>970</v>
      </c>
      <c r="B7" s="387"/>
      <c r="C7" s="827"/>
    </row>
    <row r="8" spans="1:15">
      <c r="A8" s="827" t="s">
        <v>970</v>
      </c>
      <c r="B8" s="387"/>
      <c r="C8" s="827"/>
    </row>
    <row r="9" spans="1:15">
      <c r="A9" s="827" t="s">
        <v>711</v>
      </c>
      <c r="B9" s="339"/>
      <c r="C9" s="828"/>
    </row>
    <row r="10" spans="1:15">
      <c r="A10" s="827" t="s">
        <v>712</v>
      </c>
      <c r="B10" s="339"/>
      <c r="C10" s="828"/>
    </row>
    <row r="11" spans="1:15">
      <c r="A11" s="827" t="s">
        <v>713</v>
      </c>
      <c r="B11" s="387"/>
      <c r="C11" s="827"/>
    </row>
    <row r="12" spans="1:15">
      <c r="A12" s="827" t="s">
        <v>962</v>
      </c>
      <c r="B12" s="387"/>
      <c r="C12" s="827"/>
    </row>
    <row r="13" spans="1:15">
      <c r="A13" s="827" t="s">
        <v>714</v>
      </c>
      <c r="B13" s="387"/>
      <c r="C13" s="827"/>
    </row>
    <row r="14" spans="1:15">
      <c r="A14" s="827" t="s">
        <v>425</v>
      </c>
      <c r="B14" s="387"/>
      <c r="C14" s="827"/>
    </row>
    <row r="15" spans="1:15">
      <c r="A15" s="827" t="s">
        <v>715</v>
      </c>
      <c r="B15" s="387"/>
      <c r="C15" s="827"/>
    </row>
    <row r="16" spans="1:15">
      <c r="A16" s="827" t="s">
        <v>971</v>
      </c>
      <c r="B16" s="387"/>
      <c r="C16" s="827"/>
    </row>
    <row r="17" spans="1:3">
      <c r="A17" s="827" t="s">
        <v>971</v>
      </c>
      <c r="B17" s="387"/>
      <c r="C17" s="827"/>
    </row>
    <row r="18" spans="1:3">
      <c r="A18" s="827" t="s">
        <v>423</v>
      </c>
      <c r="B18" s="387"/>
      <c r="C18" s="827"/>
    </row>
    <row r="19" spans="1:3">
      <c r="A19" s="827" t="s">
        <v>960</v>
      </c>
      <c r="B19" s="387"/>
      <c r="C19" s="827"/>
    </row>
    <row r="20" spans="1:3">
      <c r="A20" s="827" t="s">
        <v>961</v>
      </c>
      <c r="B20" s="387"/>
      <c r="C20" s="827"/>
    </row>
    <row r="21" spans="1:3">
      <c r="A21" s="827"/>
      <c r="B21" s="387"/>
      <c r="C21" s="827"/>
    </row>
    <row r="22" spans="1:3" ht="13.5" thickBot="1">
      <c r="A22" s="829"/>
      <c r="B22" s="830"/>
      <c r="C22" s="829"/>
    </row>
    <row r="23" spans="1:3">
      <c r="A23" s="831"/>
      <c r="B23" s="831"/>
      <c r="C23" s="831"/>
    </row>
    <row r="24" spans="1:3">
      <c r="A24" s="832" t="s">
        <v>968</v>
      </c>
      <c r="B24" s="335" t="s">
        <v>972</v>
      </c>
      <c r="C24" s="832" t="s">
        <v>977</v>
      </c>
    </row>
    <row r="25" spans="1:3" ht="13.5" thickBot="1">
      <c r="A25" s="833"/>
      <c r="B25" s="833"/>
      <c r="C25" s="832" t="s">
        <v>978</v>
      </c>
    </row>
    <row r="26" spans="1:3">
      <c r="A26" s="834" t="s">
        <v>963</v>
      </c>
      <c r="B26" s="825" t="s">
        <v>3661</v>
      </c>
      <c r="C26" s="835">
        <v>2022</v>
      </c>
    </row>
    <row r="27" spans="1:3">
      <c r="A27" s="407" t="s">
        <v>974</v>
      </c>
      <c r="B27" s="828" t="s">
        <v>3662</v>
      </c>
      <c r="C27" s="408">
        <v>2018</v>
      </c>
    </row>
    <row r="28" spans="1:3">
      <c r="A28" s="407" t="s">
        <v>974</v>
      </c>
      <c r="B28" s="828" t="s">
        <v>3663</v>
      </c>
      <c r="C28" s="408">
        <v>2018</v>
      </c>
    </row>
    <row r="29" spans="1:3">
      <c r="A29" s="407" t="s">
        <v>974</v>
      </c>
      <c r="B29" s="828" t="s">
        <v>3664</v>
      </c>
      <c r="C29" s="408">
        <v>2022</v>
      </c>
    </row>
    <row r="30" spans="1:3">
      <c r="A30" s="407" t="s">
        <v>974</v>
      </c>
      <c r="B30" s="828" t="s">
        <v>3665</v>
      </c>
      <c r="C30" s="408">
        <v>2020</v>
      </c>
    </row>
    <row r="31" spans="1:3">
      <c r="A31" s="407" t="s">
        <v>974</v>
      </c>
      <c r="B31" s="828"/>
      <c r="C31" s="408"/>
    </row>
    <row r="32" spans="1:3">
      <c r="A32" s="407" t="s">
        <v>974</v>
      </c>
      <c r="B32" s="828"/>
      <c r="C32" s="408"/>
    </row>
    <row r="33" spans="1:3">
      <c r="A33" s="407" t="s">
        <v>974</v>
      </c>
      <c r="B33" s="828"/>
      <c r="C33" s="408"/>
    </row>
    <row r="34" spans="1:3">
      <c r="A34" s="407" t="s">
        <v>974</v>
      </c>
      <c r="B34" s="828"/>
      <c r="C34" s="408"/>
    </row>
    <row r="35" spans="1:3">
      <c r="A35" s="407" t="s">
        <v>964</v>
      </c>
      <c r="B35" s="828"/>
      <c r="C35" s="408"/>
    </row>
    <row r="36" spans="1:3">
      <c r="A36" s="407" t="s">
        <v>712</v>
      </c>
      <c r="B36" s="828" t="s">
        <v>3666</v>
      </c>
      <c r="C36" s="408"/>
    </row>
    <row r="37" spans="1:3">
      <c r="A37" s="407" t="s">
        <v>965</v>
      </c>
      <c r="B37" s="828"/>
      <c r="C37" s="408"/>
    </row>
    <row r="38" spans="1:3">
      <c r="A38" s="407" t="s">
        <v>966</v>
      </c>
      <c r="B38" s="828"/>
      <c r="C38" s="408"/>
    </row>
    <row r="39" spans="1:3">
      <c r="A39" s="407" t="s">
        <v>975</v>
      </c>
      <c r="B39" s="828" t="s">
        <v>3667</v>
      </c>
      <c r="C39" s="408"/>
    </row>
    <row r="40" spans="1:3">
      <c r="A40" s="407" t="s">
        <v>976</v>
      </c>
      <c r="B40" s="828"/>
      <c r="C40" s="408"/>
    </row>
    <row r="41" spans="1:3">
      <c r="A41" s="407" t="s">
        <v>668</v>
      </c>
      <c r="B41" s="828" t="s">
        <v>3668</v>
      </c>
      <c r="C41" s="408"/>
    </row>
    <row r="42" spans="1:3">
      <c r="A42" s="407" t="s">
        <v>962</v>
      </c>
      <c r="B42" s="828"/>
      <c r="C42" s="408"/>
    </row>
    <row r="43" spans="1:3">
      <c r="A43" s="836" t="s">
        <v>669</v>
      </c>
      <c r="B43" s="827"/>
      <c r="C43" s="837"/>
    </row>
    <row r="44" spans="1:3">
      <c r="A44" s="838"/>
      <c r="B44" s="827"/>
      <c r="C44" s="837"/>
    </row>
    <row r="45" spans="1:3" ht="13.5" thickBot="1">
      <c r="A45" s="839"/>
      <c r="B45" s="829"/>
      <c r="C45" s="840"/>
    </row>
    <row r="46" spans="1:3" ht="14.25">
      <c r="A46" s="1444" t="s">
        <v>1558</v>
      </c>
      <c r="B46" s="1445"/>
      <c r="C46" s="1446"/>
    </row>
    <row r="47" spans="1:3" ht="14.25">
      <c r="A47" s="1435" t="str">
        <f>A1</f>
        <v>TOWN OF BROADUS</v>
      </c>
      <c r="B47" s="1436"/>
      <c r="C47" s="1437"/>
    </row>
    <row r="48" spans="1:3" ht="14.25">
      <c r="A48" s="1435" t="s">
        <v>1551</v>
      </c>
      <c r="B48" s="1436"/>
      <c r="C48" s="1437"/>
    </row>
    <row r="49" spans="1:3" ht="14.25">
      <c r="A49" s="1435" t="str">
        <f>'COVER PAGE'!A30</f>
        <v>FISCAL YEAR ENDING JUNE 30, 2017</v>
      </c>
      <c r="B49" s="1436"/>
      <c r="C49" s="1437"/>
    </row>
    <row r="50" spans="1:3">
      <c r="A50" s="55"/>
      <c r="B50" s="42"/>
      <c r="C50" s="24"/>
    </row>
    <row r="51" spans="1:3">
      <c r="A51" s="55"/>
      <c r="C51" s="24"/>
    </row>
    <row r="52" spans="1:3">
      <c r="A52" s="55"/>
      <c r="C52" s="24"/>
    </row>
    <row r="53" spans="1:3">
      <c r="A53" s="55"/>
      <c r="C53" s="24"/>
    </row>
    <row r="54" spans="1:3">
      <c r="A54" s="55"/>
      <c r="C54" s="24"/>
    </row>
    <row r="55" spans="1:3">
      <c r="A55" s="55"/>
      <c r="B55" s="29"/>
      <c r="C55" s="24"/>
    </row>
    <row r="56" spans="1:3">
      <c r="A56" s="55"/>
      <c r="B56" s="42"/>
      <c r="C56" s="24"/>
    </row>
    <row r="57" spans="1:3">
      <c r="A57" s="405"/>
      <c r="B57" s="335" t="s">
        <v>1426</v>
      </c>
      <c r="C57" s="406"/>
    </row>
    <row r="58" spans="1:3">
      <c r="A58" s="405"/>
      <c r="B58" s="261"/>
      <c r="C58" s="406"/>
    </row>
    <row r="59" spans="1:3">
      <c r="A59" s="405"/>
      <c r="B59" s="261"/>
      <c r="C59" s="406"/>
    </row>
    <row r="60" spans="1:3" ht="13.5" thickBot="1">
      <c r="A60" s="405"/>
      <c r="B60" s="409"/>
      <c r="C60" s="406"/>
    </row>
    <row r="61" spans="1:3" ht="15.75">
      <c r="A61" s="822"/>
      <c r="B61" s="335" t="s">
        <v>1425</v>
      </c>
      <c r="C61" s="823"/>
    </row>
    <row r="62" spans="1:3">
      <c r="A62" s="405"/>
      <c r="B62" s="261"/>
      <c r="C62" s="406"/>
    </row>
    <row r="63" spans="1:3" ht="16.5" thickBot="1">
      <c r="A63" s="824"/>
      <c r="B63" s="409"/>
      <c r="C63" s="406"/>
    </row>
    <row r="64" spans="1:3">
      <c r="A64" s="405"/>
      <c r="B64" s="335" t="s">
        <v>450</v>
      </c>
      <c r="C64" s="406"/>
    </row>
    <row r="65" spans="1:3" ht="13.5" thickBot="1">
      <c r="A65" s="37"/>
      <c r="B65" s="1"/>
      <c r="C65" s="23"/>
    </row>
    <row r="66" spans="1:3" ht="15.75">
      <c r="A66" s="123" t="s">
        <v>670</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79"/>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F29" sqref="F29"/>
    </sheetView>
  </sheetViews>
  <sheetFormatPr defaultColWidth="8.85546875" defaultRowHeight="12.75"/>
  <cols>
    <col min="1" max="1" width="4.7109375" style="261" customWidth="1"/>
    <col min="2" max="2" width="12.7109375" style="261" customWidth="1"/>
    <col min="3" max="3" width="55.7109375" style="261" customWidth="1"/>
    <col min="4" max="8" width="18.7109375" style="261" customWidth="1"/>
    <col min="9" max="16384" width="8.85546875" style="261"/>
  </cols>
  <sheetData>
    <row r="1" spans="1:8" ht="18">
      <c r="B1" s="276"/>
      <c r="C1" s="259" t="str">
        <f>+'TABLE OF CONTENTS'!A1</f>
        <v>TOWN OF BROADUS</v>
      </c>
      <c r="D1" s="276"/>
      <c r="E1" s="276"/>
      <c r="F1" s="276"/>
      <c r="G1" s="276"/>
      <c r="H1" s="276"/>
    </row>
    <row r="2" spans="1:8" ht="18">
      <c r="B2" s="276"/>
      <c r="C2" s="259" t="s">
        <v>1794</v>
      </c>
      <c r="D2" s="276"/>
      <c r="E2" s="276"/>
      <c r="F2" s="276"/>
      <c r="G2" s="276"/>
      <c r="H2" s="276"/>
    </row>
    <row r="3" spans="1:8" ht="18">
      <c r="B3" s="276"/>
      <c r="C3" s="259" t="s">
        <v>929</v>
      </c>
      <c r="D3" s="276"/>
      <c r="E3" s="276"/>
      <c r="F3" s="276"/>
      <c r="G3" s="276"/>
      <c r="H3" s="276"/>
    </row>
    <row r="4" spans="1:8" ht="18">
      <c r="B4" s="276"/>
      <c r="C4" s="262" t="str">
        <f>+'TABLE OF CONTENTS'!A4</f>
        <v>FISCAL YEAR ENDING JUNE 30, 2017</v>
      </c>
      <c r="D4" s="276"/>
      <c r="E4" s="276"/>
      <c r="F4" s="276"/>
      <c r="G4" s="276"/>
      <c r="H4" s="276"/>
    </row>
    <row r="5" spans="1:8" ht="18.75" thickBot="1">
      <c r="C5" s="262"/>
      <c r="D5" s="264"/>
      <c r="E5" s="318"/>
      <c r="F5" s="318"/>
      <c r="G5" s="318"/>
      <c r="H5" s="318"/>
    </row>
    <row r="7" spans="1:8" ht="16.5" thickBot="1">
      <c r="B7" s="263"/>
      <c r="C7" s="263"/>
      <c r="D7" s="264" t="s">
        <v>1368</v>
      </c>
      <c r="E7" s="265"/>
      <c r="F7" s="265"/>
      <c r="G7" s="264"/>
      <c r="H7" s="263"/>
    </row>
    <row r="8" spans="1:8" ht="15.75">
      <c r="B8" s="266" t="s">
        <v>177</v>
      </c>
      <c r="C8" s="266"/>
      <c r="D8" s="266" t="s">
        <v>1910</v>
      </c>
      <c r="E8" s="777" t="s">
        <v>1910</v>
      </c>
      <c r="F8" s="777" t="s">
        <v>1910</v>
      </c>
      <c r="G8" s="777" t="s">
        <v>1910</v>
      </c>
      <c r="H8" s="411"/>
    </row>
    <row r="9" spans="1:8" ht="16.5" thickBot="1">
      <c r="B9" s="267" t="s">
        <v>178</v>
      </c>
      <c r="C9" s="267" t="s">
        <v>179</v>
      </c>
      <c r="D9" s="267" t="s">
        <v>1017</v>
      </c>
      <c r="E9" s="267" t="s">
        <v>1017</v>
      </c>
      <c r="F9" s="267" t="s">
        <v>1017</v>
      </c>
      <c r="G9" s="267" t="s">
        <v>1017</v>
      </c>
      <c r="H9" s="676" t="s">
        <v>196</v>
      </c>
    </row>
    <row r="10" spans="1:8" ht="15.75">
      <c r="A10" s="308"/>
      <c r="B10" s="428"/>
      <c r="C10" s="431" t="s">
        <v>1060</v>
      </c>
      <c r="D10" s="326"/>
      <c r="E10" s="326"/>
      <c r="F10" s="326"/>
      <c r="G10" s="326"/>
      <c r="H10" s="326"/>
    </row>
    <row r="11" spans="1:8" s="308" customFormat="1" ht="15.75">
      <c r="B11" s="428"/>
      <c r="C11" s="431" t="s">
        <v>200</v>
      </c>
      <c r="D11" s="326"/>
      <c r="E11" s="326"/>
      <c r="F11" s="326"/>
      <c r="G11" s="326"/>
      <c r="H11" s="326"/>
    </row>
    <row r="12" spans="1:8" ht="15">
      <c r="A12" s="308"/>
      <c r="B12" s="429">
        <v>101000</v>
      </c>
      <c r="C12" s="411" t="s">
        <v>1061</v>
      </c>
      <c r="D12" s="269"/>
      <c r="E12" s="269"/>
      <c r="F12" s="269"/>
      <c r="G12" s="269"/>
      <c r="H12" s="277">
        <f t="shared" ref="H12:H20" si="0">SUM(D12:G12)</f>
        <v>0</v>
      </c>
    </row>
    <row r="13" spans="1:8" ht="15">
      <c r="A13" s="308"/>
      <c r="B13" s="429">
        <v>103000</v>
      </c>
      <c r="C13" s="411" t="s">
        <v>1205</v>
      </c>
      <c r="D13" s="269"/>
      <c r="E13" s="269"/>
      <c r="F13" s="269"/>
      <c r="G13" s="269"/>
      <c r="H13" s="277">
        <f t="shared" si="0"/>
        <v>0</v>
      </c>
    </row>
    <row r="14" spans="1:8" ht="15">
      <c r="A14" s="308"/>
      <c r="B14" s="429">
        <v>101100</v>
      </c>
      <c r="C14" s="411" t="s">
        <v>852</v>
      </c>
      <c r="D14" s="269"/>
      <c r="E14" s="269"/>
      <c r="F14" s="269"/>
      <c r="G14" s="269"/>
      <c r="H14" s="277">
        <f t="shared" si="0"/>
        <v>0</v>
      </c>
    </row>
    <row r="15" spans="1:8" ht="30">
      <c r="A15" s="308"/>
      <c r="B15" s="429">
        <v>110000</v>
      </c>
      <c r="C15" s="678" t="s">
        <v>1208</v>
      </c>
      <c r="D15" s="269"/>
      <c r="E15" s="269"/>
      <c r="F15" s="269"/>
      <c r="G15" s="269"/>
      <c r="H15" s="277">
        <f t="shared" si="0"/>
        <v>0</v>
      </c>
    </row>
    <row r="16" spans="1:8" ht="30">
      <c r="A16" s="308"/>
      <c r="B16" s="429">
        <v>120000</v>
      </c>
      <c r="C16" s="678" t="s">
        <v>666</v>
      </c>
      <c r="D16" s="269"/>
      <c r="E16" s="269"/>
      <c r="F16" s="269"/>
      <c r="G16" s="269"/>
      <c r="H16" s="277">
        <f t="shared" si="0"/>
        <v>0</v>
      </c>
    </row>
    <row r="17" spans="1:8" ht="15">
      <c r="A17" s="308"/>
      <c r="B17" s="429">
        <v>131000</v>
      </c>
      <c r="C17" s="411" t="s">
        <v>249</v>
      </c>
      <c r="D17" s="269"/>
      <c r="E17" s="269"/>
      <c r="F17" s="269"/>
      <c r="G17" s="269"/>
      <c r="H17" s="277">
        <f t="shared" si="0"/>
        <v>0</v>
      </c>
    </row>
    <row r="18" spans="1:8" ht="15">
      <c r="A18" s="308"/>
      <c r="B18" s="429">
        <v>132000</v>
      </c>
      <c r="C18" s="411" t="s">
        <v>250</v>
      </c>
      <c r="D18" s="269"/>
      <c r="E18" s="269"/>
      <c r="F18" s="269"/>
      <c r="G18" s="269"/>
      <c r="H18" s="277">
        <f t="shared" si="0"/>
        <v>0</v>
      </c>
    </row>
    <row r="19" spans="1:8" ht="15">
      <c r="A19" s="308"/>
      <c r="B19" s="429">
        <v>141000</v>
      </c>
      <c r="C19" s="411" t="s">
        <v>202</v>
      </c>
      <c r="D19" s="269"/>
      <c r="E19" s="269"/>
      <c r="F19" s="269"/>
      <c r="G19" s="269"/>
      <c r="H19" s="277">
        <f t="shared" si="0"/>
        <v>0</v>
      </c>
    </row>
    <row r="20" spans="1:8" ht="15.75" thickBot="1">
      <c r="A20" s="308"/>
      <c r="B20" s="429">
        <v>150000</v>
      </c>
      <c r="C20" s="411" t="s">
        <v>1065</v>
      </c>
      <c r="D20" s="271"/>
      <c r="E20" s="271"/>
      <c r="F20" s="271"/>
      <c r="G20" s="271"/>
      <c r="H20" s="277">
        <f t="shared" si="0"/>
        <v>0</v>
      </c>
    </row>
    <row r="21" spans="1:8" s="308" customFormat="1" ht="16.5" thickBot="1">
      <c r="B21" s="429"/>
      <c r="C21" s="430" t="s">
        <v>820</v>
      </c>
      <c r="D21" s="279">
        <f>SUM(D11:D20)</f>
        <v>0</v>
      </c>
      <c r="E21" s="279">
        <f>SUM(E11:E20)</f>
        <v>0</v>
      </c>
      <c r="F21" s="279">
        <f>SUM(F11:F20)</f>
        <v>0</v>
      </c>
      <c r="G21" s="279">
        <f>SUM(G11:G20)</f>
        <v>0</v>
      </c>
      <c r="H21" s="279">
        <f>SUM(H11:H20)</f>
        <v>0</v>
      </c>
    </row>
    <row r="22" spans="1:8" s="308" customFormat="1" ht="15.75">
      <c r="B22" s="429"/>
      <c r="C22" s="431" t="s">
        <v>201</v>
      </c>
      <c r="D22" s="277"/>
      <c r="E22" s="277"/>
      <c r="F22" s="277"/>
      <c r="G22" s="277"/>
      <c r="H22" s="277"/>
    </row>
    <row r="23" spans="1:8" s="308" customFormat="1" ht="15">
      <c r="B23" s="429"/>
      <c r="C23" s="411" t="s">
        <v>1066</v>
      </c>
      <c r="D23" s="277"/>
      <c r="E23" s="277"/>
      <c r="F23" s="277"/>
      <c r="G23" s="277"/>
      <c r="H23" s="277"/>
    </row>
    <row r="24" spans="1:8" ht="15">
      <c r="A24" s="308"/>
      <c r="B24" s="429">
        <v>102200</v>
      </c>
      <c r="C24" s="411" t="s">
        <v>1206</v>
      </c>
      <c r="D24" s="269"/>
      <c r="E24" s="269"/>
      <c r="F24" s="269"/>
      <c r="G24" s="269"/>
      <c r="H24" s="277">
        <f>SUM(D24:G24)</f>
        <v>0</v>
      </c>
    </row>
    <row r="25" spans="1:8" ht="15">
      <c r="A25" s="308"/>
      <c r="B25" s="429">
        <v>102300</v>
      </c>
      <c r="C25" s="411" t="s">
        <v>1207</v>
      </c>
      <c r="D25" s="269"/>
      <c r="E25" s="269"/>
      <c r="F25" s="269"/>
      <c r="G25" s="269"/>
      <c r="H25" s="277">
        <f>SUM(D25:G25)</f>
        <v>0</v>
      </c>
    </row>
    <row r="26" spans="1:8" ht="15">
      <c r="A26" s="308"/>
      <c r="B26" s="429">
        <v>133000</v>
      </c>
      <c r="C26" s="411" t="s">
        <v>1209</v>
      </c>
      <c r="D26" s="269"/>
      <c r="E26" s="269"/>
      <c r="F26" s="269"/>
      <c r="G26" s="269"/>
      <c r="H26" s="277">
        <f>SUM(D26:G26)</f>
        <v>0</v>
      </c>
    </row>
    <row r="27" spans="1:8" ht="15" customHeight="1">
      <c r="A27" s="308"/>
      <c r="B27" s="429">
        <v>170000</v>
      </c>
      <c r="C27" s="411" t="s">
        <v>180</v>
      </c>
      <c r="D27" s="269"/>
      <c r="E27" s="269"/>
      <c r="F27" s="269"/>
      <c r="G27" s="269"/>
      <c r="H27" s="277">
        <f>SUM(D27:G27)</f>
        <v>0</v>
      </c>
    </row>
    <row r="28" spans="1:8" s="308" customFormat="1" ht="15">
      <c r="B28" s="429">
        <v>180000</v>
      </c>
      <c r="C28" s="411" t="s">
        <v>659</v>
      </c>
      <c r="D28" s="277"/>
      <c r="E28" s="277"/>
      <c r="F28" s="277"/>
      <c r="G28" s="277"/>
      <c r="H28" s="277"/>
    </row>
    <row r="29" spans="1:8" ht="15">
      <c r="A29" s="308"/>
      <c r="B29" s="429"/>
      <c r="C29" s="411" t="s">
        <v>654</v>
      </c>
      <c r="D29" s="269"/>
      <c r="E29" s="269"/>
      <c r="F29" s="269"/>
      <c r="G29" s="269"/>
      <c r="H29" s="277">
        <f t="shared" ref="H29:H35" si="1">SUM(D29:G29)</f>
        <v>0</v>
      </c>
    </row>
    <row r="30" spans="1:8" ht="15">
      <c r="A30" s="308"/>
      <c r="B30" s="429"/>
      <c r="C30" s="411" t="s">
        <v>655</v>
      </c>
      <c r="D30" s="269"/>
      <c r="E30" s="269"/>
      <c r="F30" s="269"/>
      <c r="G30" s="269"/>
      <c r="H30" s="277">
        <f t="shared" si="1"/>
        <v>0</v>
      </c>
    </row>
    <row r="31" spans="1:8" ht="15">
      <c r="A31" s="308"/>
      <c r="B31" s="429"/>
      <c r="C31" s="411" t="s">
        <v>640</v>
      </c>
      <c r="D31" s="269"/>
      <c r="E31" s="269"/>
      <c r="F31" s="269"/>
      <c r="G31" s="269"/>
      <c r="H31" s="277">
        <f t="shared" si="1"/>
        <v>0</v>
      </c>
    </row>
    <row r="32" spans="1:8" ht="15">
      <c r="A32" s="308"/>
      <c r="B32" s="429"/>
      <c r="C32" s="411" t="s">
        <v>656</v>
      </c>
      <c r="D32" s="269"/>
      <c r="E32" s="269"/>
      <c r="F32" s="269"/>
      <c r="G32" s="269"/>
      <c r="H32" s="277">
        <f t="shared" si="1"/>
        <v>0</v>
      </c>
    </row>
    <row r="33" spans="1:9" ht="15">
      <c r="A33" s="308"/>
      <c r="B33" s="429"/>
      <c r="C33" s="411" t="s">
        <v>657</v>
      </c>
      <c r="D33" s="269"/>
      <c r="E33" s="269"/>
      <c r="F33" s="269"/>
      <c r="G33" s="269"/>
      <c r="H33" s="277">
        <f t="shared" si="1"/>
        <v>0</v>
      </c>
    </row>
    <row r="34" spans="1:9" ht="15">
      <c r="A34" s="308"/>
      <c r="B34" s="429"/>
      <c r="C34" s="411" t="s">
        <v>639</v>
      </c>
      <c r="D34" s="269"/>
      <c r="E34" s="269"/>
      <c r="F34" s="269"/>
      <c r="G34" s="269"/>
      <c r="H34" s="277">
        <f t="shared" si="1"/>
        <v>0</v>
      </c>
    </row>
    <row r="35" spans="1:9" ht="15">
      <c r="A35" s="308"/>
      <c r="B35" s="429"/>
      <c r="C35" s="411" t="s">
        <v>658</v>
      </c>
      <c r="D35" s="269"/>
      <c r="E35" s="269"/>
      <c r="F35" s="269"/>
      <c r="G35" s="269"/>
      <c r="H35" s="277">
        <f t="shared" si="1"/>
        <v>0</v>
      </c>
    </row>
    <row r="36" spans="1:9" s="308" customFormat="1" ht="15.75" thickBot="1">
      <c r="B36" s="429"/>
      <c r="C36" s="411" t="s">
        <v>203</v>
      </c>
      <c r="D36" s="278">
        <f>+D29+D30+D31+D32+D33+D34+D35</f>
        <v>0</v>
      </c>
      <c r="E36" s="278">
        <f>+E29+E30+E31+E32+E33+E34+E35</f>
        <v>0</v>
      </c>
      <c r="F36" s="278">
        <f>+F29+F30+F31+F32+F33+F34+F35</f>
        <v>0</v>
      </c>
      <c r="G36" s="278">
        <f>+G29+G30+G31+G32+G33+G34+G35</f>
        <v>0</v>
      </c>
      <c r="H36" s="277">
        <f>SUM(D36:G36)</f>
        <v>0</v>
      </c>
    </row>
    <row r="37" spans="1:9" s="308" customFormat="1" ht="16.5" thickBot="1">
      <c r="B37" s="429"/>
      <c r="C37" s="430" t="s">
        <v>819</v>
      </c>
      <c r="D37" s="279">
        <f>SUM(D24:D35)</f>
        <v>0</v>
      </c>
      <c r="E37" s="279">
        <f>SUM(E24:E35)</f>
        <v>0</v>
      </c>
      <c r="F37" s="279">
        <f>SUM(F24:F35)</f>
        <v>0</v>
      </c>
      <c r="G37" s="279">
        <f>SUM(G24:G35)</f>
        <v>0</v>
      </c>
      <c r="H37" s="279">
        <f>SUM(H24:H35)</f>
        <v>0</v>
      </c>
    </row>
    <row r="38" spans="1:9" s="308" customFormat="1" ht="16.5" thickBot="1">
      <c r="B38" s="429"/>
      <c r="C38" s="677" t="s">
        <v>1069</v>
      </c>
      <c r="D38" s="280">
        <f>+D21+D37</f>
        <v>0</v>
      </c>
      <c r="E38" s="280">
        <f>+E21+E37</f>
        <v>0</v>
      </c>
      <c r="F38" s="280">
        <f>+F21+F37</f>
        <v>0</v>
      </c>
      <c r="G38" s="280">
        <f>+G21+G37</f>
        <v>0</v>
      </c>
      <c r="H38" s="280">
        <f>+H21+H37</f>
        <v>0</v>
      </c>
    </row>
    <row r="39" spans="1:9" s="308" customFormat="1" ht="16.5" thickTop="1">
      <c r="B39" s="429"/>
      <c r="C39" s="677"/>
      <c r="D39" s="307"/>
      <c r="E39" s="307"/>
      <c r="F39" s="307"/>
      <c r="G39" s="307"/>
      <c r="H39" s="307"/>
    </row>
    <row r="40" spans="1:9" s="308" customFormat="1" ht="15.75">
      <c r="B40" s="429"/>
      <c r="C40" s="677" t="s">
        <v>1903</v>
      </c>
      <c r="D40" s="307"/>
      <c r="E40" s="307"/>
      <c r="F40" s="307"/>
      <c r="G40" s="307"/>
      <c r="H40" s="307"/>
    </row>
    <row r="41" spans="1:9" ht="15">
      <c r="B41" s="300">
        <v>190000</v>
      </c>
      <c r="C41" s="263" t="s">
        <v>1904</v>
      </c>
      <c r="D41" s="303"/>
      <c r="E41" s="303"/>
      <c r="F41" s="303"/>
      <c r="G41" s="303"/>
      <c r="H41" s="307">
        <f>SUM(D41:G41)</f>
        <v>0</v>
      </c>
      <c r="I41" s="307"/>
    </row>
    <row r="42" spans="1:9" ht="15.75" thickBot="1">
      <c r="B42" s="300" t="s">
        <v>1957</v>
      </c>
      <c r="C42" s="263" t="s">
        <v>1914</v>
      </c>
      <c r="D42" s="271"/>
      <c r="E42" s="271"/>
      <c r="F42" s="271"/>
      <c r="G42" s="271"/>
      <c r="H42" s="307">
        <f>SUM(D42:G42)</f>
        <v>0</v>
      </c>
    </row>
    <row r="43" spans="1:9" s="308" customFormat="1" ht="16.5" thickBot="1">
      <c r="B43" s="429"/>
      <c r="C43" s="430" t="s">
        <v>1905</v>
      </c>
      <c r="D43" s="280">
        <f>SUM(D41:D42)</f>
        <v>0</v>
      </c>
      <c r="E43" s="280">
        <f t="shared" ref="E43:H43" si="2">SUM(E41:E42)</f>
        <v>0</v>
      </c>
      <c r="F43" s="280">
        <f t="shared" si="2"/>
        <v>0</v>
      </c>
      <c r="G43" s="280">
        <f t="shared" si="2"/>
        <v>0</v>
      </c>
      <c r="H43" s="280">
        <f t="shared" si="2"/>
        <v>0</v>
      </c>
    </row>
    <row r="44" spans="1:9" s="308" customFormat="1" ht="15.75" thickTop="1">
      <c r="A44" s="702"/>
      <c r="B44" s="429"/>
      <c r="C44" s="411"/>
      <c r="D44" s="277"/>
      <c r="E44" s="277"/>
      <c r="F44" s="277"/>
      <c r="G44" s="277"/>
      <c r="H44" s="277"/>
    </row>
    <row r="45" spans="1:9" s="308" customFormat="1" ht="15.75">
      <c r="B45" s="429"/>
      <c r="C45" s="431" t="s">
        <v>1070</v>
      </c>
      <c r="D45" s="277"/>
      <c r="E45" s="277"/>
      <c r="F45" s="277"/>
      <c r="G45" s="277"/>
      <c r="H45" s="277"/>
    </row>
    <row r="46" spans="1:9" s="308" customFormat="1" ht="15.75">
      <c r="B46" s="429"/>
      <c r="C46" s="431" t="s">
        <v>204</v>
      </c>
      <c r="D46" s="277"/>
      <c r="E46" s="277"/>
      <c r="F46" s="277"/>
      <c r="G46" s="277"/>
      <c r="H46" s="277"/>
    </row>
    <row r="47" spans="1:9" ht="15">
      <c r="A47" s="308"/>
      <c r="B47" s="429">
        <v>202100</v>
      </c>
      <c r="C47" s="411" t="s">
        <v>205</v>
      </c>
      <c r="D47" s="269"/>
      <c r="E47" s="269"/>
      <c r="F47" s="269"/>
      <c r="G47" s="269"/>
      <c r="H47" s="277">
        <f t="shared" ref="H47:H56" si="3">SUM(D47:G47)</f>
        <v>0</v>
      </c>
    </row>
    <row r="48" spans="1:9" ht="15">
      <c r="A48" s="308"/>
      <c r="B48" s="429">
        <v>203100</v>
      </c>
      <c r="C48" s="411" t="s">
        <v>288</v>
      </c>
      <c r="D48" s="269"/>
      <c r="E48" s="269"/>
      <c r="F48" s="269"/>
      <c r="G48" s="269"/>
      <c r="H48" s="277">
        <f t="shared" si="3"/>
        <v>0</v>
      </c>
    </row>
    <row r="49" spans="1:8" ht="15">
      <c r="A49" s="308"/>
      <c r="B49" s="429">
        <v>204000</v>
      </c>
      <c r="C49" s="411" t="s">
        <v>814</v>
      </c>
      <c r="D49" s="269"/>
      <c r="E49" s="269"/>
      <c r="F49" s="269"/>
      <c r="G49" s="269"/>
      <c r="H49" s="277">
        <f t="shared" si="3"/>
        <v>0</v>
      </c>
    </row>
    <row r="50" spans="1:8" ht="15">
      <c r="A50" s="308"/>
      <c r="B50" s="429">
        <v>205200</v>
      </c>
      <c r="C50" s="411" t="s">
        <v>287</v>
      </c>
      <c r="D50" s="269"/>
      <c r="E50" s="269"/>
      <c r="F50" s="269"/>
      <c r="G50" s="269"/>
      <c r="H50" s="277">
        <f t="shared" si="3"/>
        <v>0</v>
      </c>
    </row>
    <row r="51" spans="1:8" ht="15">
      <c r="A51" s="308"/>
      <c r="B51" s="429">
        <v>206100</v>
      </c>
      <c r="C51" s="411" t="s">
        <v>1180</v>
      </c>
      <c r="D51" s="269"/>
      <c r="E51" s="269"/>
      <c r="F51" s="269"/>
      <c r="G51" s="269"/>
      <c r="H51" s="277">
        <f t="shared" si="3"/>
        <v>0</v>
      </c>
    </row>
    <row r="52" spans="1:8" ht="15">
      <c r="A52" s="308"/>
      <c r="B52" s="429">
        <v>209100</v>
      </c>
      <c r="C52" s="411" t="s">
        <v>815</v>
      </c>
      <c r="D52" s="269"/>
      <c r="E52" s="269"/>
      <c r="F52" s="269"/>
      <c r="G52" s="269"/>
      <c r="H52" s="277">
        <f t="shared" si="3"/>
        <v>0</v>
      </c>
    </row>
    <row r="53" spans="1:8" ht="15">
      <c r="A53" s="308"/>
      <c r="B53" s="429">
        <v>211000</v>
      </c>
      <c r="C53" s="411" t="s">
        <v>1182</v>
      </c>
      <c r="D53" s="269"/>
      <c r="E53" s="269"/>
      <c r="F53" s="269"/>
      <c r="G53" s="269"/>
      <c r="H53" s="277">
        <f t="shared" si="3"/>
        <v>0</v>
      </c>
    </row>
    <row r="54" spans="1:8" ht="15">
      <c r="A54" s="308"/>
      <c r="B54" s="429">
        <v>212000</v>
      </c>
      <c r="C54" s="411" t="s">
        <v>1204</v>
      </c>
      <c r="D54" s="269"/>
      <c r="E54" s="269"/>
      <c r="F54" s="269"/>
      <c r="G54" s="269"/>
      <c r="H54" s="277">
        <f t="shared" si="3"/>
        <v>0</v>
      </c>
    </row>
    <row r="55" spans="1:8" ht="15">
      <c r="A55" s="308"/>
      <c r="B55" s="429">
        <v>214000</v>
      </c>
      <c r="C55" s="411" t="s">
        <v>811</v>
      </c>
      <c r="D55" s="303"/>
      <c r="E55" s="303"/>
      <c r="F55" s="303"/>
      <c r="G55" s="303"/>
      <c r="H55" s="277">
        <f t="shared" si="3"/>
        <v>0</v>
      </c>
    </row>
    <row r="56" spans="1:8" ht="15.75" thickBot="1">
      <c r="A56" s="308"/>
      <c r="B56" s="429">
        <v>216000</v>
      </c>
      <c r="C56" s="411" t="s">
        <v>2033</v>
      </c>
      <c r="D56" s="303"/>
      <c r="E56" s="303"/>
      <c r="F56" s="303"/>
      <c r="G56" s="303"/>
      <c r="H56" s="277">
        <f t="shared" si="3"/>
        <v>0</v>
      </c>
    </row>
    <row r="57" spans="1:8" s="308" customFormat="1" ht="16.5" thickBot="1">
      <c r="B57" s="429"/>
      <c r="C57" s="430" t="s">
        <v>817</v>
      </c>
      <c r="D57" s="279">
        <f>SUM(D47:D55)</f>
        <v>0</v>
      </c>
      <c r="E57" s="279">
        <f>SUM(E47:E55)</f>
        <v>0</v>
      </c>
      <c r="F57" s="279">
        <f>SUM(F47:F55)</f>
        <v>0</v>
      </c>
      <c r="G57" s="279">
        <f>SUM(G47:G55)</f>
        <v>0</v>
      </c>
      <c r="H57" s="279">
        <f>SUM(H47:H56)</f>
        <v>0</v>
      </c>
    </row>
    <row r="58" spans="1:8" s="308" customFormat="1" ht="15.75">
      <c r="B58" s="429"/>
      <c r="C58" s="431" t="s">
        <v>1181</v>
      </c>
      <c r="D58" s="277"/>
      <c r="E58" s="277"/>
      <c r="F58" s="277"/>
      <c r="G58" s="277"/>
      <c r="H58" s="277"/>
    </row>
    <row r="59" spans="1:8" ht="15">
      <c r="A59" s="308"/>
      <c r="B59" s="429">
        <v>231000</v>
      </c>
      <c r="C59" s="411" t="s">
        <v>812</v>
      </c>
      <c r="D59" s="269"/>
      <c r="E59" s="269"/>
      <c r="F59" s="269"/>
      <c r="G59" s="269"/>
      <c r="H59" s="277">
        <f t="shared" ref="H59:H66" si="4">SUM(D59:G59)</f>
        <v>0</v>
      </c>
    </row>
    <row r="60" spans="1:8" ht="15">
      <c r="A60" s="308"/>
      <c r="B60" s="429">
        <v>233000</v>
      </c>
      <c r="C60" s="411" t="s">
        <v>813</v>
      </c>
      <c r="D60" s="269"/>
      <c r="E60" s="269"/>
      <c r="F60" s="269"/>
      <c r="G60" s="269"/>
      <c r="H60" s="277">
        <f t="shared" si="4"/>
        <v>0</v>
      </c>
    </row>
    <row r="61" spans="1:8" ht="15">
      <c r="A61" s="308"/>
      <c r="B61" s="429">
        <v>234000</v>
      </c>
      <c r="C61" s="411" t="s">
        <v>288</v>
      </c>
      <c r="D61" s="269"/>
      <c r="E61" s="269"/>
      <c r="F61" s="269"/>
      <c r="G61" s="269"/>
      <c r="H61" s="277">
        <f t="shared" si="4"/>
        <v>0</v>
      </c>
    </row>
    <row r="62" spans="1:8" ht="15">
      <c r="A62" s="308"/>
      <c r="B62" s="429">
        <v>235000</v>
      </c>
      <c r="C62" s="411" t="s">
        <v>814</v>
      </c>
      <c r="D62" s="269"/>
      <c r="E62" s="269"/>
      <c r="F62" s="269"/>
      <c r="G62" s="269"/>
      <c r="H62" s="277">
        <f t="shared" si="4"/>
        <v>0</v>
      </c>
    </row>
    <row r="63" spans="1:8" ht="15">
      <c r="A63" s="308"/>
      <c r="B63" s="429">
        <v>236000</v>
      </c>
      <c r="C63" s="411" t="s">
        <v>816</v>
      </c>
      <c r="D63" s="269"/>
      <c r="E63" s="269"/>
      <c r="F63" s="269"/>
      <c r="G63" s="269"/>
      <c r="H63" s="277">
        <f t="shared" si="4"/>
        <v>0</v>
      </c>
    </row>
    <row r="64" spans="1:8" ht="15">
      <c r="A64" s="308"/>
      <c r="B64" s="429">
        <v>237000</v>
      </c>
      <c r="C64" s="411" t="s">
        <v>3029</v>
      </c>
      <c r="D64" s="269"/>
      <c r="E64" s="269"/>
      <c r="F64" s="269"/>
      <c r="G64" s="269"/>
      <c r="H64" s="277">
        <f t="shared" si="4"/>
        <v>0</v>
      </c>
    </row>
    <row r="65" spans="1:8" ht="15">
      <c r="A65" s="308"/>
      <c r="B65" s="429">
        <v>238000</v>
      </c>
      <c r="C65" s="411" t="s">
        <v>1423</v>
      </c>
      <c r="D65" s="269"/>
      <c r="E65" s="269"/>
      <c r="F65" s="269"/>
      <c r="G65" s="269"/>
      <c r="H65" s="277">
        <f t="shared" si="4"/>
        <v>0</v>
      </c>
    </row>
    <row r="66" spans="1:8" ht="15.75" thickBot="1">
      <c r="A66" s="308"/>
      <c r="B66" s="429">
        <v>239000</v>
      </c>
      <c r="C66" s="411" t="s">
        <v>815</v>
      </c>
      <c r="D66" s="271"/>
      <c r="E66" s="271"/>
      <c r="F66" s="271"/>
      <c r="G66" s="271"/>
      <c r="H66" s="277">
        <f t="shared" si="4"/>
        <v>0</v>
      </c>
    </row>
    <row r="67" spans="1:8" s="308" customFormat="1" ht="16.5" thickBot="1">
      <c r="B67" s="429"/>
      <c r="C67" s="430" t="s">
        <v>818</v>
      </c>
      <c r="D67" s="279">
        <f>SUM(D59:D66)</f>
        <v>0</v>
      </c>
      <c r="E67" s="279">
        <f>SUM(E59:E66)</f>
        <v>0</v>
      </c>
      <c r="F67" s="279">
        <f>SUM(F59:F66)</f>
        <v>0</v>
      </c>
      <c r="G67" s="279">
        <f>SUM(G59:G66)</f>
        <v>0</v>
      </c>
      <c r="H67" s="279">
        <f>SUM(H59:H66)</f>
        <v>0</v>
      </c>
    </row>
    <row r="68" spans="1:8" s="308" customFormat="1" ht="15">
      <c r="B68" s="429"/>
      <c r="C68" s="411"/>
      <c r="D68" s="277"/>
      <c r="E68" s="277"/>
      <c r="F68" s="277"/>
      <c r="G68" s="277"/>
      <c r="H68" s="277"/>
    </row>
    <row r="69" spans="1:8" s="308" customFormat="1" ht="16.5" thickBot="1">
      <c r="B69" s="429"/>
      <c r="C69" s="677" t="s">
        <v>1074</v>
      </c>
      <c r="D69" s="278">
        <f>+D57+D67</f>
        <v>0</v>
      </c>
      <c r="E69" s="278">
        <f>+E57+E67</f>
        <v>0</v>
      </c>
      <c r="F69" s="278">
        <f>+F57+F67</f>
        <v>0</v>
      </c>
      <c r="G69" s="278">
        <f>+G57+G67</f>
        <v>0</v>
      </c>
      <c r="H69" s="278">
        <f>+H57+H67</f>
        <v>0</v>
      </c>
    </row>
    <row r="70" spans="1:8" s="308" customFormat="1" ht="15.75">
      <c r="B70" s="429"/>
      <c r="C70" s="677"/>
      <c r="D70" s="307"/>
      <c r="E70" s="307"/>
      <c r="F70" s="307"/>
      <c r="G70" s="307"/>
      <c r="H70" s="307"/>
    </row>
    <row r="71" spans="1:8" s="308" customFormat="1" ht="15.75">
      <c r="B71" s="429"/>
      <c r="C71" s="677" t="s">
        <v>1906</v>
      </c>
      <c r="D71" s="307"/>
      <c r="E71" s="307"/>
      <c r="F71" s="307"/>
      <c r="G71" s="307"/>
      <c r="H71" s="307"/>
    </row>
    <row r="72" spans="1:8" ht="15">
      <c r="B72" s="300">
        <v>220000</v>
      </c>
      <c r="C72" s="263" t="s">
        <v>1908</v>
      </c>
      <c r="D72" s="303"/>
      <c r="E72" s="303"/>
      <c r="F72" s="303"/>
      <c r="G72" s="303"/>
      <c r="H72" s="307">
        <f>SUM(D72:G72)</f>
        <v>0</v>
      </c>
    </row>
    <row r="73" spans="1:8" ht="15.75" thickBot="1">
      <c r="B73" s="300">
        <v>223000</v>
      </c>
      <c r="C73" s="263" t="s">
        <v>1908</v>
      </c>
      <c r="D73" s="271"/>
      <c r="E73" s="271"/>
      <c r="F73" s="271"/>
      <c r="G73" s="271"/>
      <c r="H73" s="278">
        <f>SUM(D73:G73)</f>
        <v>0</v>
      </c>
    </row>
    <row r="74" spans="1:8" s="308" customFormat="1" ht="16.5" thickBot="1">
      <c r="B74" s="429"/>
      <c r="C74" s="430" t="s">
        <v>1909</v>
      </c>
      <c r="D74" s="299">
        <f>SUM(D72:D73)</f>
        <v>0</v>
      </c>
      <c r="E74" s="299">
        <f t="shared" ref="E74:H74" si="5">SUM(E72:E73)</f>
        <v>0</v>
      </c>
      <c r="F74" s="299">
        <f t="shared" si="5"/>
        <v>0</v>
      </c>
      <c r="G74" s="299">
        <f t="shared" si="5"/>
        <v>0</v>
      </c>
      <c r="H74" s="299">
        <f t="shared" si="5"/>
        <v>0</v>
      </c>
    </row>
    <row r="75" spans="1:8" s="308" customFormat="1" ht="16.5" thickTop="1">
      <c r="B75" s="429"/>
      <c r="C75" s="677"/>
      <c r="D75" s="277"/>
      <c r="E75" s="277"/>
      <c r="F75" s="277"/>
      <c r="G75" s="277"/>
      <c r="H75" s="277"/>
    </row>
    <row r="76" spans="1:8" s="308" customFormat="1" ht="15.75">
      <c r="B76" s="429"/>
      <c r="C76" s="431" t="s">
        <v>1801</v>
      </c>
      <c r="D76" s="277"/>
      <c r="E76" s="277"/>
      <c r="F76" s="277"/>
      <c r="G76" s="277"/>
      <c r="H76" s="277"/>
    </row>
    <row r="77" spans="1:8" s="308" customFormat="1" ht="15">
      <c r="B77" s="429"/>
      <c r="C77" s="411" t="s">
        <v>1858</v>
      </c>
      <c r="D77" s="277">
        <f>D36-D49-D59-D62-D50</f>
        <v>0</v>
      </c>
      <c r="E77" s="277">
        <f>E36-E49-E59-E62-E50</f>
        <v>0</v>
      </c>
      <c r="F77" s="277">
        <f>F36-F49-F59-F62-F50</f>
        <v>0</v>
      </c>
      <c r="G77" s="277">
        <f>G36-G49-G59-G62-G50</f>
        <v>0</v>
      </c>
      <c r="H77" s="277">
        <f>SUM(D77:G77)</f>
        <v>0</v>
      </c>
    </row>
    <row r="78" spans="1:8" ht="15">
      <c r="B78" s="301"/>
      <c r="C78" s="263" t="s">
        <v>1366</v>
      </c>
      <c r="D78" s="277"/>
      <c r="E78" s="277"/>
      <c r="F78" s="277"/>
      <c r="G78" s="277"/>
      <c r="H78" s="277"/>
    </row>
    <row r="79" spans="1:8" ht="15">
      <c r="B79" s="301"/>
      <c r="C79" s="263"/>
      <c r="D79" s="269"/>
      <c r="E79" s="269"/>
      <c r="F79" s="269"/>
      <c r="G79" s="269"/>
      <c r="H79" s="277">
        <f>SUM(D79:G79)</f>
        <v>0</v>
      </c>
    </row>
    <row r="80" spans="1:8" ht="15">
      <c r="B80" s="301"/>
      <c r="C80" s="263"/>
      <c r="D80" s="269"/>
      <c r="E80" s="269"/>
      <c r="F80" s="269"/>
      <c r="G80" s="269"/>
      <c r="H80" s="277">
        <f>SUM(D80:G80)</f>
        <v>0</v>
      </c>
    </row>
    <row r="81" spans="1:8" ht="15">
      <c r="B81" s="301"/>
      <c r="C81" s="263"/>
      <c r="D81" s="269"/>
      <c r="E81" s="269"/>
      <c r="F81" s="269"/>
      <c r="G81" s="269"/>
      <c r="H81" s="277">
        <f>SUM(D81:G81)</f>
        <v>0</v>
      </c>
    </row>
    <row r="82" spans="1:8" ht="15">
      <c r="B82" s="301"/>
      <c r="C82" s="263"/>
      <c r="D82" s="269"/>
      <c r="E82" s="269"/>
      <c r="F82" s="269"/>
      <c r="G82" s="269"/>
      <c r="H82" s="277">
        <f>SUM(D82:G82)</f>
        <v>0</v>
      </c>
    </row>
    <row r="83" spans="1:8" s="308" customFormat="1" ht="15.75" thickBot="1">
      <c r="B83" s="429"/>
      <c r="C83" s="411" t="s">
        <v>1367</v>
      </c>
      <c r="D83" s="278">
        <f>D38+D43-D69-D74-D77-D79-D80-D81-D82</f>
        <v>0</v>
      </c>
      <c r="E83" s="278">
        <f t="shared" ref="E83:G83" si="6">E38+E43-E69-E74-E77-E79-E80-E81-E82</f>
        <v>0</v>
      </c>
      <c r="F83" s="278">
        <f t="shared" si="6"/>
        <v>0</v>
      </c>
      <c r="G83" s="278">
        <f t="shared" si="6"/>
        <v>0</v>
      </c>
      <c r="H83" s="277">
        <f>SUM(D83:G83)</f>
        <v>0</v>
      </c>
    </row>
    <row r="84" spans="1:8" s="308" customFormat="1" ht="16.5" thickBot="1">
      <c r="B84" s="429"/>
      <c r="C84" s="703" t="s">
        <v>1795</v>
      </c>
      <c r="D84" s="280">
        <f>SUM(D76:D83)</f>
        <v>0</v>
      </c>
      <c r="E84" s="280">
        <f>SUM(E76:E83)</f>
        <v>0</v>
      </c>
      <c r="F84" s="280">
        <f>SUM(F76:F83)</f>
        <v>0</v>
      </c>
      <c r="G84" s="280">
        <f>SUM(G76:G83)</f>
        <v>0</v>
      </c>
      <c r="H84" s="280">
        <f>SUM(H76:H83)</f>
        <v>0</v>
      </c>
    </row>
    <row r="85" spans="1:8" ht="15.75" thickTop="1">
      <c r="B85" s="301"/>
      <c r="C85" s="263"/>
      <c r="D85" s="263"/>
      <c r="E85" s="263"/>
      <c r="F85" s="263"/>
      <c r="G85" s="263"/>
      <c r="H85" s="263"/>
    </row>
    <row r="86" spans="1:8" ht="15.75">
      <c r="A86" s="274" t="s">
        <v>3133</v>
      </c>
      <c r="B86" s="439"/>
      <c r="C86" s="282"/>
      <c r="D86" s="282"/>
      <c r="E86" s="282"/>
      <c r="F86" s="282"/>
      <c r="G86" s="282"/>
      <c r="H86" s="282"/>
    </row>
    <row r="87" spans="1:8" ht="15">
      <c r="B87" s="301"/>
      <c r="C87" s="263"/>
      <c r="D87" s="263"/>
      <c r="E87" s="263"/>
      <c r="F87" s="263"/>
      <c r="G87" s="263"/>
      <c r="H87" s="263"/>
    </row>
    <row r="88" spans="1:8" ht="15">
      <c r="B88" s="301"/>
      <c r="C88" s="263"/>
      <c r="D88" s="263"/>
      <c r="E88" s="263"/>
      <c r="F88" s="263"/>
      <c r="G88" s="307"/>
      <c r="H88" s="263"/>
    </row>
    <row r="89" spans="1:8" ht="15">
      <c r="B89" s="301"/>
      <c r="C89" s="263"/>
      <c r="D89" s="263"/>
      <c r="E89" s="263"/>
      <c r="F89" s="263"/>
      <c r="G89" s="263"/>
      <c r="H89" s="263"/>
    </row>
    <row r="90" spans="1:8" ht="15">
      <c r="B90" s="301"/>
      <c r="C90" s="263"/>
      <c r="D90" s="263"/>
      <c r="E90" s="263"/>
      <c r="F90" s="263"/>
      <c r="G90" s="263"/>
      <c r="H90" s="263"/>
    </row>
    <row r="91" spans="1:8" ht="15">
      <c r="B91" s="301"/>
      <c r="C91" s="263"/>
      <c r="D91" s="263"/>
      <c r="E91" s="263"/>
      <c r="F91" s="263"/>
      <c r="G91" s="263"/>
      <c r="H91" s="263"/>
    </row>
    <row r="92" spans="1:8" ht="15">
      <c r="B92" s="301"/>
      <c r="C92" s="263"/>
      <c r="D92" s="263"/>
      <c r="E92" s="263"/>
      <c r="F92" s="263"/>
      <c r="G92" s="263"/>
      <c r="H92" s="263"/>
    </row>
    <row r="93" spans="1:8" ht="15">
      <c r="B93" s="301"/>
      <c r="C93" s="263"/>
      <c r="D93" s="263"/>
      <c r="E93" s="263"/>
      <c r="F93" s="263"/>
      <c r="G93" s="263"/>
      <c r="H93" s="263"/>
    </row>
    <row r="94" spans="1:8" ht="15">
      <c r="B94" s="301"/>
      <c r="C94" s="263"/>
      <c r="D94" s="263"/>
      <c r="E94" s="263"/>
      <c r="F94" s="263"/>
      <c r="G94" s="263"/>
      <c r="H94" s="263"/>
    </row>
    <row r="95" spans="1:8" ht="15">
      <c r="B95" s="301"/>
      <c r="C95" s="263"/>
      <c r="D95" s="263"/>
      <c r="E95" s="263"/>
      <c r="F95" s="263"/>
      <c r="G95" s="263"/>
      <c r="H95" s="263"/>
    </row>
    <row r="96" spans="1:8" ht="15">
      <c r="B96" s="301"/>
      <c r="C96" s="263"/>
      <c r="D96" s="263"/>
      <c r="E96" s="263"/>
      <c r="F96" s="263"/>
      <c r="G96" s="263"/>
      <c r="H96" s="263"/>
    </row>
    <row r="97" spans="2:8" ht="15">
      <c r="B97" s="301"/>
      <c r="C97" s="263"/>
      <c r="D97" s="263"/>
      <c r="E97" s="263"/>
      <c r="F97" s="263"/>
      <c r="G97" s="263"/>
      <c r="H97" s="263"/>
    </row>
    <row r="98" spans="2:8" ht="15">
      <c r="B98" s="301"/>
      <c r="C98" s="263"/>
      <c r="D98" s="263"/>
      <c r="E98" s="263"/>
      <c r="F98" s="263"/>
      <c r="G98" s="263"/>
      <c r="H98" s="263"/>
    </row>
    <row r="99" spans="2:8" ht="15">
      <c r="B99" s="301"/>
      <c r="C99" s="263"/>
      <c r="D99" s="263"/>
      <c r="E99" s="263"/>
      <c r="F99" s="263"/>
      <c r="G99" s="263"/>
      <c r="H99" s="263"/>
    </row>
    <row r="100" spans="2:8" ht="15">
      <c r="B100" s="301"/>
      <c r="C100" s="263"/>
      <c r="D100" s="263"/>
      <c r="E100" s="263"/>
      <c r="F100" s="263"/>
      <c r="G100" s="263"/>
      <c r="H100" s="263"/>
    </row>
    <row r="101" spans="2:8" ht="15">
      <c r="B101" s="301"/>
      <c r="C101" s="263"/>
      <c r="D101" s="263"/>
      <c r="E101" s="263"/>
      <c r="F101" s="263"/>
      <c r="G101" s="263"/>
      <c r="H101" s="263"/>
    </row>
    <row r="102" spans="2:8" ht="15">
      <c r="B102" s="301"/>
      <c r="C102" s="263"/>
      <c r="D102" s="263"/>
      <c r="E102" s="263"/>
      <c r="F102" s="263"/>
      <c r="G102" s="263"/>
      <c r="H102" s="263"/>
    </row>
    <row r="103" spans="2:8" ht="15">
      <c r="B103" s="301"/>
      <c r="C103" s="263"/>
      <c r="D103" s="263"/>
      <c r="E103" s="263"/>
      <c r="F103" s="263"/>
      <c r="G103" s="263"/>
      <c r="H103" s="263"/>
    </row>
    <row r="104" spans="2:8" ht="15">
      <c r="B104" s="301"/>
      <c r="C104" s="263"/>
      <c r="D104" s="263"/>
      <c r="E104" s="263"/>
      <c r="F104" s="263"/>
      <c r="G104" s="263"/>
      <c r="H104" s="263"/>
    </row>
    <row r="105" spans="2:8" ht="15">
      <c r="B105" s="301"/>
      <c r="C105" s="263"/>
      <c r="D105" s="263"/>
      <c r="E105" s="263"/>
      <c r="F105" s="263"/>
      <c r="G105" s="263"/>
      <c r="H105" s="263"/>
    </row>
    <row r="106" spans="2:8" ht="15">
      <c r="B106" s="301"/>
      <c r="C106" s="263"/>
      <c r="D106" s="263"/>
      <c r="E106" s="263"/>
      <c r="F106" s="263"/>
      <c r="G106" s="263"/>
      <c r="H106" s="263"/>
    </row>
    <row r="107" spans="2:8" ht="15">
      <c r="B107" s="301"/>
      <c r="C107" s="263"/>
      <c r="D107" s="263"/>
      <c r="E107" s="263"/>
      <c r="F107" s="263"/>
      <c r="G107" s="263"/>
      <c r="H107" s="263"/>
    </row>
    <row r="108" spans="2:8" ht="15">
      <c r="B108" s="301"/>
      <c r="C108" s="263"/>
      <c r="D108" s="263"/>
      <c r="E108" s="263"/>
      <c r="F108" s="263"/>
      <c r="G108" s="263"/>
      <c r="H108" s="263"/>
    </row>
    <row r="109" spans="2:8" ht="15">
      <c r="B109" s="301"/>
      <c r="C109" s="263"/>
      <c r="D109" s="263"/>
      <c r="E109" s="263"/>
      <c r="F109" s="263"/>
      <c r="G109" s="263"/>
      <c r="H109" s="263"/>
    </row>
    <row r="110" spans="2:8" ht="15">
      <c r="B110" s="301"/>
      <c r="C110" s="263"/>
      <c r="D110" s="263"/>
      <c r="E110" s="263"/>
      <c r="F110" s="263"/>
      <c r="G110" s="263"/>
      <c r="H110" s="263"/>
    </row>
    <row r="111" spans="2:8" ht="15">
      <c r="B111" s="301"/>
      <c r="C111" s="263"/>
      <c r="D111" s="263"/>
      <c r="E111" s="263"/>
      <c r="F111" s="263"/>
      <c r="G111" s="263"/>
      <c r="H111" s="263"/>
    </row>
    <row r="112" spans="2:8" ht="15">
      <c r="B112" s="301"/>
      <c r="C112" s="263"/>
      <c r="D112" s="263"/>
      <c r="E112" s="263"/>
      <c r="F112" s="263"/>
      <c r="G112" s="263"/>
      <c r="H112" s="263"/>
    </row>
    <row r="113" spans="2:8" ht="15">
      <c r="B113" s="301"/>
      <c r="C113" s="263"/>
      <c r="D113" s="263"/>
      <c r="E113" s="263"/>
      <c r="F113" s="263"/>
      <c r="G113" s="263"/>
      <c r="H113" s="263"/>
    </row>
    <row r="114" spans="2:8" ht="15">
      <c r="B114" s="301"/>
      <c r="C114" s="263"/>
      <c r="D114" s="263"/>
      <c r="E114" s="263"/>
      <c r="F114" s="263"/>
      <c r="G114" s="263"/>
      <c r="H114" s="263"/>
    </row>
    <row r="115" spans="2:8" ht="15">
      <c r="B115" s="301"/>
      <c r="C115" s="263"/>
      <c r="D115" s="263"/>
      <c r="E115" s="263"/>
      <c r="F115" s="263"/>
      <c r="G115" s="263"/>
      <c r="H115" s="263"/>
    </row>
    <row r="116" spans="2:8" ht="15">
      <c r="B116" s="301"/>
      <c r="C116" s="263"/>
      <c r="D116" s="263"/>
      <c r="E116" s="263"/>
      <c r="F116" s="263"/>
      <c r="G116" s="263"/>
      <c r="H116" s="263"/>
    </row>
    <row r="117" spans="2:8" ht="15">
      <c r="B117" s="301"/>
      <c r="C117" s="263"/>
      <c r="D117" s="263"/>
      <c r="E117" s="263"/>
      <c r="F117" s="263"/>
      <c r="G117" s="263"/>
      <c r="H117" s="263"/>
    </row>
    <row r="118" spans="2:8" ht="15">
      <c r="B118" s="301"/>
      <c r="C118" s="263"/>
      <c r="D118" s="263"/>
      <c r="E118" s="263"/>
      <c r="F118" s="263"/>
      <c r="G118" s="263"/>
      <c r="H118" s="263"/>
    </row>
    <row r="119" spans="2:8" ht="15">
      <c r="B119" s="301"/>
      <c r="C119" s="263"/>
      <c r="D119" s="263"/>
      <c r="E119" s="263"/>
      <c r="F119" s="263"/>
      <c r="G119" s="263"/>
      <c r="H119" s="263"/>
    </row>
    <row r="120" spans="2:8" ht="15">
      <c r="B120" s="301"/>
      <c r="C120" s="263"/>
      <c r="D120" s="263"/>
      <c r="E120" s="263"/>
      <c r="F120" s="263"/>
      <c r="G120" s="263"/>
      <c r="H120" s="263"/>
    </row>
    <row r="121" spans="2:8" ht="15">
      <c r="B121" s="301"/>
      <c r="C121" s="263"/>
      <c r="D121" s="263"/>
      <c r="E121" s="263"/>
      <c r="F121" s="263"/>
      <c r="G121" s="263"/>
      <c r="H121" s="263"/>
    </row>
    <row r="122" spans="2:8" ht="15">
      <c r="B122" s="301"/>
      <c r="C122" s="263"/>
      <c r="D122" s="263"/>
      <c r="E122" s="263"/>
      <c r="F122" s="263"/>
      <c r="G122" s="263"/>
      <c r="H122" s="263"/>
    </row>
    <row r="123" spans="2:8" ht="15">
      <c r="B123" s="301"/>
      <c r="C123" s="263"/>
      <c r="D123" s="263"/>
      <c r="E123" s="263"/>
      <c r="F123" s="263"/>
      <c r="G123" s="263"/>
      <c r="H123" s="263"/>
    </row>
    <row r="124" spans="2:8" ht="15">
      <c r="B124" s="301"/>
      <c r="C124" s="263"/>
      <c r="D124" s="263"/>
      <c r="E124" s="263"/>
      <c r="F124" s="263"/>
      <c r="G124" s="263"/>
      <c r="H124" s="263"/>
    </row>
    <row r="125" spans="2:8" ht="15">
      <c r="B125" s="301"/>
      <c r="C125" s="263"/>
      <c r="D125" s="263"/>
      <c r="E125" s="263"/>
      <c r="F125" s="263"/>
      <c r="G125" s="263"/>
      <c r="H125" s="263"/>
    </row>
    <row r="126" spans="2:8" ht="15">
      <c r="B126" s="301"/>
      <c r="C126" s="263"/>
      <c r="D126" s="263"/>
      <c r="E126" s="263"/>
      <c r="F126" s="263"/>
      <c r="G126" s="263"/>
      <c r="H126" s="263"/>
    </row>
    <row r="127" spans="2:8" ht="15">
      <c r="B127" s="301"/>
      <c r="C127" s="263"/>
      <c r="D127" s="263"/>
      <c r="E127" s="263"/>
      <c r="F127" s="263"/>
      <c r="G127" s="263"/>
      <c r="H127" s="263"/>
    </row>
    <row r="128" spans="2:8" ht="15">
      <c r="B128" s="301"/>
      <c r="C128" s="263"/>
      <c r="D128" s="263"/>
      <c r="E128" s="263"/>
      <c r="F128" s="263"/>
      <c r="G128" s="263"/>
      <c r="H128" s="263"/>
    </row>
    <row r="129" spans="2:8" ht="15">
      <c r="B129" s="301"/>
      <c r="C129" s="263"/>
      <c r="D129" s="263"/>
      <c r="E129" s="263"/>
      <c r="F129" s="263"/>
      <c r="G129" s="263"/>
      <c r="H129" s="263"/>
    </row>
    <row r="130" spans="2:8" ht="15">
      <c r="B130" s="301"/>
      <c r="C130" s="263"/>
      <c r="D130" s="263"/>
      <c r="E130" s="263"/>
      <c r="F130" s="263"/>
      <c r="G130" s="263"/>
      <c r="H130" s="263"/>
    </row>
    <row r="131" spans="2:8" ht="15">
      <c r="B131" s="301"/>
      <c r="C131" s="263"/>
      <c r="D131" s="263"/>
      <c r="E131" s="263"/>
      <c r="F131" s="263"/>
      <c r="G131" s="263"/>
      <c r="H131" s="263"/>
    </row>
    <row r="132" spans="2:8" ht="15">
      <c r="B132" s="301"/>
      <c r="C132" s="263"/>
      <c r="D132" s="263"/>
      <c r="E132" s="263"/>
      <c r="F132" s="263"/>
      <c r="G132" s="263"/>
      <c r="H132" s="263"/>
    </row>
    <row r="133" spans="2:8" ht="15">
      <c r="B133" s="301"/>
      <c r="C133" s="263"/>
      <c r="D133" s="263"/>
      <c r="E133" s="263"/>
      <c r="F133" s="263"/>
      <c r="G133" s="263"/>
      <c r="H133" s="263"/>
    </row>
    <row r="134" spans="2:8" ht="15">
      <c r="B134" s="301"/>
      <c r="C134" s="263"/>
      <c r="D134" s="263"/>
      <c r="E134" s="263"/>
      <c r="F134" s="263"/>
      <c r="G134" s="263"/>
      <c r="H134" s="263"/>
    </row>
    <row r="135" spans="2:8" ht="15">
      <c r="B135" s="301"/>
      <c r="C135" s="263"/>
      <c r="D135" s="263"/>
      <c r="E135" s="263"/>
      <c r="F135" s="263"/>
      <c r="G135" s="263"/>
      <c r="H135" s="263"/>
    </row>
    <row r="136" spans="2:8" ht="15">
      <c r="B136" s="301"/>
      <c r="C136" s="263"/>
      <c r="D136" s="263"/>
      <c r="E136" s="263"/>
      <c r="F136" s="263"/>
      <c r="G136" s="263"/>
      <c r="H136" s="263"/>
    </row>
    <row r="137" spans="2:8" ht="15">
      <c r="B137" s="301"/>
      <c r="C137" s="263"/>
      <c r="D137" s="263"/>
      <c r="E137" s="263"/>
      <c r="F137" s="263"/>
      <c r="G137" s="263"/>
      <c r="H137" s="263"/>
    </row>
    <row r="138" spans="2:8" ht="15">
      <c r="B138" s="301"/>
      <c r="C138" s="263"/>
      <c r="D138" s="263"/>
      <c r="E138" s="263"/>
      <c r="F138" s="263"/>
      <c r="G138" s="263"/>
      <c r="H138" s="263"/>
    </row>
    <row r="139" spans="2:8" ht="15">
      <c r="B139" s="301"/>
      <c r="C139" s="263"/>
      <c r="D139" s="263"/>
      <c r="E139" s="263"/>
      <c r="F139" s="263"/>
      <c r="G139" s="263"/>
      <c r="H139" s="263"/>
    </row>
    <row r="140" spans="2:8" ht="15">
      <c r="B140" s="301"/>
      <c r="C140" s="263"/>
      <c r="D140" s="263"/>
      <c r="E140" s="263"/>
      <c r="F140" s="263"/>
      <c r="G140" s="263"/>
      <c r="H140" s="263"/>
    </row>
    <row r="141" spans="2:8" ht="15">
      <c r="B141" s="301"/>
      <c r="C141" s="263"/>
      <c r="D141" s="263"/>
      <c r="E141" s="263"/>
      <c r="F141" s="263"/>
      <c r="G141" s="263"/>
      <c r="H141" s="263"/>
    </row>
    <row r="142" spans="2:8" ht="15">
      <c r="B142" s="301"/>
      <c r="C142" s="263"/>
      <c r="D142" s="263"/>
      <c r="E142" s="263"/>
      <c r="F142" s="263"/>
      <c r="G142" s="263"/>
      <c r="H142" s="263"/>
    </row>
    <row r="143" spans="2:8" ht="15">
      <c r="B143" s="301"/>
      <c r="C143" s="263"/>
      <c r="D143" s="263"/>
      <c r="E143" s="263"/>
      <c r="F143" s="263"/>
      <c r="G143" s="263"/>
      <c r="H143" s="263"/>
    </row>
    <row r="144" spans="2:8" ht="15">
      <c r="B144" s="301"/>
      <c r="C144" s="263"/>
      <c r="D144" s="263"/>
      <c r="E144" s="263"/>
      <c r="F144" s="263"/>
      <c r="G144" s="263"/>
      <c r="H144" s="263"/>
    </row>
    <row r="145" spans="2:8" ht="15">
      <c r="B145" s="263"/>
      <c r="C145" s="263"/>
      <c r="D145" s="263"/>
      <c r="E145" s="263"/>
      <c r="F145" s="263"/>
      <c r="G145" s="263"/>
      <c r="H145" s="263"/>
    </row>
    <row r="146" spans="2:8" ht="15">
      <c r="B146" s="263"/>
      <c r="C146" s="263"/>
      <c r="D146" s="263"/>
      <c r="E146" s="263"/>
      <c r="F146" s="263"/>
      <c r="G146" s="263"/>
      <c r="H146" s="263"/>
    </row>
    <row r="147" spans="2:8" ht="15">
      <c r="B147" s="263"/>
      <c r="C147" s="263"/>
      <c r="D147" s="263"/>
      <c r="E147" s="263"/>
      <c r="F147" s="263"/>
      <c r="G147" s="263"/>
      <c r="H147" s="263"/>
    </row>
    <row r="148" spans="2:8" ht="15">
      <c r="B148" s="263"/>
      <c r="C148" s="263"/>
      <c r="D148" s="263"/>
      <c r="E148" s="263"/>
      <c r="F148" s="263"/>
      <c r="G148" s="263"/>
      <c r="H148" s="263"/>
    </row>
    <row r="149" spans="2:8" ht="15">
      <c r="B149" s="263"/>
      <c r="C149" s="263"/>
      <c r="D149" s="263"/>
      <c r="E149" s="263"/>
      <c r="F149" s="263"/>
      <c r="G149" s="263"/>
      <c r="H149" s="263"/>
    </row>
    <row r="150" spans="2:8" ht="15">
      <c r="B150" s="263"/>
      <c r="C150" s="263"/>
      <c r="D150" s="263"/>
      <c r="E150" s="263"/>
      <c r="F150" s="263"/>
      <c r="G150" s="263"/>
      <c r="H150" s="263"/>
    </row>
    <row r="151" spans="2:8" ht="15">
      <c r="B151" s="263"/>
      <c r="C151" s="263"/>
      <c r="D151" s="263"/>
      <c r="E151" s="263"/>
      <c r="F151" s="263"/>
      <c r="G151" s="263"/>
      <c r="H151" s="263"/>
    </row>
    <row r="152" spans="2:8" ht="15">
      <c r="B152" s="263"/>
      <c r="C152" s="263"/>
      <c r="D152" s="263"/>
      <c r="E152" s="263"/>
      <c r="F152" s="263"/>
      <c r="G152" s="263"/>
      <c r="H152" s="263"/>
    </row>
    <row r="153" spans="2:8" ht="15">
      <c r="B153" s="263"/>
      <c r="C153" s="263"/>
      <c r="D153" s="263"/>
      <c r="E153" s="263"/>
      <c r="F153" s="263"/>
      <c r="G153" s="263"/>
      <c r="H153" s="263"/>
    </row>
    <row r="154" spans="2:8" ht="15">
      <c r="B154" s="263"/>
      <c r="C154" s="263"/>
      <c r="D154" s="263"/>
      <c r="E154" s="263"/>
      <c r="F154" s="263"/>
      <c r="G154" s="263"/>
      <c r="H154" s="263"/>
    </row>
    <row r="155" spans="2:8" ht="15">
      <c r="B155" s="263"/>
      <c r="C155" s="263"/>
      <c r="D155" s="263"/>
      <c r="E155" s="263"/>
      <c r="F155" s="263"/>
      <c r="G155" s="263"/>
      <c r="H155" s="263"/>
    </row>
    <row r="156" spans="2:8" ht="15">
      <c r="B156" s="263"/>
      <c r="C156" s="263"/>
      <c r="D156" s="263"/>
      <c r="E156" s="263"/>
      <c r="F156" s="263"/>
      <c r="G156" s="263"/>
      <c r="H156" s="263"/>
    </row>
    <row r="157" spans="2:8" ht="15">
      <c r="B157" s="263"/>
      <c r="C157" s="263"/>
      <c r="D157" s="263"/>
      <c r="E157" s="263"/>
      <c r="F157" s="263"/>
      <c r="G157" s="263"/>
      <c r="H157" s="263"/>
    </row>
    <row r="158" spans="2:8" ht="15">
      <c r="B158" s="263"/>
      <c r="C158" s="263"/>
      <c r="D158" s="263"/>
      <c r="E158" s="263"/>
      <c r="F158" s="263"/>
      <c r="G158" s="263"/>
      <c r="H158" s="263"/>
    </row>
    <row r="159" spans="2:8" ht="15">
      <c r="B159" s="263"/>
      <c r="C159" s="263"/>
      <c r="D159" s="263"/>
      <c r="E159" s="263"/>
      <c r="F159" s="263"/>
      <c r="G159" s="263"/>
      <c r="H159" s="263"/>
    </row>
    <row r="160" spans="2:8" ht="15">
      <c r="B160" s="263"/>
      <c r="C160" s="263"/>
      <c r="D160" s="263"/>
      <c r="E160" s="263"/>
      <c r="F160" s="263"/>
      <c r="G160" s="263"/>
      <c r="H160" s="263"/>
    </row>
    <row r="161" spans="2:8" ht="15">
      <c r="B161" s="263"/>
      <c r="C161" s="263"/>
      <c r="D161" s="263"/>
      <c r="E161" s="263"/>
      <c r="F161" s="263"/>
      <c r="G161" s="263"/>
      <c r="H161" s="263"/>
    </row>
    <row r="162" spans="2:8" ht="15">
      <c r="B162" s="263"/>
      <c r="C162" s="263"/>
      <c r="D162" s="263"/>
      <c r="E162" s="263"/>
      <c r="F162" s="263"/>
      <c r="G162" s="263"/>
      <c r="H162" s="263"/>
    </row>
    <row r="163" spans="2:8" ht="15">
      <c r="B163" s="263"/>
      <c r="C163" s="263"/>
      <c r="D163" s="263"/>
      <c r="E163" s="263"/>
      <c r="F163" s="263"/>
      <c r="G163" s="263"/>
      <c r="H163" s="263"/>
    </row>
    <row r="164" spans="2:8" ht="15">
      <c r="B164" s="263"/>
      <c r="C164" s="263"/>
      <c r="D164" s="263"/>
      <c r="E164" s="263"/>
      <c r="F164" s="263"/>
      <c r="G164" s="263"/>
      <c r="H164" s="263"/>
    </row>
    <row r="165" spans="2:8" ht="15">
      <c r="B165" s="263"/>
      <c r="C165" s="263"/>
      <c r="D165" s="263"/>
      <c r="E165" s="263"/>
      <c r="F165" s="263"/>
      <c r="G165" s="263"/>
      <c r="H165" s="263"/>
    </row>
    <row r="166" spans="2:8" ht="15">
      <c r="B166" s="263"/>
      <c r="C166" s="263"/>
      <c r="D166" s="263"/>
      <c r="E166" s="263"/>
      <c r="F166" s="263"/>
      <c r="G166" s="263"/>
      <c r="H166" s="263"/>
    </row>
    <row r="167" spans="2:8" ht="15">
      <c r="B167" s="263"/>
      <c r="C167" s="263"/>
      <c r="D167" s="263"/>
      <c r="E167" s="263"/>
      <c r="F167" s="263"/>
      <c r="G167" s="263"/>
      <c r="H167" s="263"/>
    </row>
    <row r="168" spans="2:8" ht="15">
      <c r="B168" s="263"/>
      <c r="C168" s="263"/>
      <c r="D168" s="263"/>
      <c r="E168" s="263"/>
      <c r="F168" s="263"/>
      <c r="G168" s="263"/>
      <c r="H168" s="263"/>
    </row>
    <row r="169" spans="2:8" ht="15">
      <c r="B169" s="263"/>
      <c r="C169" s="263"/>
      <c r="D169" s="263"/>
      <c r="E169" s="263"/>
      <c r="F169" s="263"/>
      <c r="G169" s="263"/>
      <c r="H169" s="263"/>
    </row>
    <row r="170" spans="2:8" ht="15">
      <c r="B170" s="263"/>
      <c r="C170" s="263"/>
      <c r="D170" s="263"/>
      <c r="E170" s="263"/>
      <c r="F170" s="263"/>
      <c r="G170" s="263"/>
      <c r="H170" s="263"/>
    </row>
    <row r="171" spans="2:8" ht="15">
      <c r="B171" s="263"/>
      <c r="C171" s="263"/>
      <c r="D171" s="263"/>
      <c r="E171" s="263"/>
      <c r="F171" s="263"/>
      <c r="G171" s="263"/>
      <c r="H171" s="263"/>
    </row>
    <row r="172" spans="2:8" ht="15">
      <c r="B172" s="263"/>
      <c r="C172" s="263"/>
      <c r="D172" s="263"/>
      <c r="E172" s="263"/>
      <c r="F172" s="263"/>
      <c r="G172" s="263"/>
      <c r="H172" s="263"/>
    </row>
    <row r="173" spans="2:8" ht="15">
      <c r="B173" s="263"/>
      <c r="C173" s="263"/>
      <c r="D173" s="263"/>
      <c r="E173" s="263"/>
      <c r="F173" s="263"/>
      <c r="G173" s="263"/>
      <c r="H173" s="263"/>
    </row>
    <row r="174" spans="2:8" ht="15">
      <c r="B174" s="263"/>
      <c r="C174" s="263"/>
      <c r="D174" s="263"/>
      <c r="E174" s="263"/>
      <c r="F174" s="263"/>
      <c r="G174" s="263"/>
      <c r="H174" s="263"/>
    </row>
    <row r="175" spans="2:8" ht="15">
      <c r="B175" s="263"/>
      <c r="C175" s="263"/>
      <c r="D175" s="263"/>
      <c r="E175" s="263"/>
      <c r="F175" s="263"/>
      <c r="G175" s="263"/>
      <c r="H175" s="263"/>
    </row>
    <row r="176" spans="2:8" ht="15">
      <c r="B176" s="263"/>
      <c r="C176" s="263"/>
      <c r="D176" s="263"/>
      <c r="E176" s="263"/>
      <c r="F176" s="263"/>
      <c r="G176" s="263"/>
      <c r="H176" s="263"/>
    </row>
    <row r="177" spans="2:8" ht="15">
      <c r="B177" s="263"/>
      <c r="C177" s="263"/>
      <c r="D177" s="263"/>
      <c r="E177" s="263"/>
      <c r="F177" s="263"/>
      <c r="G177" s="263"/>
      <c r="H177" s="263"/>
    </row>
    <row r="178" spans="2:8" ht="15">
      <c r="B178" s="263"/>
      <c r="C178" s="263"/>
      <c r="D178" s="263"/>
      <c r="E178" s="263"/>
      <c r="F178" s="263"/>
      <c r="G178" s="263"/>
      <c r="H178" s="263"/>
    </row>
    <row r="179" spans="2:8" ht="15">
      <c r="B179" s="263"/>
      <c r="C179" s="263"/>
      <c r="D179" s="263"/>
      <c r="E179" s="263"/>
      <c r="F179" s="263"/>
      <c r="G179" s="263"/>
      <c r="H179" s="263"/>
    </row>
  </sheetData>
  <sheetProtection password="D950" sheet="1" scenarios="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7" orientation="portrait" horizontalDpi="360" verticalDpi="360" r:id="rId2"/>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4"/>
  <sheetViews>
    <sheetView zoomScaleNormal="100" workbookViewId="0">
      <pane xSplit="3" ySplit="10" topLeftCell="D11" activePane="bottomRight" state="frozen"/>
      <selection pane="topRight" activeCell="D1" sqref="D1"/>
      <selection pane="bottomLeft" activeCell="A11" sqref="A11"/>
      <selection pane="bottomRight" activeCell="H46" sqref="H46"/>
    </sheetView>
  </sheetViews>
  <sheetFormatPr defaultColWidth="8.85546875" defaultRowHeight="12.75"/>
  <cols>
    <col min="1" max="1" width="4.7109375" style="261" customWidth="1"/>
    <col min="2" max="2" width="12.7109375" style="261" customWidth="1"/>
    <col min="3" max="3" width="55.7109375" style="261" customWidth="1"/>
    <col min="4" max="8" width="20.7109375" style="261" customWidth="1"/>
    <col min="9" max="16384" width="8.85546875" style="261"/>
  </cols>
  <sheetData>
    <row r="1" spans="1:8" ht="18">
      <c r="B1" s="276"/>
      <c r="C1" s="259" t="str">
        <f>+'TABLE OF CONTENTS'!A1</f>
        <v>TOWN OF BROADUS</v>
      </c>
      <c r="D1" s="276"/>
      <c r="E1" s="276"/>
      <c r="F1" s="276"/>
      <c r="G1" s="276"/>
      <c r="H1" s="276"/>
    </row>
    <row r="2" spans="1:8" ht="18">
      <c r="B2" s="276"/>
      <c r="C2" s="259" t="s">
        <v>1804</v>
      </c>
      <c r="D2" s="276"/>
      <c r="E2" s="276"/>
      <c r="F2" s="276"/>
      <c r="G2" s="276"/>
      <c r="H2" s="276"/>
    </row>
    <row r="3" spans="1:8" ht="18">
      <c r="B3" s="276"/>
      <c r="C3" s="259" t="s">
        <v>929</v>
      </c>
      <c r="D3" s="276"/>
      <c r="E3" s="276"/>
      <c r="F3" s="276"/>
      <c r="G3" s="276"/>
      <c r="H3" s="276"/>
    </row>
    <row r="4" spans="1:8" ht="18">
      <c r="B4" s="276"/>
      <c r="C4" s="262" t="str">
        <f>+'GW-STATEMENT OF ACTIVITIES(14)'!B3</f>
        <v>FISCAL YEAR ENDING JUNE 30, 2017</v>
      </c>
      <c r="D4" s="276"/>
      <c r="E4" s="276"/>
      <c r="F4" s="276"/>
      <c r="G4" s="276"/>
      <c r="H4" s="276"/>
    </row>
    <row r="5" spans="1:8" ht="18">
      <c r="C5" s="262"/>
    </row>
    <row r="6" spans="1:8" ht="18.75" thickBot="1">
      <c r="C6" s="262"/>
      <c r="D6" s="264"/>
      <c r="E6" s="318"/>
      <c r="F6" s="318"/>
      <c r="G6" s="318"/>
      <c r="H6" s="318"/>
    </row>
    <row r="8" spans="1:8" ht="16.5" thickBot="1">
      <c r="B8" s="263"/>
      <c r="C8" s="263"/>
      <c r="D8" s="264" t="str">
        <f>+'NET POSIT-NONMAJOR ENTERPR(79)'!D7</f>
        <v>NonMajor Enterprise Funds</v>
      </c>
      <c r="E8" s="265"/>
      <c r="F8" s="265"/>
      <c r="G8" s="264"/>
      <c r="H8" s="263"/>
    </row>
    <row r="9" spans="1:8" ht="15.75">
      <c r="B9" s="266" t="s">
        <v>177</v>
      </c>
      <c r="C9" s="266"/>
      <c r="D9" s="266" t="str">
        <f>'NET POSIT-NONMAJOR ENTERPR(79)'!D8</f>
        <v>FUND #</v>
      </c>
      <c r="E9" s="266" t="str">
        <f>'NET POSIT-NONMAJOR ENTERPR(79)'!E8</f>
        <v>FUND #</v>
      </c>
      <c r="F9" s="266" t="str">
        <f>'NET POSIT-NONMAJOR ENTERPR(79)'!F8</f>
        <v>FUND #</v>
      </c>
      <c r="G9" s="266" t="str">
        <f>'NET POSIT-NONMAJOR ENTERPR(79)'!G8</f>
        <v>FUND #</v>
      </c>
      <c r="H9" s="411"/>
    </row>
    <row r="10" spans="1:8" ht="16.5" thickBot="1">
      <c r="B10" s="267" t="s">
        <v>178</v>
      </c>
      <c r="C10" s="267" t="s">
        <v>179</v>
      </c>
      <c r="D10" s="267" t="str">
        <f>'NET POSIT-NONMAJOR ENTERPR(79)'!D9</f>
        <v>NAME</v>
      </c>
      <c r="E10" s="267" t="str">
        <f>'NET POSIT-NONMAJOR ENTERPR(79)'!E9</f>
        <v>NAME</v>
      </c>
      <c r="F10" s="267" t="str">
        <f>'NET POSIT-NONMAJOR ENTERPR(79)'!F9</f>
        <v>NAME</v>
      </c>
      <c r="G10" s="267" t="str">
        <f>'NET POSIT-NONMAJOR ENTERPR(79)'!G9</f>
        <v>NAME</v>
      </c>
      <c r="H10" s="676" t="s">
        <v>196</v>
      </c>
    </row>
    <row r="11" spans="1:8" ht="20.100000000000001" customHeight="1">
      <c r="A11" s="308"/>
      <c r="B11" s="429"/>
      <c r="C11" s="431" t="s">
        <v>822</v>
      </c>
      <c r="D11" s="288"/>
      <c r="E11" s="288"/>
      <c r="F11" s="288"/>
      <c r="G11" s="288"/>
      <c r="H11" s="326"/>
    </row>
    <row r="12" spans="1:8" ht="20.100000000000001" customHeight="1">
      <c r="A12" s="308"/>
      <c r="B12" s="429">
        <v>340000</v>
      </c>
      <c r="C12" s="411" t="s">
        <v>823</v>
      </c>
      <c r="D12" s="269"/>
      <c r="E12" s="269"/>
      <c r="F12" s="269"/>
      <c r="G12" s="269"/>
      <c r="H12" s="277">
        <f>SUM(D12:G12)</f>
        <v>0</v>
      </c>
    </row>
    <row r="13" spans="1:8" ht="20.100000000000001" customHeight="1">
      <c r="A13" s="308"/>
      <c r="B13" s="429">
        <v>360000</v>
      </c>
      <c r="C13" s="411" t="s">
        <v>824</v>
      </c>
      <c r="D13" s="269"/>
      <c r="E13" s="269"/>
      <c r="F13" s="269"/>
      <c r="G13" s="269"/>
      <c r="H13" s="277">
        <f>SUM(D13:G13)</f>
        <v>0</v>
      </c>
    </row>
    <row r="14" spans="1:8" ht="20.100000000000001" customHeight="1">
      <c r="A14" s="308"/>
      <c r="B14" s="429">
        <v>363000</v>
      </c>
      <c r="C14" s="411" t="s">
        <v>825</v>
      </c>
      <c r="D14" s="269"/>
      <c r="E14" s="269"/>
      <c r="F14" s="269"/>
      <c r="G14" s="269"/>
      <c r="H14" s="277">
        <f>SUM(D14:G14)</f>
        <v>0</v>
      </c>
    </row>
    <row r="15" spans="1:8" s="308" customFormat="1" ht="20.100000000000001" customHeight="1" thickBot="1">
      <c r="B15" s="429"/>
      <c r="C15" s="411"/>
      <c r="D15" s="278"/>
      <c r="E15" s="278"/>
      <c r="F15" s="278"/>
      <c r="G15" s="278"/>
      <c r="H15" s="278">
        <f>SUM(D15:G15)</f>
        <v>0</v>
      </c>
    </row>
    <row r="16" spans="1:8" s="308" customFormat="1" ht="20.100000000000001" customHeight="1" thickBot="1">
      <c r="B16" s="429"/>
      <c r="C16" s="430" t="s">
        <v>826</v>
      </c>
      <c r="D16" s="278">
        <f>SUM(D12:D15)</f>
        <v>0</v>
      </c>
      <c r="E16" s="278">
        <f>SUM(E12:E15)</f>
        <v>0</v>
      </c>
      <c r="F16" s="278">
        <f>SUM(F12:F15)</f>
        <v>0</v>
      </c>
      <c r="G16" s="278">
        <f>SUM(G12:G15)</f>
        <v>0</v>
      </c>
      <c r="H16" s="278">
        <f>SUM(H12:H15)</f>
        <v>0</v>
      </c>
    </row>
    <row r="17" spans="1:8" s="308" customFormat="1" ht="20.100000000000001" customHeight="1">
      <c r="B17" s="429"/>
      <c r="C17" s="411"/>
      <c r="D17" s="277"/>
      <c r="E17" s="277"/>
      <c r="F17" s="277"/>
      <c r="G17" s="277"/>
      <c r="H17" s="277"/>
    </row>
    <row r="18" spans="1:8" s="308" customFormat="1" ht="20.100000000000001" customHeight="1">
      <c r="B18" s="429"/>
      <c r="C18" s="431" t="s">
        <v>827</v>
      </c>
      <c r="D18" s="277"/>
      <c r="E18" s="277"/>
      <c r="F18" s="277"/>
      <c r="G18" s="277"/>
      <c r="H18" s="277"/>
    </row>
    <row r="19" spans="1:8" ht="20.100000000000001" customHeight="1">
      <c r="A19" s="308"/>
      <c r="B19" s="429">
        <v>100</v>
      </c>
      <c r="C19" s="411" t="s">
        <v>828</v>
      </c>
      <c r="D19" s="269"/>
      <c r="E19" s="269"/>
      <c r="F19" s="269"/>
      <c r="G19" s="269"/>
      <c r="H19" s="277">
        <f t="shared" ref="H19:H26" si="0">SUM(D19:G19)</f>
        <v>0</v>
      </c>
    </row>
    <row r="20" spans="1:8" ht="20.100000000000001" customHeight="1">
      <c r="A20" s="308"/>
      <c r="B20" s="429">
        <v>200</v>
      </c>
      <c r="C20" s="411" t="s">
        <v>829</v>
      </c>
      <c r="D20" s="269"/>
      <c r="E20" s="269"/>
      <c r="F20" s="269"/>
      <c r="G20" s="269"/>
      <c r="H20" s="277">
        <f t="shared" si="0"/>
        <v>0</v>
      </c>
    </row>
    <row r="21" spans="1:8" ht="20.100000000000001" customHeight="1">
      <c r="A21" s="308"/>
      <c r="B21" s="429">
        <v>300</v>
      </c>
      <c r="C21" s="411" t="s">
        <v>830</v>
      </c>
      <c r="D21" s="269"/>
      <c r="E21" s="269"/>
      <c r="F21" s="269"/>
      <c r="G21" s="269"/>
      <c r="H21" s="277">
        <f t="shared" si="0"/>
        <v>0</v>
      </c>
    </row>
    <row r="22" spans="1:8" ht="20.100000000000001" customHeight="1">
      <c r="A22" s="308"/>
      <c r="B22" s="429">
        <v>400</v>
      </c>
      <c r="C22" s="411" t="s">
        <v>831</v>
      </c>
      <c r="D22" s="269"/>
      <c r="E22" s="269"/>
      <c r="F22" s="269"/>
      <c r="G22" s="269"/>
      <c r="H22" s="277">
        <f t="shared" si="0"/>
        <v>0</v>
      </c>
    </row>
    <row r="23" spans="1:8" ht="20.100000000000001" customHeight="1">
      <c r="A23" s="308"/>
      <c r="B23" s="429">
        <v>500</v>
      </c>
      <c r="C23" s="411" t="s">
        <v>832</v>
      </c>
      <c r="D23" s="269"/>
      <c r="E23" s="269"/>
      <c r="F23" s="269"/>
      <c r="G23" s="269"/>
      <c r="H23" s="277">
        <f t="shared" si="0"/>
        <v>0</v>
      </c>
    </row>
    <row r="24" spans="1:8" ht="20.100000000000001" customHeight="1">
      <c r="A24" s="308"/>
      <c r="B24" s="429">
        <v>810</v>
      </c>
      <c r="C24" s="411" t="s">
        <v>833</v>
      </c>
      <c r="D24" s="269"/>
      <c r="E24" s="269"/>
      <c r="F24" s="269"/>
      <c r="G24" s="269"/>
      <c r="H24" s="277">
        <f t="shared" si="0"/>
        <v>0</v>
      </c>
    </row>
    <row r="25" spans="1:8" ht="20.100000000000001" customHeight="1">
      <c r="A25" s="308"/>
      <c r="B25" s="429">
        <v>830</v>
      </c>
      <c r="C25" s="411" t="s">
        <v>834</v>
      </c>
      <c r="D25" s="269"/>
      <c r="E25" s="269"/>
      <c r="F25" s="269"/>
      <c r="G25" s="269"/>
      <c r="H25" s="277">
        <f t="shared" si="0"/>
        <v>0</v>
      </c>
    </row>
    <row r="26" spans="1:8" s="308" customFormat="1" ht="26.1" customHeight="1" thickBot="1">
      <c r="A26" s="704"/>
      <c r="B26" s="429"/>
      <c r="C26" s="411"/>
      <c r="D26" s="278"/>
      <c r="E26" s="278"/>
      <c r="F26" s="278"/>
      <c r="G26" s="278"/>
      <c r="H26" s="278">
        <f t="shared" si="0"/>
        <v>0</v>
      </c>
    </row>
    <row r="27" spans="1:8" s="308" customFormat="1" ht="20.100000000000001" customHeight="1" thickBot="1">
      <c r="B27" s="429"/>
      <c r="C27" s="430" t="s">
        <v>363</v>
      </c>
      <c r="D27" s="278">
        <f>SUM(D18:D26)</f>
        <v>0</v>
      </c>
      <c r="E27" s="278">
        <f>SUM(E18:E26)</f>
        <v>0</v>
      </c>
      <c r="F27" s="278">
        <f>SUM(F18:F26)</f>
        <v>0</v>
      </c>
      <c r="G27" s="278">
        <f>SUM(G18:G26)</f>
        <v>0</v>
      </c>
      <c r="H27" s="278">
        <f>SUM(H18:H26)</f>
        <v>0</v>
      </c>
    </row>
    <row r="28" spans="1:8" s="308" customFormat="1" ht="20.100000000000001" customHeight="1" thickBot="1">
      <c r="B28" s="429"/>
      <c r="C28" s="411" t="s">
        <v>1232</v>
      </c>
      <c r="D28" s="278">
        <f>+D16-D27</f>
        <v>0</v>
      </c>
      <c r="E28" s="278">
        <f>+E16-E27</f>
        <v>0</v>
      </c>
      <c r="F28" s="278">
        <f>+F16-F27</f>
        <v>0</v>
      </c>
      <c r="G28" s="278">
        <f>+G16-G27</f>
        <v>0</v>
      </c>
      <c r="H28" s="278">
        <f>+H16-H27</f>
        <v>0</v>
      </c>
    </row>
    <row r="29" spans="1:8" s="308" customFormat="1" ht="20.100000000000001" customHeight="1">
      <c r="B29" s="429"/>
      <c r="C29" s="431" t="s">
        <v>835</v>
      </c>
      <c r="D29" s="277"/>
      <c r="E29" s="277"/>
      <c r="F29" s="277"/>
      <c r="G29" s="277"/>
      <c r="H29" s="277"/>
    </row>
    <row r="30" spans="1:8" ht="20.100000000000001" customHeight="1">
      <c r="A30" s="308"/>
      <c r="B30" s="429">
        <v>310000</v>
      </c>
      <c r="C30" s="411" t="s">
        <v>836</v>
      </c>
      <c r="D30" s="269"/>
      <c r="E30" s="269"/>
      <c r="F30" s="269"/>
      <c r="G30" s="269"/>
      <c r="H30" s="277">
        <f t="shared" ref="H30:H39" si="1">SUM(D30:G30)</f>
        <v>0</v>
      </c>
    </row>
    <row r="31" spans="1:8" ht="20.100000000000001" customHeight="1">
      <c r="A31" s="308"/>
      <c r="B31" s="429">
        <v>320000</v>
      </c>
      <c r="C31" s="411" t="s">
        <v>837</v>
      </c>
      <c r="D31" s="269"/>
      <c r="E31" s="269"/>
      <c r="F31" s="269"/>
      <c r="G31" s="269"/>
      <c r="H31" s="277">
        <f t="shared" si="1"/>
        <v>0</v>
      </c>
    </row>
    <row r="32" spans="1:8" ht="20.100000000000001" customHeight="1">
      <c r="A32" s="308"/>
      <c r="B32" s="429">
        <v>330000</v>
      </c>
      <c r="C32" s="411" t="s">
        <v>1235</v>
      </c>
      <c r="D32" s="269"/>
      <c r="E32" s="269"/>
      <c r="F32" s="269"/>
      <c r="G32" s="269"/>
      <c r="H32" s="277">
        <f t="shared" si="1"/>
        <v>0</v>
      </c>
    </row>
    <row r="33" spans="1:8" ht="20.100000000000001" customHeight="1">
      <c r="A33" s="308"/>
      <c r="B33" s="429">
        <v>371000</v>
      </c>
      <c r="C33" s="411" t="s">
        <v>1236</v>
      </c>
      <c r="D33" s="269"/>
      <c r="E33" s="269"/>
      <c r="F33" s="269"/>
      <c r="G33" s="269"/>
      <c r="H33" s="277">
        <f t="shared" si="1"/>
        <v>0</v>
      </c>
    </row>
    <row r="34" spans="1:8" ht="20.100000000000001" customHeight="1">
      <c r="A34" s="308"/>
      <c r="B34" s="429">
        <v>382030</v>
      </c>
      <c r="C34" s="411" t="s">
        <v>1767</v>
      </c>
      <c r="D34" s="269"/>
      <c r="E34" s="269"/>
      <c r="F34" s="269"/>
      <c r="G34" s="269"/>
      <c r="H34" s="277">
        <f t="shared" si="1"/>
        <v>0</v>
      </c>
    </row>
    <row r="35" spans="1:8" ht="20.100000000000001" customHeight="1">
      <c r="A35" s="308"/>
      <c r="B35" s="429">
        <v>490000</v>
      </c>
      <c r="C35" s="411" t="s">
        <v>1792</v>
      </c>
      <c r="D35" s="269"/>
      <c r="E35" s="269"/>
      <c r="F35" s="269"/>
      <c r="G35" s="269"/>
      <c r="H35" s="277">
        <f t="shared" si="1"/>
        <v>0</v>
      </c>
    </row>
    <row r="36" spans="1:8" ht="20.100000000000001" customHeight="1">
      <c r="A36" s="308"/>
      <c r="B36" s="429">
        <v>384000</v>
      </c>
      <c r="C36" s="411" t="s">
        <v>1759</v>
      </c>
      <c r="D36" s="269"/>
      <c r="E36" s="269"/>
      <c r="F36" s="269"/>
      <c r="G36" s="269"/>
      <c r="H36" s="277">
        <f t="shared" si="1"/>
        <v>0</v>
      </c>
    </row>
    <row r="37" spans="1:8" ht="20.100000000000001" customHeight="1">
      <c r="A37" s="308"/>
      <c r="B37" s="429">
        <v>385000</v>
      </c>
      <c r="C37" s="411" t="s">
        <v>1760</v>
      </c>
      <c r="D37" s="269"/>
      <c r="E37" s="269"/>
      <c r="F37" s="269"/>
      <c r="G37" s="269"/>
      <c r="H37" s="277">
        <f t="shared" si="1"/>
        <v>0</v>
      </c>
    </row>
    <row r="38" spans="1:8" ht="20.100000000000001" customHeight="1">
      <c r="A38" s="308"/>
      <c r="B38" s="429">
        <v>524000</v>
      </c>
      <c r="C38" s="411" t="s">
        <v>1761</v>
      </c>
      <c r="D38" s="269"/>
      <c r="E38" s="269"/>
      <c r="F38" s="269"/>
      <c r="G38" s="269"/>
      <c r="H38" s="277">
        <f t="shared" si="1"/>
        <v>0</v>
      </c>
    </row>
    <row r="39" spans="1:8" ht="20.100000000000001" customHeight="1" thickBot="1">
      <c r="A39" s="308"/>
      <c r="B39" s="429">
        <v>525000</v>
      </c>
      <c r="C39" s="411" t="s">
        <v>1762</v>
      </c>
      <c r="D39" s="278"/>
      <c r="E39" s="278"/>
      <c r="F39" s="278"/>
      <c r="G39" s="278"/>
      <c r="H39" s="278">
        <f t="shared" si="1"/>
        <v>0</v>
      </c>
    </row>
    <row r="40" spans="1:8" s="308" customFormat="1" ht="20.25" customHeight="1" thickBot="1">
      <c r="B40" s="429"/>
      <c r="C40" s="430" t="s">
        <v>1115</v>
      </c>
      <c r="D40" s="278">
        <f>SUM(D29:D39)</f>
        <v>0</v>
      </c>
      <c r="E40" s="278">
        <f>SUM(E29:E39)</f>
        <v>0</v>
      </c>
      <c r="F40" s="278">
        <f>SUM(F29:F39)</f>
        <v>0</v>
      </c>
      <c r="G40" s="278">
        <f>SUM(G29:G39)</f>
        <v>0</v>
      </c>
      <c r="H40" s="278">
        <f>SUM(H29:H39)</f>
        <v>0</v>
      </c>
    </row>
    <row r="41" spans="1:8" s="308" customFormat="1" ht="20.100000000000001" customHeight="1">
      <c r="B41" s="429"/>
      <c r="C41" s="411" t="s">
        <v>13</v>
      </c>
      <c r="D41" s="306">
        <f>+D28+D40</f>
        <v>0</v>
      </c>
      <c r="E41" s="306">
        <f>+E28+E40</f>
        <v>0</v>
      </c>
      <c r="F41" s="306">
        <f>+F28+F40</f>
        <v>0</v>
      </c>
      <c r="G41" s="306">
        <f>+G28+G40</f>
        <v>0</v>
      </c>
      <c r="H41" s="306">
        <f>+H28+H40</f>
        <v>0</v>
      </c>
    </row>
    <row r="42" spans="1:8" ht="20.100000000000001" customHeight="1">
      <c r="A42" s="308"/>
      <c r="B42" s="429"/>
      <c r="C42" s="411" t="s">
        <v>848</v>
      </c>
      <c r="D42" s="269"/>
      <c r="E42" s="269"/>
      <c r="F42" s="269"/>
      <c r="G42" s="269"/>
      <c r="H42" s="277">
        <f>SUM(D42:G42)</f>
        <v>0</v>
      </c>
    </row>
    <row r="43" spans="1:8" ht="20.100000000000001" customHeight="1" thickBot="1">
      <c r="A43" s="308"/>
      <c r="B43" s="429"/>
      <c r="C43" s="411" t="s">
        <v>476</v>
      </c>
      <c r="D43" s="271"/>
      <c r="E43" s="271"/>
      <c r="F43" s="271"/>
      <c r="G43" s="271"/>
      <c r="H43" s="278">
        <f>SUM(D43:G43)</f>
        <v>0</v>
      </c>
    </row>
    <row r="44" spans="1:8" s="308" customFormat="1" ht="20.100000000000001" customHeight="1">
      <c r="B44" s="429"/>
      <c r="C44" s="411" t="s">
        <v>1805</v>
      </c>
      <c r="D44" s="277">
        <f>+D41+D42+D43</f>
        <v>0</v>
      </c>
      <c r="E44" s="277">
        <f>+E41+E42+E43</f>
        <v>0</v>
      </c>
      <c r="F44" s="277">
        <f>+F41+F42+F43</f>
        <v>0</v>
      </c>
      <c r="G44" s="277">
        <f>+G41+G42+G43</f>
        <v>0</v>
      </c>
      <c r="H44" s="277">
        <f>+H41+H42+H43</f>
        <v>0</v>
      </c>
    </row>
    <row r="45" spans="1:8" ht="20.100000000000001" customHeight="1">
      <c r="B45" s="301"/>
      <c r="C45" s="263" t="str">
        <f>+'CHANGE NET POSITION-PROP.(19)'!B45</f>
        <v>Total net position - July 1, 2016 as previously reported</v>
      </c>
      <c r="D45" s="303"/>
      <c r="E45" s="303"/>
      <c r="F45" s="303"/>
      <c r="G45" s="303"/>
      <c r="H45" s="277">
        <f>SUM(D45:G45)</f>
        <v>0</v>
      </c>
    </row>
    <row r="46" spans="1:8" ht="20.100000000000001" customHeight="1" thickBot="1">
      <c r="B46" s="301"/>
      <c r="C46" s="263" t="s">
        <v>699</v>
      </c>
      <c r="D46" s="271"/>
      <c r="E46" s="271"/>
      <c r="F46" s="271"/>
      <c r="G46" s="271"/>
      <c r="H46" s="278">
        <f>SUM(D46:G46)</f>
        <v>0</v>
      </c>
    </row>
    <row r="47" spans="1:8" ht="20.100000000000001" customHeight="1" thickBot="1">
      <c r="B47" s="301"/>
      <c r="C47" s="263" t="str">
        <f>+'CHANGE NET POSITION-PROP.(19)'!B47</f>
        <v>Total net position - July 1, 2016 as restated</v>
      </c>
      <c r="D47" s="307">
        <f>+D45+D46</f>
        <v>0</v>
      </c>
      <c r="E47" s="307">
        <f>+E45+E46</f>
        <v>0</v>
      </c>
      <c r="F47" s="307">
        <f>+F45+F46</f>
        <v>0</v>
      </c>
      <c r="G47" s="307">
        <f>+G45+G46</f>
        <v>0</v>
      </c>
      <c r="H47" s="307">
        <f>+H45+H46</f>
        <v>0</v>
      </c>
    </row>
    <row r="48" spans="1:8" ht="20.100000000000001" customHeight="1" thickBot="1">
      <c r="B48" s="301"/>
      <c r="C48" s="263" t="str">
        <f>+'CHANGE NET POSITION-PROP.(19)'!B48</f>
        <v>Total net position - June 30, 2017</v>
      </c>
      <c r="D48" s="280">
        <f>+D44+D47</f>
        <v>0</v>
      </c>
      <c r="E48" s="280">
        <f>+E44+E47</f>
        <v>0</v>
      </c>
      <c r="F48" s="280">
        <f>+F44+F47</f>
        <v>0</v>
      </c>
      <c r="G48" s="280">
        <f>+G44+G47</f>
        <v>0</v>
      </c>
      <c r="H48" s="280">
        <f>+H44+H47</f>
        <v>0</v>
      </c>
    </row>
    <row r="49" spans="1:8" ht="15.75" thickTop="1">
      <c r="B49" s="301"/>
      <c r="C49" s="263"/>
      <c r="D49" s="263"/>
      <c r="E49" s="263"/>
      <c r="F49" s="263"/>
      <c r="G49" s="263"/>
      <c r="H49" s="263"/>
    </row>
    <row r="50" spans="1:8" ht="15.75">
      <c r="A50" s="274" t="s">
        <v>3134</v>
      </c>
      <c r="B50" s="439"/>
      <c r="C50" s="282"/>
      <c r="D50" s="282"/>
      <c r="E50" s="282"/>
      <c r="F50" s="282"/>
      <c r="G50" s="282"/>
      <c r="H50" s="282"/>
    </row>
    <row r="51" spans="1:8" ht="15">
      <c r="B51" s="301"/>
      <c r="C51" s="263"/>
      <c r="D51" s="263"/>
      <c r="E51" s="263"/>
      <c r="F51" s="263"/>
      <c r="G51" s="263"/>
      <c r="H51" s="263"/>
    </row>
    <row r="52" spans="1:8" ht="15">
      <c r="B52" s="301"/>
      <c r="C52" s="263"/>
      <c r="D52" s="263"/>
      <c r="E52" s="263"/>
      <c r="F52" s="263"/>
      <c r="G52" s="263"/>
      <c r="H52" s="263"/>
    </row>
    <row r="53" spans="1:8" ht="15">
      <c r="B53" s="301"/>
      <c r="C53" s="263"/>
      <c r="D53" s="263"/>
      <c r="E53" s="263"/>
      <c r="F53" s="263"/>
      <c r="G53" s="263"/>
      <c r="H53" s="263"/>
    </row>
    <row r="54" spans="1:8" ht="15">
      <c r="B54" s="301"/>
      <c r="C54" s="263"/>
      <c r="D54" s="263"/>
      <c r="E54" s="263"/>
      <c r="F54" s="263"/>
      <c r="G54" s="263"/>
      <c r="H54" s="263"/>
    </row>
    <row r="55" spans="1:8" ht="15">
      <c r="B55" s="301"/>
      <c r="C55" s="263"/>
      <c r="D55" s="263"/>
      <c r="E55" s="263"/>
      <c r="F55" s="263"/>
      <c r="G55" s="263"/>
      <c r="H55" s="263"/>
    </row>
    <row r="56" spans="1:8" ht="15">
      <c r="B56" s="301"/>
      <c r="C56" s="263"/>
      <c r="D56" s="263"/>
      <c r="E56" s="263"/>
      <c r="F56" s="263"/>
      <c r="G56" s="263"/>
      <c r="H56" s="263"/>
    </row>
    <row r="57" spans="1:8" ht="15">
      <c r="B57" s="301"/>
      <c r="C57" s="263"/>
      <c r="D57" s="263"/>
      <c r="E57" s="263"/>
      <c r="F57" s="263"/>
      <c r="G57" s="263"/>
      <c r="H57" s="263"/>
    </row>
    <row r="58" spans="1:8" ht="15">
      <c r="B58" s="301"/>
      <c r="C58" s="263"/>
      <c r="D58" s="263"/>
      <c r="E58" s="263"/>
      <c r="F58" s="263"/>
      <c r="G58" s="263"/>
      <c r="H58" s="263"/>
    </row>
    <row r="59" spans="1:8" ht="15">
      <c r="B59" s="301"/>
      <c r="C59" s="263"/>
      <c r="D59" s="263"/>
      <c r="E59" s="263"/>
      <c r="F59" s="263"/>
      <c r="G59" s="263"/>
      <c r="H59" s="263"/>
    </row>
    <row r="60" spans="1:8" ht="15">
      <c r="B60" s="301"/>
      <c r="C60" s="263"/>
      <c r="D60" s="263"/>
      <c r="E60" s="263"/>
      <c r="F60" s="263"/>
      <c r="G60" s="263"/>
      <c r="H60" s="263"/>
    </row>
    <row r="61" spans="1:8" ht="15">
      <c r="B61" s="301"/>
      <c r="C61" s="263"/>
      <c r="D61" s="263"/>
      <c r="E61" s="263"/>
      <c r="F61" s="263"/>
      <c r="G61" s="263"/>
      <c r="H61" s="263"/>
    </row>
    <row r="62" spans="1:8" ht="15">
      <c r="B62" s="301"/>
      <c r="C62" s="263"/>
      <c r="D62" s="263"/>
      <c r="E62" s="263"/>
      <c r="F62" s="263"/>
      <c r="G62" s="263"/>
      <c r="H62" s="263"/>
    </row>
    <row r="63" spans="1:8" ht="15">
      <c r="B63" s="301"/>
      <c r="C63" s="263"/>
      <c r="D63" s="263"/>
      <c r="E63" s="263"/>
      <c r="F63" s="263"/>
      <c r="G63" s="263"/>
      <c r="H63" s="263"/>
    </row>
    <row r="64" spans="1:8" ht="15">
      <c r="B64" s="301"/>
      <c r="C64" s="263"/>
      <c r="D64" s="263"/>
      <c r="E64" s="263"/>
      <c r="F64" s="263"/>
      <c r="G64" s="263"/>
      <c r="H64" s="263"/>
    </row>
    <row r="65" spans="2:8" ht="15">
      <c r="B65" s="301"/>
      <c r="C65" s="263"/>
      <c r="D65" s="263"/>
      <c r="E65" s="263"/>
      <c r="F65" s="263"/>
      <c r="G65" s="263"/>
      <c r="H65" s="263"/>
    </row>
    <row r="66" spans="2:8" ht="15">
      <c r="B66" s="301"/>
      <c r="C66" s="263"/>
      <c r="D66" s="263"/>
      <c r="E66" s="263"/>
      <c r="F66" s="263"/>
      <c r="G66" s="263"/>
      <c r="H66" s="263"/>
    </row>
    <row r="67" spans="2:8" ht="15">
      <c r="B67" s="301"/>
      <c r="C67" s="263"/>
      <c r="D67" s="263"/>
      <c r="E67" s="263"/>
      <c r="F67" s="263"/>
      <c r="G67" s="263"/>
      <c r="H67" s="263"/>
    </row>
    <row r="68" spans="2:8" ht="15">
      <c r="B68" s="301"/>
      <c r="C68" s="263"/>
      <c r="D68" s="263"/>
      <c r="E68" s="263"/>
      <c r="F68" s="263"/>
      <c r="G68" s="263"/>
      <c r="H68" s="263"/>
    </row>
    <row r="69" spans="2:8" ht="15">
      <c r="B69" s="301"/>
      <c r="C69" s="263"/>
      <c r="D69" s="263"/>
      <c r="E69" s="263"/>
      <c r="F69" s="263"/>
      <c r="G69" s="263"/>
      <c r="H69" s="263"/>
    </row>
    <row r="70" spans="2:8" ht="15">
      <c r="B70" s="301"/>
      <c r="C70" s="263"/>
      <c r="D70" s="263"/>
      <c r="E70" s="263"/>
      <c r="F70" s="263"/>
      <c r="G70" s="263"/>
      <c r="H70" s="263"/>
    </row>
    <row r="71" spans="2:8" ht="15">
      <c r="B71" s="301"/>
      <c r="C71" s="263"/>
      <c r="D71" s="263"/>
      <c r="E71" s="263"/>
      <c r="F71" s="263"/>
      <c r="G71" s="263"/>
      <c r="H71" s="263"/>
    </row>
    <row r="72" spans="2:8" ht="15">
      <c r="B72" s="301"/>
      <c r="C72" s="263"/>
      <c r="D72" s="263"/>
      <c r="E72" s="263"/>
      <c r="F72" s="263"/>
      <c r="G72" s="263"/>
      <c r="H72" s="263"/>
    </row>
    <row r="73" spans="2:8" ht="15">
      <c r="B73" s="301"/>
      <c r="C73" s="263"/>
      <c r="D73" s="263"/>
      <c r="E73" s="263"/>
      <c r="F73" s="263"/>
      <c r="G73" s="263"/>
      <c r="H73" s="263"/>
    </row>
    <row r="74" spans="2:8" ht="15">
      <c r="B74" s="301"/>
      <c r="C74" s="263"/>
      <c r="D74" s="263"/>
      <c r="E74" s="263"/>
      <c r="F74" s="263"/>
      <c r="G74" s="263"/>
      <c r="H74" s="263"/>
    </row>
    <row r="75" spans="2:8" ht="15">
      <c r="B75" s="301"/>
      <c r="C75" s="263"/>
      <c r="D75" s="263"/>
      <c r="E75" s="263"/>
      <c r="F75" s="263"/>
      <c r="G75" s="263"/>
      <c r="H75" s="263"/>
    </row>
    <row r="76" spans="2:8" ht="15">
      <c r="B76" s="263"/>
      <c r="C76" s="263"/>
      <c r="D76" s="263"/>
      <c r="E76" s="263"/>
      <c r="F76" s="263"/>
      <c r="G76" s="263"/>
      <c r="H76" s="263"/>
    </row>
    <row r="77" spans="2:8" ht="15">
      <c r="B77" s="263"/>
      <c r="C77" s="263"/>
      <c r="D77" s="263"/>
      <c r="E77" s="263"/>
      <c r="F77" s="263"/>
      <c r="G77" s="263"/>
      <c r="H77" s="263"/>
    </row>
    <row r="78" spans="2:8" ht="15">
      <c r="B78" s="263"/>
      <c r="C78" s="263"/>
      <c r="D78" s="263"/>
      <c r="E78" s="263"/>
      <c r="F78" s="263"/>
      <c r="G78" s="263"/>
      <c r="H78" s="263"/>
    </row>
    <row r="79" spans="2:8" ht="15">
      <c r="B79" s="263"/>
      <c r="C79" s="263"/>
      <c r="D79" s="263"/>
      <c r="E79" s="263"/>
      <c r="F79" s="263"/>
      <c r="G79" s="263"/>
      <c r="H79" s="263"/>
    </row>
    <row r="80" spans="2:8" ht="15">
      <c r="B80" s="263"/>
      <c r="C80" s="263"/>
      <c r="D80" s="263"/>
      <c r="E80" s="263"/>
      <c r="F80" s="263"/>
      <c r="G80" s="263"/>
      <c r="H80" s="263"/>
    </row>
    <row r="81" spans="2:8" ht="15">
      <c r="B81" s="263"/>
      <c r="C81" s="263"/>
      <c r="D81" s="263"/>
      <c r="E81" s="263"/>
      <c r="F81" s="263"/>
      <c r="G81" s="263"/>
      <c r="H81" s="263"/>
    </row>
    <row r="82" spans="2:8" ht="15">
      <c r="B82" s="263"/>
      <c r="C82" s="263"/>
      <c r="D82" s="263"/>
      <c r="E82" s="263"/>
      <c r="F82" s="263"/>
      <c r="G82" s="263"/>
      <c r="H82" s="263"/>
    </row>
    <row r="83" spans="2:8" ht="15">
      <c r="B83" s="263"/>
      <c r="C83" s="263"/>
      <c r="D83" s="263"/>
      <c r="E83" s="263"/>
      <c r="F83" s="263"/>
      <c r="G83" s="263"/>
      <c r="H83" s="263"/>
    </row>
    <row r="84" spans="2:8" ht="15">
      <c r="B84" s="263"/>
      <c r="C84" s="263"/>
      <c r="D84" s="263"/>
      <c r="E84" s="263"/>
      <c r="F84" s="263"/>
      <c r="G84" s="263"/>
      <c r="H84" s="263"/>
    </row>
  </sheetData>
  <sheetProtection password="D950" sheet="1" scenarios="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F10" sqref="F10"/>
    </sheetView>
  </sheetViews>
  <sheetFormatPr defaultColWidth="8.85546875" defaultRowHeight="12.75"/>
  <cols>
    <col min="1" max="1" width="55.7109375" style="261" customWidth="1"/>
    <col min="2" max="6" width="24.7109375" style="261" customWidth="1"/>
    <col min="7" max="16384" width="8.85546875" style="261"/>
  </cols>
  <sheetData>
    <row r="1" spans="1:6" ht="18">
      <c r="A1" s="259" t="str">
        <f>+'GW-STATEMENT NET POSITION(13)'!A1</f>
        <v>TOWN OF BROADUS</v>
      </c>
      <c r="B1" s="276"/>
      <c r="C1" s="276"/>
      <c r="D1" s="276"/>
      <c r="E1" s="276"/>
      <c r="F1" s="276"/>
    </row>
    <row r="2" spans="1:6" ht="18">
      <c r="A2" s="259" t="s">
        <v>5</v>
      </c>
      <c r="B2" s="276"/>
      <c r="C2" s="276"/>
      <c r="D2" s="276"/>
      <c r="E2" s="276"/>
      <c r="F2" s="276"/>
    </row>
    <row r="3" spans="1:6" ht="18">
      <c r="A3" s="259" t="s">
        <v>929</v>
      </c>
      <c r="B3" s="276"/>
      <c r="C3" s="276"/>
      <c r="D3" s="276"/>
      <c r="E3" s="276"/>
      <c r="F3" s="276"/>
    </row>
    <row r="4" spans="1:6" ht="18">
      <c r="A4" s="262" t="str">
        <f>+'GW-STATEMENT OF ACTIVITIES(14)'!B3</f>
        <v>FISCAL YEAR ENDING JUNE 30, 2017</v>
      </c>
      <c r="B4" s="276"/>
      <c r="C4" s="276"/>
      <c r="D4" s="276"/>
      <c r="E4" s="276"/>
      <c r="F4" s="276"/>
    </row>
    <row r="5" spans="1:6" ht="18">
      <c r="A5" s="262"/>
    </row>
    <row r="6" spans="1:6" ht="16.5" thickBot="1">
      <c r="A6" s="263"/>
      <c r="B6" s="267"/>
      <c r="C6" s="267"/>
      <c r="D6" s="267"/>
      <c r="E6" s="267"/>
      <c r="F6" s="265"/>
    </row>
    <row r="7" spans="1:6" ht="15.75">
      <c r="A7" s="266"/>
      <c r="B7" s="266" t="str">
        <f>'CHG. IN NP-NONMAJOR ENTERPR(80)'!D9</f>
        <v>FUND #</v>
      </c>
      <c r="C7" s="266" t="str">
        <f>'CHG. IN NP-NONMAJOR ENTERPR(80)'!E9</f>
        <v>FUND #</v>
      </c>
      <c r="D7" s="266" t="str">
        <f>'CHG. IN NP-NONMAJOR ENTERPR(80)'!F9</f>
        <v>FUND #</v>
      </c>
      <c r="E7" s="777" t="str">
        <f>'CHG. IN NP-NONMAJOR ENTERPR(80)'!G9</f>
        <v>FUND #</v>
      </c>
      <c r="F7" s="411"/>
    </row>
    <row r="8" spans="1:6" ht="16.5" thickBot="1">
      <c r="A8" s="267" t="s">
        <v>179</v>
      </c>
      <c r="B8" s="267" t="str">
        <f>'CHG. IN NP-NONMAJOR ENTERPR(80)'!D10</f>
        <v>NAME</v>
      </c>
      <c r="C8" s="267" t="str">
        <f>'CHG. IN NP-NONMAJOR ENTERPR(80)'!E10</f>
        <v>NAME</v>
      </c>
      <c r="D8" s="267" t="str">
        <f>'CHG. IN NP-NONMAJOR ENTERPR(80)'!F10</f>
        <v>NAME</v>
      </c>
      <c r="E8" s="267" t="str">
        <f>'CHG. IN NP-NONMAJOR ENTERPR(80)'!G10</f>
        <v>NAME</v>
      </c>
      <c r="F8" s="676" t="s">
        <v>126</v>
      </c>
    </row>
    <row r="9" spans="1:6" ht="20.100000000000001" customHeight="1">
      <c r="A9" s="268" t="s">
        <v>48</v>
      </c>
      <c r="B9" s="288"/>
      <c r="C9" s="288"/>
      <c r="D9" s="288"/>
      <c r="E9" s="288"/>
      <c r="F9" s="326"/>
    </row>
    <row r="10" spans="1:6" ht="20.100000000000001" customHeight="1">
      <c r="A10" s="263" t="s">
        <v>43</v>
      </c>
      <c r="B10" s="269">
        <f>'CHG. IN NP-NONMAJOR ENTERPR(80)'!D16</f>
        <v>0</v>
      </c>
      <c r="C10" s="269">
        <f>'CHG. IN NP-NONMAJOR ENTERPR(80)'!E16</f>
        <v>0</v>
      </c>
      <c r="D10" s="269">
        <f>'CHG. IN NP-NONMAJOR ENTERPR(80)'!F16</f>
        <v>0</v>
      </c>
      <c r="E10" s="269">
        <f>'CHG. IN NP-NONMAJOR ENTERPR(80)'!G16</f>
        <v>0</v>
      </c>
      <c r="F10" s="277">
        <f>+B10+C10+D10+E10</f>
        <v>0</v>
      </c>
    </row>
    <row r="11" spans="1:6" ht="20.100000000000001" customHeight="1">
      <c r="A11" s="263" t="s">
        <v>44</v>
      </c>
      <c r="B11" s="269">
        <f>-'CHG. IN NP-NONMAJOR ENTERPR(80)'!D20-'CHG. IN NP-NONMAJOR ENTERPR(80)'!D21-'CHG. IN NP-NONMAJOR ENTERPR(80)'!D22-'CHG. IN NP-NONMAJOR ENTERPR(80)'!D23-'CHG. IN NP-NONMAJOR ENTERPR(80)'!D24</f>
        <v>0</v>
      </c>
      <c r="C11" s="269">
        <f>-'CHG. IN NP-NONMAJOR ENTERPR(80)'!E20-'CHG. IN NP-NONMAJOR ENTERPR(80)'!E21-'CHG. IN NP-NONMAJOR ENTERPR(80)'!E22-'CHG. IN NP-NONMAJOR ENTERPR(80)'!E23-'CHG. IN NP-NONMAJOR ENTERPR(80)'!E24</f>
        <v>0</v>
      </c>
      <c r="D11" s="269">
        <f>-'CHG. IN NP-NONMAJOR ENTERPR(80)'!F20-'CHG. IN NP-NONMAJOR ENTERPR(80)'!F21-'CHG. IN NP-NONMAJOR ENTERPR(80)'!F22-'CHG. IN NP-NONMAJOR ENTERPR(80)'!F23-'CHG. IN NP-NONMAJOR ENTERPR(80)'!F24</f>
        <v>0</v>
      </c>
      <c r="E11" s="269">
        <f>-'CHG. IN NP-NONMAJOR ENTERPR(80)'!G20-'CHG. IN NP-NONMAJOR ENTERPR(80)'!G21-'CHG. IN NP-NONMAJOR ENTERPR(80)'!G22-'CHG. IN NP-NONMAJOR ENTERPR(80)'!G23-'CHG. IN NP-NONMAJOR ENTERPR(80)'!G24</f>
        <v>0</v>
      </c>
      <c r="F11" s="277">
        <f>+B11+C11+D11+E11</f>
        <v>0</v>
      </c>
    </row>
    <row r="12" spans="1:6" ht="20.100000000000001" customHeight="1">
      <c r="A12" s="263" t="s">
        <v>45</v>
      </c>
      <c r="B12" s="269">
        <f>-'CHG. IN NP-NONMAJOR ENTERPR(80)'!D19</f>
        <v>0</v>
      </c>
      <c r="C12" s="269">
        <f>-'CHG. IN NP-NONMAJOR ENTERPR(80)'!E19</f>
        <v>0</v>
      </c>
      <c r="D12" s="269">
        <f>-'CHG. IN NP-NONMAJOR ENTERPR(80)'!F19</f>
        <v>0</v>
      </c>
      <c r="E12" s="269">
        <f>-'CHG. IN NP-NONMAJOR ENTERPR(80)'!G19</f>
        <v>0</v>
      </c>
      <c r="F12" s="277">
        <f>+B12+C12+D12+E12</f>
        <v>0</v>
      </c>
    </row>
    <row r="13" spans="1:6" ht="20.100000000000001" customHeight="1">
      <c r="A13" s="263" t="s">
        <v>46</v>
      </c>
      <c r="B13" s="269"/>
      <c r="C13" s="269"/>
      <c r="D13" s="269"/>
      <c r="E13" s="269"/>
      <c r="F13" s="277">
        <f>+B13+C13+D13+E13</f>
        <v>0</v>
      </c>
    </row>
    <row r="14" spans="1:6" ht="20.100000000000001" customHeight="1" thickBot="1">
      <c r="A14" s="317" t="s">
        <v>47</v>
      </c>
      <c r="B14" s="271"/>
      <c r="C14" s="271"/>
      <c r="D14" s="271"/>
      <c r="E14" s="271"/>
      <c r="F14" s="278">
        <f>+B14+C14+D14</f>
        <v>0</v>
      </c>
    </row>
    <row r="15" spans="1:6" s="308" customFormat="1" ht="20.100000000000001" customHeight="1" thickBot="1">
      <c r="A15" s="411" t="s">
        <v>857</v>
      </c>
      <c r="B15" s="278">
        <f>SUM(B9:B14)</f>
        <v>0</v>
      </c>
      <c r="C15" s="278">
        <f>SUM(C9:C14)</f>
        <v>0</v>
      </c>
      <c r="D15" s="278">
        <f>SUM(D9:D14)</f>
        <v>0</v>
      </c>
      <c r="E15" s="278"/>
      <c r="F15" s="278">
        <f>SUM(F9:F14)</f>
        <v>0</v>
      </c>
    </row>
    <row r="16" spans="1:6" s="308" customFormat="1" ht="30" customHeight="1">
      <c r="A16" s="548" t="s">
        <v>49</v>
      </c>
      <c r="B16" s="277"/>
      <c r="C16" s="277"/>
      <c r="D16" s="277"/>
      <c r="E16" s="277"/>
      <c r="F16" s="277"/>
    </row>
    <row r="17" spans="1:6" ht="20.100000000000001" customHeight="1">
      <c r="A17" s="263" t="s">
        <v>50</v>
      </c>
      <c r="B17" s="269">
        <f>'CHG. IN NP-NONMAJOR ENTERPR(80)'!D43</f>
        <v>0</v>
      </c>
      <c r="C17" s="269">
        <f>'CHG. IN NP-NONMAJOR ENTERPR(80)'!E43</f>
        <v>0</v>
      </c>
      <c r="D17" s="269">
        <f>'CHG. IN NP-NONMAJOR ENTERPR(80)'!F43</f>
        <v>0</v>
      </c>
      <c r="E17" s="269">
        <f>'CHG. IN NP-NONMAJOR ENTERPR(80)'!G43</f>
        <v>0</v>
      </c>
      <c r="F17" s="277">
        <f>+B17+C17+D17+E17</f>
        <v>0</v>
      </c>
    </row>
    <row r="18" spans="1:6" ht="20.100000000000001" customHeight="1">
      <c r="A18" s="263" t="s">
        <v>51</v>
      </c>
      <c r="B18" s="269"/>
      <c r="C18" s="269"/>
      <c r="D18" s="269"/>
      <c r="E18" s="269"/>
      <c r="F18" s="277">
        <f>+B18+C18+D18+E18</f>
        <v>0</v>
      </c>
    </row>
    <row r="19" spans="1:6" ht="20.100000000000001" customHeight="1" thickBot="1">
      <c r="A19" s="263" t="s">
        <v>473</v>
      </c>
      <c r="B19" s="271">
        <f>'CHG. IN NP-NONMAJOR ENTERPR(80)'!D32</f>
        <v>0</v>
      </c>
      <c r="C19" s="271">
        <f>'CHG. IN NP-NONMAJOR ENTERPR(80)'!E32</f>
        <v>0</v>
      </c>
      <c r="D19" s="271">
        <f>'CHG. IN NP-NONMAJOR ENTERPR(80)'!F32</f>
        <v>0</v>
      </c>
      <c r="E19" s="271">
        <f>'CHG. IN NP-NONMAJOR ENTERPR(80)'!G32</f>
        <v>0</v>
      </c>
      <c r="F19" s="278">
        <f>+B19+C19+D19+E19</f>
        <v>0</v>
      </c>
    </row>
    <row r="20" spans="1:6" s="308" customFormat="1" ht="30" customHeight="1" thickBot="1">
      <c r="A20" s="705" t="s">
        <v>52</v>
      </c>
      <c r="B20" s="278">
        <f>SUM(B16:B19)</f>
        <v>0</v>
      </c>
      <c r="C20" s="278">
        <f>SUM(C16:C19)</f>
        <v>0</v>
      </c>
      <c r="D20" s="278">
        <f>SUM(D16:D19)</f>
        <v>0</v>
      </c>
      <c r="E20" s="278">
        <f>SUM(E16:E19)</f>
        <v>0</v>
      </c>
      <c r="F20" s="278">
        <f>SUM(F16:F19)</f>
        <v>0</v>
      </c>
    </row>
    <row r="21" spans="1:6" s="308" customFormat="1" ht="30" customHeight="1">
      <c r="A21" s="548" t="s">
        <v>854</v>
      </c>
      <c r="B21" s="277"/>
      <c r="C21" s="277"/>
      <c r="D21" s="277"/>
      <c r="E21" s="277"/>
      <c r="F21" s="277"/>
    </row>
    <row r="22" spans="1:6" ht="20.100000000000001" customHeight="1">
      <c r="A22" s="263" t="s">
        <v>53</v>
      </c>
      <c r="B22" s="269"/>
      <c r="C22" s="269"/>
      <c r="D22" s="269"/>
      <c r="E22" s="269"/>
      <c r="F22" s="277">
        <f t="shared" ref="F22:F28" si="0">+B22+C22+D22+E22</f>
        <v>0</v>
      </c>
    </row>
    <row r="23" spans="1:6" ht="20.100000000000001" customHeight="1">
      <c r="A23" s="263" t="s">
        <v>54</v>
      </c>
      <c r="B23" s="269">
        <f>'CHG. IN NP-NONMAJOR ENTERPR(80)'!D42</f>
        <v>0</v>
      </c>
      <c r="C23" s="269">
        <f>'CHG. IN NP-NONMAJOR ENTERPR(80)'!E42</f>
        <v>0</v>
      </c>
      <c r="D23" s="269">
        <f>'CHG. IN NP-NONMAJOR ENTERPR(80)'!F42</f>
        <v>0</v>
      </c>
      <c r="E23" s="269">
        <f>'CHG. IN NP-NONMAJOR ENTERPR(80)'!G42</f>
        <v>0</v>
      </c>
      <c r="F23" s="277">
        <f t="shared" si="0"/>
        <v>0</v>
      </c>
    </row>
    <row r="24" spans="1:6" ht="20.100000000000001" customHeight="1">
      <c r="A24" s="263" t="s">
        <v>55</v>
      </c>
      <c r="B24" s="269"/>
      <c r="C24" s="269"/>
      <c r="D24" s="269"/>
      <c r="E24" s="269"/>
      <c r="F24" s="277">
        <f t="shared" si="0"/>
        <v>0</v>
      </c>
    </row>
    <row r="25" spans="1:6" ht="20.100000000000001" customHeight="1">
      <c r="A25" s="317" t="s">
        <v>56</v>
      </c>
      <c r="B25" s="269"/>
      <c r="C25" s="269"/>
      <c r="D25" s="269"/>
      <c r="E25" s="269"/>
      <c r="F25" s="277">
        <f t="shared" si="0"/>
        <v>0</v>
      </c>
    </row>
    <row r="26" spans="1:6" ht="20.100000000000001" customHeight="1">
      <c r="A26" s="263" t="s">
        <v>1419</v>
      </c>
      <c r="B26" s="303">
        <f>'CHG. IN NP-NONMAJOR ENTERPR(80)'!D35</f>
        <v>0</v>
      </c>
      <c r="C26" s="303">
        <f>'CHG. IN NP-NONMAJOR ENTERPR(80)'!E35</f>
        <v>0</v>
      </c>
      <c r="D26" s="303">
        <f>'CHG. IN NP-NONMAJOR ENTERPR(80)'!F35</f>
        <v>0</v>
      </c>
      <c r="E26" s="303">
        <f>'CHG. IN NP-NONMAJOR ENTERPR(80)'!G35</f>
        <v>0</v>
      </c>
      <c r="F26" s="277">
        <f t="shared" si="0"/>
        <v>0</v>
      </c>
    </row>
    <row r="27" spans="1:6" ht="20.100000000000001" customHeight="1">
      <c r="A27" s="263" t="s">
        <v>57</v>
      </c>
      <c r="B27" s="269"/>
      <c r="C27" s="269"/>
      <c r="D27" s="269"/>
      <c r="E27" s="269"/>
      <c r="F27" s="277">
        <f t="shared" si="0"/>
        <v>0</v>
      </c>
    </row>
    <row r="28" spans="1:6" ht="20.100000000000001" customHeight="1" thickBot="1">
      <c r="A28" s="263" t="s">
        <v>58</v>
      </c>
      <c r="B28" s="271"/>
      <c r="C28" s="271"/>
      <c r="D28" s="271"/>
      <c r="E28" s="271"/>
      <c r="F28" s="278">
        <f t="shared" si="0"/>
        <v>0</v>
      </c>
    </row>
    <row r="29" spans="1:6" s="308" customFormat="1" ht="30" customHeight="1" thickBot="1">
      <c r="A29" s="705" t="s">
        <v>52</v>
      </c>
      <c r="B29" s="278">
        <f>SUM(B21:B28)</f>
        <v>0</v>
      </c>
      <c r="C29" s="278">
        <f>SUM(C21:C28)</f>
        <v>0</v>
      </c>
      <c r="D29" s="278">
        <f>SUM(D21:D28)</f>
        <v>0</v>
      </c>
      <c r="E29" s="278">
        <f>SUM(E21:E28)</f>
        <v>0</v>
      </c>
      <c r="F29" s="278">
        <f>SUM(F21:F28)</f>
        <v>0</v>
      </c>
    </row>
    <row r="30" spans="1:6" s="308" customFormat="1" ht="20.100000000000001" customHeight="1">
      <c r="A30" s="431" t="s">
        <v>59</v>
      </c>
      <c r="B30" s="277"/>
      <c r="C30" s="277"/>
      <c r="D30" s="277"/>
      <c r="E30" s="277"/>
      <c r="F30" s="277"/>
    </row>
    <row r="31" spans="1:6" ht="20.100000000000001" customHeight="1">
      <c r="A31" s="263" t="s">
        <v>60</v>
      </c>
      <c r="B31" s="269"/>
      <c r="C31" s="269"/>
      <c r="D31" s="269"/>
      <c r="E31" s="269"/>
      <c r="F31" s="277">
        <f>+B31+C31+D31+E31</f>
        <v>0</v>
      </c>
    </row>
    <row r="32" spans="1:6" ht="20.100000000000001" customHeight="1">
      <c r="A32" s="263" t="s">
        <v>866</v>
      </c>
      <c r="B32" s="269"/>
      <c r="C32" s="269"/>
      <c r="D32" s="269"/>
      <c r="E32" s="269"/>
      <c r="F32" s="277">
        <f>+B32+C32+D32+E32</f>
        <v>0</v>
      </c>
    </row>
    <row r="33" spans="1:6" ht="20.100000000000001" customHeight="1" thickBot="1">
      <c r="A33" s="263" t="s">
        <v>867</v>
      </c>
      <c r="B33" s="271">
        <f>'CHG. IN NP-NONMAJOR ENTERPR(80)'!D33</f>
        <v>0</v>
      </c>
      <c r="C33" s="271">
        <f>'CHG. IN NP-NONMAJOR ENTERPR(80)'!E33</f>
        <v>0</v>
      </c>
      <c r="D33" s="271">
        <f>'CHG. IN NP-NONMAJOR ENTERPR(80)'!F33</f>
        <v>0</v>
      </c>
      <c r="E33" s="271">
        <f>'CHG. IN NP-NONMAJOR ENTERPR(80)'!G33</f>
        <v>0</v>
      </c>
      <c r="F33" s="278">
        <f>+B33+C33+D33+E33</f>
        <v>0</v>
      </c>
    </row>
    <row r="34" spans="1:6" s="308" customFormat="1" ht="20.100000000000001" customHeight="1" thickBot="1">
      <c r="A34" s="428" t="s">
        <v>868</v>
      </c>
      <c r="B34" s="278">
        <f>SUM(B30:B33)</f>
        <v>0</v>
      </c>
      <c r="C34" s="278">
        <f>SUM(C30:C33)</f>
        <v>0</v>
      </c>
      <c r="D34" s="278">
        <f>SUM(D30:D33)</f>
        <v>0</v>
      </c>
      <c r="E34" s="278">
        <f>SUM(E30:E33)</f>
        <v>0</v>
      </c>
      <c r="F34" s="278">
        <f>SUM(F30:F33)</f>
        <v>0</v>
      </c>
    </row>
    <row r="35" spans="1:6" s="308" customFormat="1" ht="20.100000000000001" customHeight="1">
      <c r="A35" s="428" t="s">
        <v>856</v>
      </c>
      <c r="B35" s="307">
        <f>+B15+B20+B29+B34</f>
        <v>0</v>
      </c>
      <c r="C35" s="307">
        <f>+C15+C20+C29+C34</f>
        <v>0</v>
      </c>
      <c r="D35" s="307">
        <f>+D15+D20+D29+D34</f>
        <v>0</v>
      </c>
      <c r="E35" s="307">
        <f>+E15+E20+E29+E34</f>
        <v>0</v>
      </c>
      <c r="F35" s="307">
        <f>+F15+F20+F29+F34</f>
        <v>0</v>
      </c>
    </row>
    <row r="36" spans="1:6" ht="20.100000000000001" customHeight="1" thickBot="1">
      <c r="A36" s="263" t="str">
        <f>+'ST. OF CASH FLOWS-PROP.(20)'!A38</f>
        <v>Cash and cash equivalents - July 1, 2016</v>
      </c>
      <c r="B36" s="271"/>
      <c r="C36" s="271"/>
      <c r="D36" s="271"/>
      <c r="E36" s="303"/>
      <c r="F36" s="277">
        <f>+B36+C36+D36+E36</f>
        <v>0</v>
      </c>
    </row>
    <row r="37" spans="1:6" ht="20.100000000000001" customHeight="1" thickBot="1">
      <c r="A37" s="263" t="str">
        <f>+'ST. OF CASH FLOWS-PROP.(20)'!A39</f>
        <v>Cash and cash equivalents - June 30, 2017</v>
      </c>
      <c r="B37" s="280">
        <f>+B35+B36</f>
        <v>0</v>
      </c>
      <c r="C37" s="280">
        <f>+C35+C36</f>
        <v>0</v>
      </c>
      <c r="D37" s="280">
        <f>+D35+D36</f>
        <v>0</v>
      </c>
      <c r="E37" s="280">
        <f>+E35+E36</f>
        <v>0</v>
      </c>
      <c r="F37" s="280">
        <f>+F35+F36</f>
        <v>0</v>
      </c>
    </row>
    <row r="38" spans="1:6" ht="20.100000000000001" customHeight="1" thickTop="1">
      <c r="A38" s="263"/>
      <c r="B38" s="269"/>
      <c r="C38" s="269"/>
      <c r="D38" s="269"/>
      <c r="E38" s="269"/>
      <c r="F38" s="277"/>
    </row>
    <row r="39" spans="1:6" ht="30" customHeight="1">
      <c r="A39" s="312" t="s">
        <v>611</v>
      </c>
      <c r="B39" s="269"/>
      <c r="C39" s="269"/>
      <c r="D39" s="269"/>
      <c r="E39" s="269"/>
      <c r="F39" s="277"/>
    </row>
    <row r="40" spans="1:6" ht="20.100000000000001" customHeight="1">
      <c r="A40" s="263" t="s">
        <v>612</v>
      </c>
      <c r="B40" s="269">
        <f>'CHG. IN NP-NONMAJOR ENTERPR(80)'!D28</f>
        <v>0</v>
      </c>
      <c r="C40" s="269">
        <f>'CHG. IN NP-NONMAJOR ENTERPR(80)'!E28</f>
        <v>0</v>
      </c>
      <c r="D40" s="269">
        <f>'CHG. IN NP-NONMAJOR ENTERPR(80)'!F28</f>
        <v>0</v>
      </c>
      <c r="E40" s="269">
        <f>'CHG. IN NP-NONMAJOR ENTERPR(80)'!G28</f>
        <v>0</v>
      </c>
      <c r="F40" s="277">
        <f>+B40+C40+D40+E40</f>
        <v>0</v>
      </c>
    </row>
    <row r="41" spans="1:6" ht="30" customHeight="1">
      <c r="A41" s="270" t="s">
        <v>613</v>
      </c>
      <c r="B41" s="269"/>
      <c r="C41" s="269"/>
      <c r="D41" s="269"/>
      <c r="E41" s="269"/>
      <c r="F41" s="277"/>
    </row>
    <row r="42" spans="1:6" ht="20.100000000000001" customHeight="1">
      <c r="A42" s="263" t="s">
        <v>614</v>
      </c>
      <c r="B42" s="269">
        <f>'CHG. IN NP-NONMAJOR ENTERPR(80)'!D25</f>
        <v>0</v>
      </c>
      <c r="C42" s="269">
        <f>'CHG. IN NP-NONMAJOR ENTERPR(80)'!E25</f>
        <v>0</v>
      </c>
      <c r="D42" s="269">
        <f>'CHG. IN NP-NONMAJOR ENTERPR(80)'!F25</f>
        <v>0</v>
      </c>
      <c r="E42" s="269">
        <f>'CHG. IN NP-NONMAJOR ENTERPR(80)'!G25</f>
        <v>0</v>
      </c>
      <c r="F42" s="277">
        <f t="shared" ref="F42:F52" si="1">+B42+C42+D42+E42</f>
        <v>0</v>
      </c>
    </row>
    <row r="43" spans="1:6" ht="20.100000000000001" customHeight="1">
      <c r="A43" s="263" t="s">
        <v>0</v>
      </c>
      <c r="B43" s="269"/>
      <c r="C43" s="269"/>
      <c r="D43" s="269"/>
      <c r="E43" s="269"/>
      <c r="F43" s="277">
        <f t="shared" si="1"/>
        <v>0</v>
      </c>
    </row>
    <row r="44" spans="1:6" ht="20.100000000000001" customHeight="1">
      <c r="A44" s="263" t="s">
        <v>1</v>
      </c>
      <c r="B44" s="269"/>
      <c r="C44" s="269"/>
      <c r="D44" s="269"/>
      <c r="E44" s="269"/>
      <c r="F44" s="277">
        <f t="shared" si="1"/>
        <v>0</v>
      </c>
    </row>
    <row r="45" spans="1:6" ht="20.100000000000001" customHeight="1">
      <c r="A45" s="263" t="s">
        <v>2</v>
      </c>
      <c r="B45" s="269"/>
      <c r="C45" s="269"/>
      <c r="D45" s="269"/>
      <c r="E45" s="269"/>
      <c r="F45" s="277">
        <f t="shared" si="1"/>
        <v>0</v>
      </c>
    </row>
    <row r="46" spans="1:6" ht="20.100000000000001" customHeight="1">
      <c r="A46" s="263" t="s">
        <v>617</v>
      </c>
      <c r="B46" s="269"/>
      <c r="C46" s="269"/>
      <c r="D46" s="269"/>
      <c r="E46" s="269"/>
      <c r="F46" s="277">
        <f t="shared" si="1"/>
        <v>0</v>
      </c>
    </row>
    <row r="47" spans="1:6" ht="20.100000000000001" customHeight="1">
      <c r="A47" s="263" t="s">
        <v>618</v>
      </c>
      <c r="B47" s="269"/>
      <c r="C47" s="269"/>
      <c r="D47" s="269"/>
      <c r="E47" s="269"/>
      <c r="F47" s="277">
        <f t="shared" si="1"/>
        <v>0</v>
      </c>
    </row>
    <row r="48" spans="1:6" ht="20.100000000000001" customHeight="1">
      <c r="A48" s="263" t="s">
        <v>619</v>
      </c>
      <c r="B48" s="269"/>
      <c r="C48" s="269"/>
      <c r="D48" s="269"/>
      <c r="E48" s="269"/>
      <c r="F48" s="277">
        <f t="shared" si="1"/>
        <v>0</v>
      </c>
    </row>
    <row r="49" spans="1:6" ht="20.100000000000001" customHeight="1">
      <c r="A49" s="263" t="s">
        <v>620</v>
      </c>
      <c r="B49" s="269"/>
      <c r="C49" s="269"/>
      <c r="D49" s="269"/>
      <c r="E49" s="269"/>
      <c r="F49" s="277">
        <f t="shared" si="1"/>
        <v>0</v>
      </c>
    </row>
    <row r="50" spans="1:6" ht="20.100000000000001" customHeight="1">
      <c r="A50" s="263" t="s">
        <v>621</v>
      </c>
      <c r="B50" s="269"/>
      <c r="C50" s="269"/>
      <c r="D50" s="269"/>
      <c r="E50" s="269"/>
      <c r="F50" s="277">
        <f t="shared" si="1"/>
        <v>0</v>
      </c>
    </row>
    <row r="51" spans="1:6" ht="20.100000000000001" customHeight="1">
      <c r="A51" s="263" t="s">
        <v>622</v>
      </c>
      <c r="B51" s="269"/>
      <c r="C51" s="269"/>
      <c r="D51" s="269"/>
      <c r="E51" s="269"/>
      <c r="F51" s="277">
        <f t="shared" si="1"/>
        <v>0</v>
      </c>
    </row>
    <row r="52" spans="1:6" ht="20.100000000000001" customHeight="1">
      <c r="A52" s="263" t="s">
        <v>623</v>
      </c>
      <c r="B52" s="269"/>
      <c r="C52" s="269"/>
      <c r="D52" s="269"/>
      <c r="E52" s="269"/>
      <c r="F52" s="277">
        <f t="shared" si="1"/>
        <v>0</v>
      </c>
    </row>
    <row r="53" spans="1:6" ht="20.100000000000001" customHeight="1" thickBot="1">
      <c r="A53" s="263" t="s">
        <v>649</v>
      </c>
      <c r="B53" s="271"/>
      <c r="C53" s="271"/>
      <c r="D53" s="271"/>
      <c r="E53" s="303"/>
      <c r="F53" s="277">
        <f>+B53+C53+D53+E53</f>
        <v>0</v>
      </c>
    </row>
    <row r="54" spans="1:6" s="308" customFormat="1" ht="20.100000000000001" customHeight="1" thickBot="1">
      <c r="A54" s="411" t="s">
        <v>650</v>
      </c>
      <c r="B54" s="279">
        <f>SUM(B42:B53)</f>
        <v>0</v>
      </c>
      <c r="C54" s="279">
        <f>SUM(C42:C53)</f>
        <v>0</v>
      </c>
      <c r="D54" s="279">
        <f>SUM(D42:D53)</f>
        <v>0</v>
      </c>
      <c r="E54" s="279">
        <f>SUM(E42:E53)</f>
        <v>0</v>
      </c>
      <c r="F54" s="279">
        <f>SUM(F42:F53)</f>
        <v>0</v>
      </c>
    </row>
    <row r="55" spans="1:6" s="308" customFormat="1" ht="20.100000000000001" customHeight="1" thickBot="1">
      <c r="A55" s="411" t="s">
        <v>855</v>
      </c>
      <c r="B55" s="280">
        <f>+B40+B54</f>
        <v>0</v>
      </c>
      <c r="C55" s="280">
        <f>+C40+C54</f>
        <v>0</v>
      </c>
      <c r="D55" s="280">
        <f>+D40+D54</f>
        <v>0</v>
      </c>
      <c r="E55" s="280">
        <f>+E40+E54</f>
        <v>0</v>
      </c>
      <c r="F55" s="280">
        <f>+F40+F54</f>
        <v>0</v>
      </c>
    </row>
    <row r="56" spans="1:6" ht="20.100000000000001" customHeight="1" thickTop="1">
      <c r="A56" s="263"/>
      <c r="B56" s="288"/>
      <c r="C56" s="288"/>
      <c r="D56" s="288"/>
      <c r="E56" s="288"/>
      <c r="F56" s="326"/>
    </row>
    <row r="57" spans="1:6" ht="20.100000000000001" customHeight="1">
      <c r="A57" s="268" t="s">
        <v>858</v>
      </c>
      <c r="B57" s="288"/>
      <c r="C57" s="288"/>
      <c r="D57" s="288"/>
      <c r="E57" s="288"/>
      <c r="F57" s="326"/>
    </row>
    <row r="58" spans="1:6" ht="20.100000000000001" customHeight="1">
      <c r="A58" s="263" t="s">
        <v>859</v>
      </c>
      <c r="B58" s="288"/>
      <c r="C58" s="288"/>
      <c r="D58" s="288"/>
      <c r="E58" s="288"/>
      <c r="F58" s="277">
        <f>+B58+C58+D58+E58</f>
        <v>0</v>
      </c>
    </row>
    <row r="59" spans="1:6" ht="20.100000000000001" customHeight="1">
      <c r="A59" s="263" t="s">
        <v>860</v>
      </c>
      <c r="B59" s="288"/>
      <c r="C59" s="288"/>
      <c r="D59" s="288"/>
      <c r="E59" s="288"/>
      <c r="F59" s="277">
        <f t="shared" ref="F59:F62" si="2">+B59+C59+D59+E59</f>
        <v>0</v>
      </c>
    </row>
    <row r="60" spans="1:6" ht="20.100000000000001" customHeight="1">
      <c r="A60" s="263" t="s">
        <v>861</v>
      </c>
      <c r="B60" s="288"/>
      <c r="C60" s="288"/>
      <c r="D60" s="288"/>
      <c r="E60" s="288"/>
      <c r="F60" s="277">
        <f t="shared" si="2"/>
        <v>0</v>
      </c>
    </row>
    <row r="61" spans="1:6" ht="20.100000000000001" customHeight="1">
      <c r="A61" s="263" t="s">
        <v>862</v>
      </c>
      <c r="B61" s="288"/>
      <c r="C61" s="288"/>
      <c r="D61" s="288"/>
      <c r="E61" s="288"/>
      <c r="F61" s="277">
        <f t="shared" si="2"/>
        <v>0</v>
      </c>
    </row>
    <row r="62" spans="1:6" ht="20.100000000000001" customHeight="1">
      <c r="A62" s="263" t="s">
        <v>863</v>
      </c>
      <c r="B62" s="288"/>
      <c r="C62" s="288"/>
      <c r="D62" s="288"/>
      <c r="E62" s="288"/>
      <c r="F62" s="277">
        <f t="shared" si="2"/>
        <v>0</v>
      </c>
    </row>
    <row r="63" spans="1:6" ht="20.100000000000001" customHeight="1">
      <c r="A63" s="263"/>
      <c r="B63" s="263"/>
      <c r="C63" s="263"/>
      <c r="D63" s="263"/>
      <c r="E63" s="263"/>
      <c r="F63" s="263"/>
    </row>
    <row r="64" spans="1:6" ht="20.100000000000001" customHeight="1">
      <c r="A64" s="274" t="s">
        <v>3135</v>
      </c>
      <c r="B64" s="282"/>
      <c r="C64" s="282"/>
      <c r="D64" s="282"/>
      <c r="E64" s="282"/>
      <c r="F64" s="282"/>
    </row>
    <row r="65" spans="1:6" ht="20.100000000000001" customHeight="1">
      <c r="A65" s="263"/>
      <c r="B65" s="263"/>
      <c r="C65" s="263"/>
      <c r="D65" s="263"/>
      <c r="E65" s="263"/>
      <c r="F65" s="263"/>
    </row>
    <row r="66" spans="1:6" ht="20.100000000000001" customHeight="1">
      <c r="A66" s="263"/>
      <c r="B66" s="263"/>
      <c r="C66" s="263"/>
      <c r="D66" s="263"/>
      <c r="E66" s="263"/>
      <c r="F66" s="263"/>
    </row>
    <row r="67" spans="1:6" ht="20.100000000000001" customHeight="1">
      <c r="A67" s="263"/>
      <c r="B67" s="263"/>
      <c r="C67" s="263"/>
      <c r="D67" s="263"/>
      <c r="E67" s="263"/>
      <c r="F67" s="263"/>
    </row>
    <row r="68" spans="1:6" ht="20.100000000000001" customHeight="1">
      <c r="A68" s="263"/>
      <c r="B68" s="263"/>
      <c r="C68" s="263"/>
      <c r="D68" s="263"/>
      <c r="E68" s="263"/>
      <c r="F68" s="263"/>
    </row>
    <row r="69" spans="1:6" ht="15">
      <c r="A69" s="263"/>
      <c r="B69" s="263"/>
      <c r="C69" s="263"/>
      <c r="D69" s="263"/>
      <c r="E69" s="263"/>
      <c r="F69" s="263"/>
    </row>
    <row r="70" spans="1:6" ht="15">
      <c r="A70" s="263"/>
      <c r="B70" s="263"/>
      <c r="C70" s="263"/>
      <c r="D70" s="263"/>
      <c r="E70" s="263"/>
      <c r="F70" s="263"/>
    </row>
    <row r="71" spans="1:6" ht="15">
      <c r="A71" s="263"/>
      <c r="B71" s="263"/>
      <c r="C71" s="263"/>
      <c r="D71" s="263"/>
      <c r="E71" s="263"/>
      <c r="F71" s="263"/>
    </row>
    <row r="72" spans="1:6" ht="15">
      <c r="A72" s="263"/>
      <c r="B72" s="263"/>
      <c r="C72" s="263"/>
      <c r="D72" s="263"/>
      <c r="E72" s="263"/>
      <c r="F72" s="263"/>
    </row>
    <row r="73" spans="1:6" ht="15">
      <c r="A73" s="263"/>
      <c r="B73" s="263"/>
      <c r="C73" s="263"/>
      <c r="D73" s="263"/>
      <c r="E73" s="263"/>
      <c r="F73" s="263"/>
    </row>
  </sheetData>
  <sheetProtection password="D950" sheet="1" scenarios="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77"/>
  <sheetViews>
    <sheetView zoomScaleNormal="100" workbookViewId="0">
      <pane xSplit="2" ySplit="10" topLeftCell="C11" activePane="bottomRight" state="frozen"/>
      <selection activeCell="A53" sqref="A53:K53"/>
      <selection pane="topRight" activeCell="A53" sqref="A53:K53"/>
      <selection pane="bottomLeft" activeCell="A53" sqref="A53:K53"/>
      <selection pane="bottomRight" activeCell="C37" sqref="C37"/>
    </sheetView>
  </sheetViews>
  <sheetFormatPr defaultColWidth="8.85546875" defaultRowHeight="12.75"/>
  <cols>
    <col min="1" max="1" width="12.7109375" style="261" customWidth="1"/>
    <col min="2" max="2" width="55.7109375" style="261" customWidth="1"/>
    <col min="3" max="6" width="18.7109375" style="261" customWidth="1"/>
    <col min="7" max="16384" width="8.85546875" style="261"/>
  </cols>
  <sheetData>
    <row r="1" spans="1:6" ht="18">
      <c r="A1" s="276"/>
      <c r="B1" s="259" t="str">
        <f>+'GW-STATEMENT NET POSITION(13)'!A1</f>
        <v>TOWN OF BROADUS</v>
      </c>
      <c r="C1" s="276"/>
      <c r="D1" s="276"/>
      <c r="E1" s="276"/>
      <c r="F1" s="276"/>
    </row>
    <row r="2" spans="1:6" ht="18">
      <c r="A2" s="276"/>
      <c r="B2" s="259" t="s">
        <v>1814</v>
      </c>
      <c r="C2" s="276"/>
      <c r="D2" s="276"/>
      <c r="E2" s="276"/>
      <c r="F2" s="276"/>
    </row>
    <row r="3" spans="1:6" ht="18">
      <c r="A3" s="276"/>
      <c r="B3" s="259" t="s">
        <v>1314</v>
      </c>
      <c r="C3" s="276"/>
      <c r="D3" s="276"/>
      <c r="E3" s="276"/>
      <c r="F3" s="276"/>
    </row>
    <row r="4" spans="1:6" ht="18">
      <c r="A4" s="276"/>
      <c r="B4" s="262" t="str">
        <f>+'GW-STATEMENT NET POSITION(13)'!A3</f>
        <v>FISCAL YEAR ENDING JUNE 30, 2017</v>
      </c>
      <c r="C4" s="276"/>
      <c r="D4" s="276"/>
      <c r="E4" s="276"/>
      <c r="F4" s="276"/>
    </row>
    <row r="5" spans="1:6" ht="18">
      <c r="B5" s="262"/>
      <c r="C5" s="328"/>
      <c r="D5" s="329"/>
      <c r="E5" s="329"/>
      <c r="F5" s="440"/>
    </row>
    <row r="7" spans="1:6" ht="15.75" thickBot="1">
      <c r="A7" s="441"/>
      <c r="B7" s="441"/>
      <c r="C7" s="442" t="s">
        <v>1313</v>
      </c>
      <c r="D7" s="442" t="s">
        <v>1313</v>
      </c>
      <c r="E7" s="442" t="s">
        <v>1313</v>
      </c>
      <c r="F7" s="707" t="s">
        <v>1030</v>
      </c>
    </row>
    <row r="8" spans="1:6" ht="15">
      <c r="A8" s="443" t="s">
        <v>177</v>
      </c>
      <c r="B8" s="443"/>
      <c r="C8" s="443" t="s">
        <v>1555</v>
      </c>
      <c r="D8" s="443" t="s">
        <v>1555</v>
      </c>
      <c r="E8" s="443" t="s">
        <v>1555</v>
      </c>
      <c r="F8" s="707" t="s">
        <v>1315</v>
      </c>
    </row>
    <row r="9" spans="1:6" ht="15.75" thickBot="1">
      <c r="A9" s="442" t="s">
        <v>178</v>
      </c>
      <c r="B9" s="442" t="s">
        <v>179</v>
      </c>
      <c r="C9" s="442" t="s">
        <v>1555</v>
      </c>
      <c r="D9" s="442" t="s">
        <v>1555</v>
      </c>
      <c r="E9" s="442" t="s">
        <v>1555</v>
      </c>
      <c r="F9" s="709" t="s">
        <v>1036</v>
      </c>
    </row>
    <row r="10" spans="1:6" ht="15" customHeight="1">
      <c r="A10" s="429"/>
      <c r="B10" s="706" t="s">
        <v>1060</v>
      </c>
      <c r="C10" s="447"/>
      <c r="D10" s="447"/>
      <c r="E10" s="447"/>
      <c r="F10" s="447"/>
    </row>
    <row r="11" spans="1:6" ht="15" customHeight="1">
      <c r="A11" s="429"/>
      <c r="B11" s="706" t="s">
        <v>200</v>
      </c>
      <c r="C11" s="447"/>
      <c r="D11" s="447"/>
      <c r="E11" s="447"/>
      <c r="F11" s="447"/>
    </row>
    <row r="12" spans="1:6" ht="15" customHeight="1">
      <c r="A12" s="301">
        <v>101000</v>
      </c>
      <c r="B12" s="441" t="s">
        <v>1061</v>
      </c>
      <c r="C12" s="444"/>
      <c r="D12" s="444"/>
      <c r="E12" s="444"/>
      <c r="F12" s="448">
        <f>SUM(C12:E12)</f>
        <v>0</v>
      </c>
    </row>
    <row r="13" spans="1:6" ht="15" customHeight="1">
      <c r="A13" s="301">
        <v>103000</v>
      </c>
      <c r="B13" s="441" t="s">
        <v>1205</v>
      </c>
      <c r="C13" s="444"/>
      <c r="D13" s="444"/>
      <c r="E13" s="444"/>
      <c r="F13" s="448">
        <f t="shared" ref="F13:F20" si="0">SUM(C13:E13)</f>
        <v>0</v>
      </c>
    </row>
    <row r="14" spans="1:6" ht="15" customHeight="1">
      <c r="A14" s="301">
        <v>101100</v>
      </c>
      <c r="B14" s="441" t="s">
        <v>852</v>
      </c>
      <c r="C14" s="444"/>
      <c r="D14" s="444"/>
      <c r="E14" s="444"/>
      <c r="F14" s="448">
        <f t="shared" si="0"/>
        <v>0</v>
      </c>
    </row>
    <row r="15" spans="1:6" ht="15" customHeight="1">
      <c r="A15" s="301">
        <v>110000</v>
      </c>
      <c r="B15" s="445" t="s">
        <v>1208</v>
      </c>
      <c r="C15" s="444"/>
      <c r="D15" s="444"/>
      <c r="E15" s="444"/>
      <c r="F15" s="448">
        <f t="shared" si="0"/>
        <v>0</v>
      </c>
    </row>
    <row r="16" spans="1:6" ht="15" customHeight="1">
      <c r="A16" s="301">
        <v>120000</v>
      </c>
      <c r="B16" s="445" t="s">
        <v>666</v>
      </c>
      <c r="C16" s="444"/>
      <c r="D16" s="444"/>
      <c r="E16" s="444"/>
      <c r="F16" s="448">
        <f t="shared" si="0"/>
        <v>0</v>
      </c>
    </row>
    <row r="17" spans="1:6" ht="15" customHeight="1">
      <c r="A17" s="301">
        <v>131000</v>
      </c>
      <c r="B17" s="441" t="s">
        <v>249</v>
      </c>
      <c r="C17" s="444"/>
      <c r="D17" s="444"/>
      <c r="E17" s="444"/>
      <c r="F17" s="448">
        <f t="shared" si="0"/>
        <v>0</v>
      </c>
    </row>
    <row r="18" spans="1:6" ht="15" customHeight="1">
      <c r="A18" s="301">
        <v>132000</v>
      </c>
      <c r="B18" s="441" t="s">
        <v>250</v>
      </c>
      <c r="C18" s="444"/>
      <c r="D18" s="444"/>
      <c r="E18" s="444"/>
      <c r="F18" s="448">
        <f t="shared" si="0"/>
        <v>0</v>
      </c>
    </row>
    <row r="19" spans="1:6" ht="15" customHeight="1">
      <c r="A19" s="301">
        <v>141000</v>
      </c>
      <c r="B19" s="441" t="s">
        <v>202</v>
      </c>
      <c r="C19" s="444"/>
      <c r="D19" s="444"/>
      <c r="E19" s="444"/>
      <c r="F19" s="448">
        <f t="shared" si="0"/>
        <v>0</v>
      </c>
    </row>
    <row r="20" spans="1:6" ht="15" customHeight="1" thickBot="1">
      <c r="A20" s="301">
        <v>150000</v>
      </c>
      <c r="B20" s="441" t="s">
        <v>1065</v>
      </c>
      <c r="C20" s="446"/>
      <c r="D20" s="446"/>
      <c r="E20" s="446"/>
      <c r="F20" s="448">
        <f t="shared" si="0"/>
        <v>0</v>
      </c>
    </row>
    <row r="21" spans="1:6" ht="15" customHeight="1" thickBot="1">
      <c r="A21" s="429"/>
      <c r="B21" s="707" t="s">
        <v>820</v>
      </c>
      <c r="C21" s="449">
        <f>SUM(C11:C20)</f>
        <v>0</v>
      </c>
      <c r="D21" s="449">
        <f>SUM(D11:D20)</f>
        <v>0</v>
      </c>
      <c r="E21" s="449">
        <f>SUM(E11:E20)</f>
        <v>0</v>
      </c>
      <c r="F21" s="449">
        <f>SUM(F11:F20)</f>
        <v>0</v>
      </c>
    </row>
    <row r="22" spans="1:6" ht="15" customHeight="1">
      <c r="A22" s="429"/>
      <c r="B22" s="706" t="s">
        <v>201</v>
      </c>
      <c r="C22" s="448"/>
      <c r="D22" s="448"/>
      <c r="E22" s="448"/>
      <c r="F22" s="448"/>
    </row>
    <row r="23" spans="1:6" ht="15" customHeight="1">
      <c r="A23" s="429"/>
      <c r="B23" s="708" t="s">
        <v>1066</v>
      </c>
      <c r="C23" s="448"/>
      <c r="D23" s="448"/>
      <c r="E23" s="448"/>
      <c r="F23" s="448"/>
    </row>
    <row r="24" spans="1:6" ht="15" customHeight="1">
      <c r="A24" s="301">
        <v>102200</v>
      </c>
      <c r="B24" s="441" t="s">
        <v>1206</v>
      </c>
      <c r="C24" s="444"/>
      <c r="D24" s="444"/>
      <c r="E24" s="444"/>
      <c r="F24" s="448">
        <f>SUM(C24:E24)</f>
        <v>0</v>
      </c>
    </row>
    <row r="25" spans="1:6" ht="15" customHeight="1">
      <c r="A25" s="301">
        <v>102300</v>
      </c>
      <c r="B25" s="441" t="s">
        <v>1207</v>
      </c>
      <c r="C25" s="444"/>
      <c r="D25" s="444"/>
      <c r="E25" s="444"/>
      <c r="F25" s="448">
        <f>SUM(C25:E25)</f>
        <v>0</v>
      </c>
    </row>
    <row r="26" spans="1:6" ht="15" customHeight="1">
      <c r="A26" s="301">
        <v>133000</v>
      </c>
      <c r="B26" s="441" t="s">
        <v>1209</v>
      </c>
      <c r="C26" s="444"/>
      <c r="D26" s="444"/>
      <c r="E26" s="444"/>
      <c r="F26" s="448">
        <f>SUM(C26:E26)</f>
        <v>0</v>
      </c>
    </row>
    <row r="27" spans="1:6" ht="15" customHeight="1">
      <c r="A27" s="301">
        <v>170000</v>
      </c>
      <c r="B27" s="441" t="s">
        <v>180</v>
      </c>
      <c r="C27" s="444"/>
      <c r="D27" s="444"/>
      <c r="E27" s="444"/>
      <c r="F27" s="448">
        <f>SUM(C27:E27)</f>
        <v>0</v>
      </c>
    </row>
    <row r="28" spans="1:6" ht="15" customHeight="1">
      <c r="A28" s="429">
        <v>180000</v>
      </c>
      <c r="B28" s="708" t="s">
        <v>659</v>
      </c>
      <c r="C28" s="448"/>
      <c r="D28" s="448"/>
      <c r="E28" s="448"/>
      <c r="F28" s="448"/>
    </row>
    <row r="29" spans="1:6" ht="15" customHeight="1">
      <c r="A29" s="301"/>
      <c r="B29" s="441" t="s">
        <v>654</v>
      </c>
      <c r="C29" s="444"/>
      <c r="D29" s="444"/>
      <c r="E29" s="444"/>
      <c r="F29" s="448">
        <f t="shared" ref="F29:F35" si="1">SUM(C29:E29)</f>
        <v>0</v>
      </c>
    </row>
    <row r="30" spans="1:6" ht="15" customHeight="1">
      <c r="A30" s="301"/>
      <c r="B30" s="441" t="s">
        <v>655</v>
      </c>
      <c r="C30" s="444"/>
      <c r="D30" s="444"/>
      <c r="E30" s="444"/>
      <c r="F30" s="448">
        <f t="shared" si="1"/>
        <v>0</v>
      </c>
    </row>
    <row r="31" spans="1:6" ht="15" customHeight="1">
      <c r="A31" s="301"/>
      <c r="B31" s="441" t="s">
        <v>640</v>
      </c>
      <c r="C31" s="444"/>
      <c r="D31" s="444"/>
      <c r="E31" s="444"/>
      <c r="F31" s="448">
        <f t="shared" si="1"/>
        <v>0</v>
      </c>
    </row>
    <row r="32" spans="1:6" ht="15" customHeight="1">
      <c r="A32" s="301"/>
      <c r="B32" s="441" t="s">
        <v>656</v>
      </c>
      <c r="C32" s="444"/>
      <c r="D32" s="444"/>
      <c r="E32" s="444"/>
      <c r="F32" s="448">
        <f t="shared" si="1"/>
        <v>0</v>
      </c>
    </row>
    <row r="33" spans="1:6" ht="15" customHeight="1">
      <c r="A33" s="301"/>
      <c r="B33" s="441" t="s">
        <v>657</v>
      </c>
      <c r="C33" s="444"/>
      <c r="D33" s="444"/>
      <c r="E33" s="444"/>
      <c r="F33" s="448">
        <f t="shared" si="1"/>
        <v>0</v>
      </c>
    </row>
    <row r="34" spans="1:6" ht="15" customHeight="1">
      <c r="A34" s="301"/>
      <c r="B34" s="441" t="s">
        <v>639</v>
      </c>
      <c r="C34" s="444"/>
      <c r="D34" s="444"/>
      <c r="E34" s="444"/>
      <c r="F34" s="448">
        <f t="shared" si="1"/>
        <v>0</v>
      </c>
    </row>
    <row r="35" spans="1:6" ht="15" customHeight="1">
      <c r="A35" s="301"/>
      <c r="B35" s="441" t="s">
        <v>658</v>
      </c>
      <c r="C35" s="444"/>
      <c r="D35" s="444"/>
      <c r="E35" s="444"/>
      <c r="F35" s="448">
        <f t="shared" si="1"/>
        <v>0</v>
      </c>
    </row>
    <row r="36" spans="1:6" ht="15" customHeight="1" thickBot="1">
      <c r="A36" s="301">
        <v>180000</v>
      </c>
      <c r="B36" s="441" t="s">
        <v>203</v>
      </c>
      <c r="C36" s="451">
        <f>C29+C30+C31+C32+C33+C34+C35</f>
        <v>0</v>
      </c>
      <c r="D36" s="451">
        <f t="shared" ref="D36:E36" si="2">D29+D30+D31+D32+D33+D34+D35</f>
        <v>0</v>
      </c>
      <c r="E36" s="451">
        <f t="shared" si="2"/>
        <v>0</v>
      </c>
      <c r="F36" s="448">
        <f>SUM(C36:E36)</f>
        <v>0</v>
      </c>
    </row>
    <row r="37" spans="1:6" ht="15" customHeight="1" thickBot="1">
      <c r="A37" s="429"/>
      <c r="B37" s="707" t="s">
        <v>819</v>
      </c>
      <c r="C37" s="449">
        <f>SUM(C23:C35)</f>
        <v>0</v>
      </c>
      <c r="D37" s="449">
        <f>SUM(D23:D35)</f>
        <v>0</v>
      </c>
      <c r="E37" s="449">
        <f>SUM(E23:E35)</f>
        <v>0</v>
      </c>
      <c r="F37" s="449">
        <f>SUM(F23:F35)</f>
        <v>0</v>
      </c>
    </row>
    <row r="38" spans="1:6" ht="15" customHeight="1" thickBot="1">
      <c r="A38" s="429"/>
      <c r="B38" s="710" t="s">
        <v>1069</v>
      </c>
      <c r="C38" s="450">
        <f>+C21+C37</f>
        <v>0</v>
      </c>
      <c r="D38" s="450">
        <f>+D21+D37</f>
        <v>0</v>
      </c>
      <c r="E38" s="450">
        <f>+E21+E37</f>
        <v>0</v>
      </c>
      <c r="F38" s="450">
        <f>+F21+F37</f>
        <v>0</v>
      </c>
    </row>
    <row r="39" spans="1:6" ht="15" customHeight="1" thickTop="1">
      <c r="A39" s="429"/>
      <c r="B39" s="710"/>
      <c r="C39" s="669"/>
      <c r="D39" s="669"/>
      <c r="E39" s="669"/>
      <c r="F39" s="669"/>
    </row>
    <row r="40" spans="1:6" ht="15" customHeight="1">
      <c r="A40" s="429"/>
      <c r="B40" s="710" t="s">
        <v>1903</v>
      </c>
      <c r="C40" s="669"/>
      <c r="D40" s="669"/>
      <c r="E40" s="669"/>
      <c r="F40" s="669"/>
    </row>
    <row r="41" spans="1:6" ht="15" customHeight="1">
      <c r="A41" s="301">
        <v>190000</v>
      </c>
      <c r="B41" s="441" t="s">
        <v>1904</v>
      </c>
      <c r="C41" s="740"/>
      <c r="D41" s="740"/>
      <c r="E41" s="740"/>
      <c r="F41" s="669">
        <f>SUM(C41:E41)</f>
        <v>0</v>
      </c>
    </row>
    <row r="42" spans="1:6" ht="15" customHeight="1" thickBot="1">
      <c r="A42" s="301" t="s">
        <v>1957</v>
      </c>
      <c r="B42" s="441" t="s">
        <v>1914</v>
      </c>
      <c r="C42" s="446"/>
      <c r="D42" s="446"/>
      <c r="E42" s="446"/>
      <c r="F42" s="451">
        <f>SUM(C42:E42)</f>
        <v>0</v>
      </c>
    </row>
    <row r="43" spans="1:6" ht="15" customHeight="1" thickBot="1">
      <c r="A43" s="429"/>
      <c r="B43" s="707" t="s">
        <v>1905</v>
      </c>
      <c r="C43" s="450">
        <f>SUM(C41:C42)</f>
        <v>0</v>
      </c>
      <c r="D43" s="450">
        <f t="shared" ref="D43:F43" si="3">SUM(D41:D42)</f>
        <v>0</v>
      </c>
      <c r="E43" s="450">
        <f t="shared" si="3"/>
        <v>0</v>
      </c>
      <c r="F43" s="450">
        <f t="shared" si="3"/>
        <v>0</v>
      </c>
    </row>
    <row r="44" spans="1:6" ht="15" customHeight="1" thickTop="1">
      <c r="A44" s="429"/>
      <c r="B44" s="708"/>
      <c r="C44" s="448"/>
      <c r="D44" s="448"/>
      <c r="E44" s="448"/>
      <c r="F44" s="448"/>
    </row>
    <row r="45" spans="1:6" ht="15" customHeight="1">
      <c r="A45" s="429"/>
      <c r="B45" s="706" t="s">
        <v>1070</v>
      </c>
      <c r="C45" s="448"/>
      <c r="D45" s="448"/>
      <c r="E45" s="448"/>
      <c r="F45" s="448"/>
    </row>
    <row r="46" spans="1:6" ht="15" customHeight="1">
      <c r="A46" s="429"/>
      <c r="B46" s="706" t="s">
        <v>204</v>
      </c>
      <c r="C46" s="448"/>
      <c r="D46" s="448"/>
      <c r="E46" s="448"/>
      <c r="F46" s="448"/>
    </row>
    <row r="47" spans="1:6" ht="15" customHeight="1">
      <c r="A47" s="301">
        <v>202100</v>
      </c>
      <c r="B47" s="441" t="s">
        <v>205</v>
      </c>
      <c r="C47" s="444"/>
      <c r="D47" s="444"/>
      <c r="E47" s="444"/>
      <c r="F47" s="448">
        <f t="shared" ref="F47:F56" si="4">SUM(C47:E47)</f>
        <v>0</v>
      </c>
    </row>
    <row r="48" spans="1:6" ht="15" customHeight="1">
      <c r="A48" s="301">
        <v>203100</v>
      </c>
      <c r="B48" s="441" t="s">
        <v>288</v>
      </c>
      <c r="C48" s="444"/>
      <c r="D48" s="444"/>
      <c r="E48" s="444"/>
      <c r="F48" s="448">
        <f t="shared" si="4"/>
        <v>0</v>
      </c>
    </row>
    <row r="49" spans="1:6" ht="15" customHeight="1">
      <c r="A49" s="301">
        <v>204100</v>
      </c>
      <c r="B49" s="441" t="s">
        <v>289</v>
      </c>
      <c r="C49" s="444"/>
      <c r="D49" s="444"/>
      <c r="E49" s="444"/>
      <c r="F49" s="448">
        <f t="shared" si="4"/>
        <v>0</v>
      </c>
    </row>
    <row r="50" spans="1:6" ht="15" customHeight="1">
      <c r="A50" s="301">
        <v>205200</v>
      </c>
      <c r="B50" s="441" t="s">
        <v>287</v>
      </c>
      <c r="C50" s="444"/>
      <c r="D50" s="444"/>
      <c r="E50" s="444"/>
      <c r="F50" s="448">
        <f t="shared" si="4"/>
        <v>0</v>
      </c>
    </row>
    <row r="51" spans="1:6" ht="15" customHeight="1">
      <c r="A51" s="301">
        <v>206100</v>
      </c>
      <c r="B51" s="441" t="s">
        <v>1180</v>
      </c>
      <c r="C51" s="444"/>
      <c r="D51" s="444"/>
      <c r="E51" s="444"/>
      <c r="F51" s="448">
        <f t="shared" si="4"/>
        <v>0</v>
      </c>
    </row>
    <row r="52" spans="1:6" ht="15" customHeight="1">
      <c r="A52" s="301">
        <v>209100</v>
      </c>
      <c r="B52" s="441" t="s">
        <v>815</v>
      </c>
      <c r="C52" s="444"/>
      <c r="D52" s="444"/>
      <c r="E52" s="444"/>
      <c r="F52" s="448">
        <f t="shared" si="4"/>
        <v>0</v>
      </c>
    </row>
    <row r="53" spans="1:6" ht="15" customHeight="1">
      <c r="A53" s="301">
        <v>211000</v>
      </c>
      <c r="B53" s="441" t="s">
        <v>1182</v>
      </c>
      <c r="C53" s="444"/>
      <c r="D53" s="444"/>
      <c r="E53" s="444"/>
      <c r="F53" s="448">
        <f t="shared" si="4"/>
        <v>0</v>
      </c>
    </row>
    <row r="54" spans="1:6" ht="15" customHeight="1">
      <c r="A54" s="301">
        <v>212000</v>
      </c>
      <c r="B54" s="441" t="s">
        <v>1204</v>
      </c>
      <c r="C54" s="444"/>
      <c r="D54" s="444"/>
      <c r="E54" s="444"/>
      <c r="F54" s="448">
        <f t="shared" si="4"/>
        <v>0</v>
      </c>
    </row>
    <row r="55" spans="1:6" ht="15" customHeight="1">
      <c r="A55" s="301">
        <v>214000</v>
      </c>
      <c r="B55" s="441" t="s">
        <v>811</v>
      </c>
      <c r="C55" s="740"/>
      <c r="D55" s="740"/>
      <c r="E55" s="740"/>
      <c r="F55" s="448">
        <f t="shared" si="4"/>
        <v>0</v>
      </c>
    </row>
    <row r="56" spans="1:6" ht="15" customHeight="1" thickBot="1">
      <c r="A56" s="301">
        <v>216000</v>
      </c>
      <c r="B56" s="441" t="s">
        <v>2033</v>
      </c>
      <c r="C56" s="446"/>
      <c r="D56" s="446"/>
      <c r="E56" s="446"/>
      <c r="F56" s="448">
        <f t="shared" si="4"/>
        <v>0</v>
      </c>
    </row>
    <row r="57" spans="1:6" ht="15" customHeight="1" thickBot="1">
      <c r="A57" s="429"/>
      <c r="B57" s="707" t="s">
        <v>817</v>
      </c>
      <c r="C57" s="449">
        <f>SUM(C46:C55)</f>
        <v>0</v>
      </c>
      <c r="D57" s="449">
        <f>SUM(D46:D55)</f>
        <v>0</v>
      </c>
      <c r="E57" s="449">
        <f>SUM(E46:E55)</f>
        <v>0</v>
      </c>
      <c r="F57" s="449">
        <f>SUM(F46:F56)</f>
        <v>0</v>
      </c>
    </row>
    <row r="58" spans="1:6" ht="15" customHeight="1">
      <c r="A58" s="429"/>
      <c r="B58" s="706" t="s">
        <v>1181</v>
      </c>
      <c r="C58" s="448"/>
      <c r="D58" s="448"/>
      <c r="E58" s="448"/>
      <c r="F58" s="448"/>
    </row>
    <row r="59" spans="1:6" ht="15" customHeight="1">
      <c r="A59" s="301">
        <v>231000</v>
      </c>
      <c r="B59" s="441" t="s">
        <v>812</v>
      </c>
      <c r="C59" s="444"/>
      <c r="D59" s="444"/>
      <c r="E59" s="444"/>
      <c r="F59" s="448">
        <f t="shared" ref="F59:F66" si="5">SUM(C59:E59)</f>
        <v>0</v>
      </c>
    </row>
    <row r="60" spans="1:6" ht="15" customHeight="1">
      <c r="A60" s="301">
        <v>233000</v>
      </c>
      <c r="B60" s="441" t="s">
        <v>813</v>
      </c>
      <c r="C60" s="444"/>
      <c r="D60" s="444"/>
      <c r="E60" s="444"/>
      <c r="F60" s="448">
        <f t="shared" si="5"/>
        <v>0</v>
      </c>
    </row>
    <row r="61" spans="1:6" ht="15" customHeight="1">
      <c r="A61" s="301">
        <v>234000</v>
      </c>
      <c r="B61" s="441" t="s">
        <v>288</v>
      </c>
      <c r="C61" s="444"/>
      <c r="D61" s="444"/>
      <c r="E61" s="444"/>
      <c r="F61" s="448">
        <f t="shared" si="5"/>
        <v>0</v>
      </c>
    </row>
    <row r="62" spans="1:6" ht="15" customHeight="1">
      <c r="A62" s="301">
        <v>235000</v>
      </c>
      <c r="B62" s="441" t="s">
        <v>814</v>
      </c>
      <c r="C62" s="444"/>
      <c r="D62" s="444"/>
      <c r="E62" s="444"/>
      <c r="F62" s="448">
        <f t="shared" si="5"/>
        <v>0</v>
      </c>
    </row>
    <row r="63" spans="1:6" ht="15" customHeight="1">
      <c r="A63" s="301">
        <v>236000</v>
      </c>
      <c r="B63" s="441" t="s">
        <v>816</v>
      </c>
      <c r="C63" s="444"/>
      <c r="D63" s="444"/>
      <c r="E63" s="444"/>
      <c r="F63" s="448">
        <f t="shared" si="5"/>
        <v>0</v>
      </c>
    </row>
    <row r="64" spans="1:6" ht="15" customHeight="1">
      <c r="A64" s="301">
        <v>237000</v>
      </c>
      <c r="B64" s="441" t="s">
        <v>3029</v>
      </c>
      <c r="C64" s="444"/>
      <c r="D64" s="444"/>
      <c r="E64" s="444"/>
      <c r="F64" s="448">
        <f t="shared" si="5"/>
        <v>0</v>
      </c>
    </row>
    <row r="65" spans="1:6" ht="15" customHeight="1">
      <c r="A65" s="301">
        <v>238000</v>
      </c>
      <c r="B65" s="441" t="s">
        <v>3030</v>
      </c>
      <c r="C65" s="444"/>
      <c r="D65" s="444"/>
      <c r="E65" s="444"/>
      <c r="F65" s="448">
        <f t="shared" si="5"/>
        <v>0</v>
      </c>
    </row>
    <row r="66" spans="1:6" ht="15" customHeight="1" thickBot="1">
      <c r="A66" s="301">
        <v>239000</v>
      </c>
      <c r="B66" s="441" t="s">
        <v>815</v>
      </c>
      <c r="C66" s="446"/>
      <c r="D66" s="446"/>
      <c r="E66" s="446"/>
      <c r="F66" s="448">
        <f t="shared" si="5"/>
        <v>0</v>
      </c>
    </row>
    <row r="67" spans="1:6" ht="15" customHeight="1" thickBot="1">
      <c r="A67" s="429"/>
      <c r="B67" s="707" t="s">
        <v>818</v>
      </c>
      <c r="C67" s="449">
        <f>SUM(C58:C66)</f>
        <v>0</v>
      </c>
      <c r="D67" s="449">
        <f>SUM(D58:D66)</f>
        <v>0</v>
      </c>
      <c r="E67" s="449">
        <f>SUM(E58:E66)</f>
        <v>0</v>
      </c>
      <c r="F67" s="449">
        <f>SUM(F58:F66)</f>
        <v>0</v>
      </c>
    </row>
    <row r="68" spans="1:6" ht="15" customHeight="1">
      <c r="A68" s="429"/>
      <c r="B68" s="708"/>
      <c r="C68" s="448"/>
      <c r="D68" s="448"/>
      <c r="E68" s="448"/>
      <c r="F68" s="448"/>
    </row>
    <row r="69" spans="1:6" ht="15" customHeight="1" thickBot="1">
      <c r="A69" s="429"/>
      <c r="B69" s="710" t="s">
        <v>1074</v>
      </c>
      <c r="C69" s="451">
        <f>+C57+C67</f>
        <v>0</v>
      </c>
      <c r="D69" s="451">
        <f>+D57+D67</f>
        <v>0</v>
      </c>
      <c r="E69" s="451">
        <f>+E57+E67</f>
        <v>0</v>
      </c>
      <c r="F69" s="451">
        <f>+F57+F67</f>
        <v>0</v>
      </c>
    </row>
    <row r="70" spans="1:6" ht="15" customHeight="1">
      <c r="A70" s="429"/>
      <c r="B70" s="710"/>
      <c r="C70" s="669"/>
      <c r="D70" s="669"/>
      <c r="E70" s="669"/>
      <c r="F70" s="669"/>
    </row>
    <row r="71" spans="1:6" ht="15" customHeight="1">
      <c r="A71" s="429"/>
      <c r="B71" s="710" t="s">
        <v>1906</v>
      </c>
      <c r="C71" s="669"/>
      <c r="D71" s="669"/>
      <c r="E71" s="669"/>
      <c r="F71" s="669"/>
    </row>
    <row r="72" spans="1:6" ht="15" customHeight="1">
      <c r="A72" s="301">
        <v>220000</v>
      </c>
      <c r="B72" s="441" t="s">
        <v>1908</v>
      </c>
      <c r="C72" s="740"/>
      <c r="D72" s="740"/>
      <c r="E72" s="740"/>
      <c r="F72" s="669">
        <f>SUM(C72:E72)</f>
        <v>0</v>
      </c>
    </row>
    <row r="73" spans="1:6" ht="15" customHeight="1" thickBot="1">
      <c r="A73" s="301">
        <v>223000</v>
      </c>
      <c r="B73" s="441" t="s">
        <v>1908</v>
      </c>
      <c r="C73" s="446"/>
      <c r="D73" s="446"/>
      <c r="E73" s="446"/>
      <c r="F73" s="451">
        <f>SUM(C73:E73)</f>
        <v>0</v>
      </c>
    </row>
    <row r="74" spans="1:6" ht="15" customHeight="1" thickBot="1">
      <c r="A74" s="429"/>
      <c r="B74" s="707" t="s">
        <v>1909</v>
      </c>
      <c r="C74" s="450">
        <f>SUM(C72:C73)</f>
        <v>0</v>
      </c>
      <c r="D74" s="450">
        <f t="shared" ref="D74:F74" si="6">SUM(D72:D73)</f>
        <v>0</v>
      </c>
      <c r="E74" s="450">
        <f t="shared" si="6"/>
        <v>0</v>
      </c>
      <c r="F74" s="450">
        <f t="shared" si="6"/>
        <v>0</v>
      </c>
    </row>
    <row r="75" spans="1:6" ht="15" customHeight="1" thickTop="1">
      <c r="A75" s="429"/>
      <c r="B75" s="710"/>
      <c r="C75" s="448"/>
      <c r="D75" s="448"/>
      <c r="E75" s="448"/>
      <c r="F75" s="448"/>
    </row>
    <row r="76" spans="1:6" ht="15" customHeight="1">
      <c r="A76" s="429"/>
      <c r="B76" s="706" t="s">
        <v>1801</v>
      </c>
      <c r="C76" s="448"/>
      <c r="D76" s="448"/>
      <c r="E76" s="448"/>
      <c r="F76" s="448"/>
    </row>
    <row r="77" spans="1:6" ht="15" customHeight="1">
      <c r="A77" s="301"/>
      <c r="B77" s="441" t="s">
        <v>1858</v>
      </c>
      <c r="C77" s="448">
        <f>C36-C50-C59-C62-C49</f>
        <v>0</v>
      </c>
      <c r="D77" s="448">
        <f t="shared" ref="D77:E77" si="7">D36-D50-D59-D62-D49</f>
        <v>0</v>
      </c>
      <c r="E77" s="448">
        <f t="shared" si="7"/>
        <v>0</v>
      </c>
      <c r="F77" s="448">
        <f>SUM(C77:E77)</f>
        <v>0</v>
      </c>
    </row>
    <row r="78" spans="1:6" ht="15" customHeight="1">
      <c r="A78" s="301"/>
      <c r="B78" s="708" t="s">
        <v>1366</v>
      </c>
      <c r="C78" s="448"/>
      <c r="D78" s="448"/>
      <c r="E78" s="448"/>
      <c r="F78" s="448"/>
    </row>
    <row r="79" spans="1:6" ht="15" customHeight="1">
      <c r="A79" s="301"/>
      <c r="B79" s="441"/>
      <c r="C79" s="444"/>
      <c r="D79" s="444"/>
      <c r="E79" s="444"/>
      <c r="F79" s="448">
        <f>SUM(C79:E79)</f>
        <v>0</v>
      </c>
    </row>
    <row r="80" spans="1:6" ht="15" customHeight="1">
      <c r="A80" s="301"/>
      <c r="B80" s="441"/>
      <c r="C80" s="444"/>
      <c r="D80" s="444"/>
      <c r="E80" s="444"/>
      <c r="F80" s="448">
        <f>SUM(C80:E80)</f>
        <v>0</v>
      </c>
    </row>
    <row r="81" spans="1:6" ht="15" customHeight="1" thickBot="1">
      <c r="A81" s="301"/>
      <c r="B81" s="441" t="s">
        <v>1367</v>
      </c>
      <c r="C81" s="451">
        <f>C38+C43-C69-C74-C77-C79-C80</f>
        <v>0</v>
      </c>
      <c r="D81" s="451">
        <f t="shared" ref="D81:E81" si="8">D38+D43-D69-D74-D77-D79-D80</f>
        <v>0</v>
      </c>
      <c r="E81" s="451">
        <f t="shared" si="8"/>
        <v>0</v>
      </c>
      <c r="F81" s="448">
        <f>SUM(C81:E81)</f>
        <v>0</v>
      </c>
    </row>
    <row r="82" spans="1:6" ht="15" customHeight="1" thickBot="1">
      <c r="A82" s="301"/>
      <c r="B82" s="710" t="s">
        <v>1795</v>
      </c>
      <c r="C82" s="450">
        <f>SUM(C76:C81)</f>
        <v>0</v>
      </c>
      <c r="D82" s="450">
        <f>SUM(D76:D81)</f>
        <v>0</v>
      </c>
      <c r="E82" s="450">
        <f>SUM(E76:E81)</f>
        <v>0</v>
      </c>
      <c r="F82" s="450">
        <f>SUM(F76:F81)</f>
        <v>0</v>
      </c>
    </row>
    <row r="83" spans="1:6" ht="15.75" thickTop="1">
      <c r="A83" s="301"/>
      <c r="B83" s="263"/>
      <c r="C83" s="263"/>
      <c r="D83" s="263"/>
      <c r="E83" s="263"/>
      <c r="F83" s="411"/>
    </row>
    <row r="84" spans="1:6" ht="15.75">
      <c r="A84" s="301"/>
      <c r="B84" s="263"/>
      <c r="C84" s="263"/>
      <c r="D84" s="1035" t="s">
        <v>3136</v>
      </c>
      <c r="E84" s="263"/>
      <c r="F84" s="263"/>
    </row>
    <row r="85" spans="1:6" ht="15">
      <c r="A85" s="301"/>
      <c r="B85" s="263"/>
      <c r="C85" s="263"/>
      <c r="D85" s="263"/>
      <c r="E85" s="263"/>
      <c r="F85" s="263"/>
    </row>
    <row r="86" spans="1:6" ht="15">
      <c r="A86" s="301"/>
      <c r="B86" s="263"/>
      <c r="C86" s="263"/>
      <c r="D86" s="263"/>
      <c r="E86" s="263"/>
      <c r="F86" s="263"/>
    </row>
    <row r="87" spans="1:6" ht="15">
      <c r="A87" s="301"/>
      <c r="B87" s="263"/>
      <c r="C87" s="263"/>
      <c r="D87" s="263"/>
      <c r="E87" s="263"/>
      <c r="F87" s="263"/>
    </row>
    <row r="88" spans="1:6" ht="15">
      <c r="A88" s="301"/>
      <c r="B88" s="263"/>
      <c r="C88" s="263"/>
      <c r="D88" s="263"/>
      <c r="E88" s="263"/>
      <c r="F88" s="263"/>
    </row>
    <row r="89" spans="1:6" ht="15">
      <c r="A89" s="301"/>
      <c r="B89" s="263"/>
      <c r="C89" s="263"/>
      <c r="D89" s="263"/>
      <c r="E89" s="263"/>
      <c r="F89" s="263"/>
    </row>
    <row r="90" spans="1:6" ht="15">
      <c r="A90" s="301"/>
      <c r="B90" s="263"/>
      <c r="C90" s="263"/>
      <c r="D90" s="263"/>
      <c r="E90" s="263"/>
      <c r="F90" s="263"/>
    </row>
    <row r="91" spans="1:6" ht="15">
      <c r="A91" s="301"/>
      <c r="B91" s="263"/>
      <c r="C91" s="263"/>
      <c r="D91" s="263"/>
      <c r="E91" s="263"/>
      <c r="F91" s="263"/>
    </row>
    <row r="92" spans="1:6" ht="15">
      <c r="A92" s="301"/>
      <c r="B92" s="263"/>
      <c r="C92" s="263"/>
      <c r="D92" s="263"/>
      <c r="E92" s="263"/>
      <c r="F92" s="263"/>
    </row>
    <row r="93" spans="1:6" ht="15">
      <c r="A93" s="301"/>
      <c r="B93" s="263"/>
      <c r="C93" s="263"/>
      <c r="D93" s="263"/>
      <c r="E93" s="263"/>
      <c r="F93" s="263"/>
    </row>
    <row r="94" spans="1:6" ht="15">
      <c r="A94" s="301"/>
      <c r="B94" s="263"/>
      <c r="C94" s="263"/>
      <c r="D94" s="263"/>
      <c r="E94" s="263"/>
      <c r="F94" s="263"/>
    </row>
    <row r="95" spans="1:6" ht="15">
      <c r="A95" s="301"/>
      <c r="B95" s="263"/>
      <c r="C95" s="263"/>
      <c r="D95" s="263"/>
      <c r="E95" s="263"/>
      <c r="F95" s="263"/>
    </row>
    <row r="96" spans="1:6" ht="15">
      <c r="A96" s="301"/>
      <c r="B96" s="263"/>
      <c r="C96" s="263"/>
      <c r="D96" s="263"/>
      <c r="E96" s="263"/>
      <c r="F96" s="263"/>
    </row>
    <row r="97" spans="1:6" ht="15">
      <c r="A97" s="301"/>
      <c r="B97" s="263"/>
      <c r="C97" s="263"/>
      <c r="D97" s="263"/>
      <c r="E97" s="263"/>
      <c r="F97" s="263"/>
    </row>
    <row r="98" spans="1:6" ht="15">
      <c r="A98" s="301"/>
      <c r="B98" s="263"/>
      <c r="C98" s="263"/>
      <c r="D98" s="263"/>
      <c r="E98" s="263"/>
      <c r="F98" s="263"/>
    </row>
    <row r="99" spans="1:6" ht="15">
      <c r="A99" s="301"/>
      <c r="B99" s="263"/>
      <c r="C99" s="263"/>
      <c r="D99" s="263"/>
      <c r="E99" s="263"/>
      <c r="F99" s="263"/>
    </row>
    <row r="100" spans="1:6" ht="15">
      <c r="A100" s="301"/>
      <c r="B100" s="263"/>
      <c r="C100" s="263"/>
      <c r="D100" s="263"/>
      <c r="E100" s="263"/>
      <c r="F100" s="263"/>
    </row>
    <row r="101" spans="1:6" ht="15">
      <c r="A101" s="301"/>
      <c r="B101" s="263"/>
      <c r="C101" s="263"/>
      <c r="D101" s="263"/>
      <c r="E101" s="263"/>
      <c r="F101" s="263"/>
    </row>
    <row r="102" spans="1:6" ht="15">
      <c r="A102" s="301"/>
      <c r="B102" s="263"/>
      <c r="C102" s="263"/>
      <c r="D102" s="263"/>
      <c r="E102" s="263"/>
      <c r="F102" s="263"/>
    </row>
    <row r="103" spans="1:6" ht="15">
      <c r="A103" s="301"/>
      <c r="B103" s="263"/>
      <c r="C103" s="263"/>
      <c r="D103" s="263"/>
      <c r="E103" s="263"/>
      <c r="F103" s="263"/>
    </row>
    <row r="104" spans="1:6" ht="15">
      <c r="A104" s="301"/>
      <c r="B104" s="263"/>
      <c r="C104" s="263"/>
      <c r="D104" s="263"/>
      <c r="E104" s="263"/>
      <c r="F104" s="263"/>
    </row>
    <row r="105" spans="1:6" ht="15">
      <c r="A105" s="301"/>
      <c r="B105" s="263"/>
      <c r="C105" s="263"/>
      <c r="D105" s="263"/>
      <c r="E105" s="263"/>
      <c r="F105" s="263"/>
    </row>
    <row r="106" spans="1:6" ht="15">
      <c r="A106" s="301"/>
      <c r="B106" s="263"/>
      <c r="C106" s="263"/>
      <c r="D106" s="263"/>
      <c r="E106" s="263"/>
      <c r="F106" s="263"/>
    </row>
    <row r="107" spans="1:6" ht="15">
      <c r="A107" s="301"/>
      <c r="B107" s="263"/>
      <c r="C107" s="263"/>
      <c r="D107" s="263"/>
      <c r="E107" s="263"/>
      <c r="F107" s="263"/>
    </row>
    <row r="108" spans="1:6" ht="15">
      <c r="A108" s="301"/>
      <c r="B108" s="263"/>
      <c r="C108" s="263"/>
      <c r="D108" s="263"/>
      <c r="E108" s="263"/>
      <c r="F108" s="263"/>
    </row>
    <row r="109" spans="1:6" ht="15">
      <c r="A109" s="301"/>
      <c r="B109" s="263"/>
      <c r="C109" s="263"/>
      <c r="D109" s="263"/>
      <c r="E109" s="263"/>
      <c r="F109" s="263"/>
    </row>
    <row r="110" spans="1:6" ht="15">
      <c r="A110" s="301"/>
      <c r="B110" s="263"/>
      <c r="C110" s="263"/>
      <c r="D110" s="263"/>
      <c r="E110" s="263"/>
      <c r="F110" s="263"/>
    </row>
    <row r="111" spans="1:6" ht="15">
      <c r="A111" s="301"/>
      <c r="B111" s="263"/>
      <c r="C111" s="263"/>
      <c r="D111" s="263"/>
      <c r="E111" s="263"/>
      <c r="F111" s="263"/>
    </row>
    <row r="112" spans="1:6" ht="15">
      <c r="A112" s="301"/>
      <c r="B112" s="263"/>
      <c r="C112" s="263"/>
      <c r="D112" s="263"/>
      <c r="E112" s="263"/>
      <c r="F112" s="263"/>
    </row>
    <row r="113" spans="1:6" ht="15">
      <c r="A113" s="301"/>
      <c r="B113" s="263"/>
      <c r="C113" s="263"/>
      <c r="D113" s="263"/>
      <c r="E113" s="263"/>
      <c r="F113" s="263"/>
    </row>
    <row r="114" spans="1:6" ht="15">
      <c r="A114" s="301"/>
      <c r="B114" s="263"/>
      <c r="C114" s="263"/>
      <c r="D114" s="263"/>
      <c r="E114" s="263"/>
      <c r="F114" s="263"/>
    </row>
    <row r="115" spans="1:6" ht="15">
      <c r="A115" s="301"/>
      <c r="B115" s="263"/>
      <c r="C115" s="263"/>
      <c r="D115" s="263"/>
      <c r="E115" s="263"/>
      <c r="F115" s="263"/>
    </row>
    <row r="116" spans="1:6" ht="15">
      <c r="A116" s="301"/>
      <c r="B116" s="263"/>
      <c r="C116" s="263"/>
      <c r="D116" s="263"/>
      <c r="E116" s="263"/>
      <c r="F116" s="263"/>
    </row>
    <row r="117" spans="1:6" ht="15">
      <c r="A117" s="301"/>
      <c r="B117" s="263"/>
      <c r="C117" s="263"/>
      <c r="D117" s="263"/>
      <c r="E117" s="263"/>
      <c r="F117" s="263"/>
    </row>
    <row r="118" spans="1:6" ht="15">
      <c r="A118" s="301"/>
      <c r="B118" s="263"/>
      <c r="C118" s="263"/>
      <c r="D118" s="263"/>
      <c r="E118" s="263"/>
      <c r="F118" s="263"/>
    </row>
    <row r="119" spans="1:6" ht="15">
      <c r="A119" s="301"/>
      <c r="B119" s="263"/>
      <c r="C119" s="263"/>
      <c r="D119" s="263"/>
      <c r="E119" s="263"/>
      <c r="F119" s="263"/>
    </row>
    <row r="120" spans="1:6" ht="15">
      <c r="A120" s="301"/>
      <c r="B120" s="263"/>
      <c r="C120" s="263"/>
      <c r="D120" s="263"/>
      <c r="E120" s="263"/>
      <c r="F120" s="263"/>
    </row>
    <row r="121" spans="1:6" ht="15">
      <c r="A121" s="301"/>
      <c r="B121" s="263"/>
      <c r="C121" s="263"/>
      <c r="D121" s="263"/>
      <c r="E121" s="263"/>
      <c r="F121" s="263"/>
    </row>
    <row r="122" spans="1:6" ht="15">
      <c r="A122" s="301"/>
      <c r="B122" s="263"/>
      <c r="C122" s="263"/>
      <c r="D122" s="263"/>
      <c r="E122" s="263"/>
      <c r="F122" s="263"/>
    </row>
    <row r="123" spans="1:6" ht="15">
      <c r="A123" s="301"/>
      <c r="B123" s="263"/>
      <c r="C123" s="263"/>
      <c r="D123" s="263"/>
      <c r="E123" s="263"/>
      <c r="F123" s="263"/>
    </row>
    <row r="124" spans="1:6" ht="15">
      <c r="A124" s="301"/>
      <c r="B124" s="263"/>
      <c r="C124" s="263"/>
      <c r="D124" s="263"/>
      <c r="E124" s="263"/>
      <c r="F124" s="263"/>
    </row>
    <row r="125" spans="1:6" ht="15">
      <c r="A125" s="301"/>
      <c r="B125" s="263"/>
      <c r="C125" s="263"/>
      <c r="D125" s="263"/>
      <c r="E125" s="263"/>
      <c r="F125" s="263"/>
    </row>
    <row r="126" spans="1:6" ht="15">
      <c r="A126" s="301"/>
      <c r="B126" s="263"/>
      <c r="C126" s="263"/>
      <c r="D126" s="263"/>
      <c r="E126" s="263"/>
      <c r="F126" s="263"/>
    </row>
    <row r="127" spans="1:6" ht="15">
      <c r="A127" s="301"/>
      <c r="B127" s="263"/>
      <c r="C127" s="263"/>
      <c r="D127" s="263"/>
      <c r="E127" s="263"/>
      <c r="F127" s="263"/>
    </row>
    <row r="128" spans="1:6" ht="15">
      <c r="A128" s="301"/>
      <c r="B128" s="263"/>
      <c r="C128" s="263"/>
      <c r="D128" s="263"/>
      <c r="E128" s="263"/>
      <c r="F128" s="263"/>
    </row>
    <row r="129" spans="1:6" ht="15">
      <c r="A129" s="301"/>
      <c r="B129" s="263"/>
      <c r="C129" s="263"/>
      <c r="D129" s="263"/>
      <c r="E129" s="263"/>
      <c r="F129" s="263"/>
    </row>
    <row r="130" spans="1:6" ht="15">
      <c r="A130" s="301"/>
      <c r="B130" s="263"/>
      <c r="C130" s="263"/>
      <c r="D130" s="263"/>
      <c r="E130" s="263"/>
      <c r="F130" s="263"/>
    </row>
    <row r="131" spans="1:6" ht="15">
      <c r="A131" s="301"/>
      <c r="B131" s="263"/>
      <c r="C131" s="263"/>
      <c r="D131" s="263"/>
      <c r="E131" s="263"/>
      <c r="F131" s="263"/>
    </row>
    <row r="132" spans="1:6" ht="15">
      <c r="A132" s="301"/>
      <c r="B132" s="263"/>
      <c r="C132" s="263"/>
      <c r="D132" s="263"/>
      <c r="E132" s="263"/>
      <c r="F132" s="263"/>
    </row>
    <row r="133" spans="1:6" ht="15">
      <c r="A133" s="301"/>
      <c r="B133" s="263"/>
      <c r="C133" s="263"/>
      <c r="D133" s="263"/>
      <c r="E133" s="263"/>
      <c r="F133" s="263"/>
    </row>
    <row r="134" spans="1:6" ht="15">
      <c r="A134" s="301"/>
      <c r="B134" s="263"/>
      <c r="C134" s="263"/>
      <c r="D134" s="263"/>
      <c r="E134" s="263"/>
      <c r="F134" s="263"/>
    </row>
    <row r="135" spans="1:6" ht="15">
      <c r="A135" s="301"/>
      <c r="B135" s="263"/>
      <c r="C135" s="263"/>
      <c r="D135" s="263"/>
      <c r="E135" s="263"/>
      <c r="F135" s="263"/>
    </row>
    <row r="136" spans="1:6" ht="15">
      <c r="A136" s="301"/>
      <c r="B136" s="263"/>
      <c r="C136" s="263"/>
      <c r="D136" s="263"/>
      <c r="E136" s="263"/>
      <c r="F136" s="263"/>
    </row>
    <row r="137" spans="1:6" ht="15">
      <c r="A137" s="301"/>
      <c r="B137" s="263"/>
      <c r="C137" s="263"/>
      <c r="D137" s="263"/>
      <c r="E137" s="263"/>
      <c r="F137" s="263"/>
    </row>
    <row r="138" spans="1:6" ht="15">
      <c r="A138" s="301"/>
      <c r="B138" s="263"/>
      <c r="C138" s="263"/>
      <c r="D138" s="263"/>
      <c r="E138" s="263"/>
      <c r="F138" s="263"/>
    </row>
    <row r="139" spans="1:6" ht="15">
      <c r="A139" s="301"/>
      <c r="B139" s="263"/>
      <c r="C139" s="263"/>
      <c r="D139" s="263"/>
      <c r="E139" s="263"/>
      <c r="F139" s="263"/>
    </row>
    <row r="140" spans="1:6" ht="15">
      <c r="A140" s="301"/>
      <c r="B140" s="263"/>
      <c r="C140" s="263"/>
      <c r="D140" s="263"/>
      <c r="E140" s="263"/>
      <c r="F140" s="263"/>
    </row>
    <row r="141" spans="1:6" ht="15">
      <c r="A141" s="301"/>
      <c r="B141" s="263"/>
      <c r="C141" s="263"/>
      <c r="D141" s="263"/>
      <c r="E141" s="263"/>
      <c r="F141" s="263"/>
    </row>
    <row r="142" spans="1:6" ht="15">
      <c r="A142" s="301"/>
      <c r="B142" s="263"/>
      <c r="C142" s="263"/>
      <c r="D142" s="263"/>
      <c r="E142" s="263"/>
      <c r="F142" s="263"/>
    </row>
    <row r="143" spans="1:6" ht="15">
      <c r="A143" s="263"/>
      <c r="B143" s="263"/>
      <c r="C143" s="263"/>
      <c r="D143" s="263"/>
      <c r="E143" s="263"/>
      <c r="F143" s="263"/>
    </row>
    <row r="144" spans="1:6" ht="15">
      <c r="A144" s="263"/>
      <c r="B144" s="263"/>
      <c r="C144" s="263"/>
      <c r="D144" s="263"/>
      <c r="E144" s="263"/>
      <c r="F144" s="263"/>
    </row>
    <row r="145" spans="1:6" ht="15">
      <c r="A145" s="263"/>
      <c r="B145" s="263"/>
      <c r="C145" s="263"/>
      <c r="D145" s="263"/>
      <c r="E145" s="263"/>
      <c r="F145" s="263"/>
    </row>
    <row r="146" spans="1:6" ht="15">
      <c r="A146" s="263"/>
      <c r="B146" s="263"/>
      <c r="C146" s="263"/>
      <c r="D146" s="263"/>
      <c r="E146" s="263"/>
      <c r="F146" s="263"/>
    </row>
    <row r="147" spans="1:6" ht="15">
      <c r="A147" s="263"/>
      <c r="B147" s="263"/>
      <c r="C147" s="263"/>
      <c r="D147" s="263"/>
      <c r="E147" s="263"/>
      <c r="F147" s="263"/>
    </row>
    <row r="148" spans="1:6" ht="15">
      <c r="A148" s="263"/>
      <c r="B148" s="263"/>
      <c r="C148" s="263"/>
      <c r="D148" s="263"/>
      <c r="E148" s="263"/>
      <c r="F148" s="263"/>
    </row>
    <row r="149" spans="1:6" ht="15">
      <c r="A149" s="263"/>
      <c r="B149" s="263"/>
      <c r="C149" s="263"/>
      <c r="D149" s="263"/>
      <c r="E149" s="263"/>
      <c r="F149" s="263"/>
    </row>
    <row r="150" spans="1:6" ht="15">
      <c r="A150" s="263"/>
      <c r="B150" s="263"/>
      <c r="C150" s="263"/>
      <c r="D150" s="263"/>
      <c r="E150" s="263"/>
      <c r="F150" s="263"/>
    </row>
    <row r="151" spans="1:6" ht="15">
      <c r="A151" s="263"/>
      <c r="B151" s="263"/>
      <c r="C151" s="263"/>
      <c r="D151" s="263"/>
      <c r="E151" s="263"/>
      <c r="F151" s="263"/>
    </row>
    <row r="152" spans="1:6" ht="15">
      <c r="A152" s="263"/>
      <c r="B152" s="263"/>
      <c r="C152" s="263"/>
      <c r="D152" s="263"/>
      <c r="E152" s="263"/>
      <c r="F152" s="263"/>
    </row>
    <row r="153" spans="1:6" ht="15">
      <c r="A153" s="263"/>
      <c r="B153" s="263"/>
      <c r="C153" s="263"/>
      <c r="D153" s="263"/>
      <c r="E153" s="263"/>
      <c r="F153" s="263"/>
    </row>
    <row r="154" spans="1:6" ht="15">
      <c r="A154" s="263"/>
      <c r="B154" s="263"/>
      <c r="C154" s="263"/>
      <c r="D154" s="263"/>
      <c r="E154" s="263"/>
      <c r="F154" s="263"/>
    </row>
    <row r="155" spans="1:6" ht="15">
      <c r="A155" s="263"/>
      <c r="B155" s="263"/>
      <c r="C155" s="263"/>
      <c r="D155" s="263"/>
      <c r="E155" s="263"/>
      <c r="F155" s="263"/>
    </row>
    <row r="156" spans="1:6" ht="15">
      <c r="A156" s="263"/>
      <c r="B156" s="263"/>
      <c r="C156" s="263"/>
      <c r="D156" s="263"/>
      <c r="E156" s="263"/>
      <c r="F156" s="263"/>
    </row>
    <row r="157" spans="1:6" ht="15">
      <c r="A157" s="263"/>
      <c r="B157" s="263"/>
      <c r="C157" s="263"/>
      <c r="D157" s="263"/>
      <c r="E157" s="263"/>
      <c r="F157" s="263"/>
    </row>
    <row r="158" spans="1:6" ht="15">
      <c r="A158" s="263"/>
      <c r="B158" s="263"/>
      <c r="C158" s="263"/>
      <c r="D158" s="263"/>
      <c r="E158" s="263"/>
      <c r="F158" s="263"/>
    </row>
    <row r="159" spans="1:6" ht="15">
      <c r="A159" s="263"/>
      <c r="B159" s="263"/>
      <c r="C159" s="263"/>
      <c r="D159" s="263"/>
      <c r="E159" s="263"/>
      <c r="F159" s="263"/>
    </row>
    <row r="160" spans="1:6" ht="15">
      <c r="A160" s="263"/>
      <c r="B160" s="263"/>
      <c r="C160" s="263"/>
      <c r="D160" s="263"/>
      <c r="E160" s="263"/>
      <c r="F160" s="263"/>
    </row>
    <row r="161" spans="1:6" ht="15">
      <c r="A161" s="263"/>
      <c r="B161" s="263"/>
      <c r="C161" s="263"/>
      <c r="D161" s="263"/>
      <c r="E161" s="263"/>
      <c r="F161" s="263"/>
    </row>
    <row r="162" spans="1:6" ht="15">
      <c r="A162" s="263"/>
      <c r="B162" s="263"/>
      <c r="C162" s="263"/>
      <c r="D162" s="263"/>
      <c r="E162" s="263"/>
      <c r="F162" s="263"/>
    </row>
    <row r="163" spans="1:6" ht="15">
      <c r="A163" s="263"/>
      <c r="B163" s="263"/>
      <c r="C163" s="263"/>
      <c r="D163" s="263"/>
      <c r="E163" s="263"/>
      <c r="F163" s="263"/>
    </row>
    <row r="164" spans="1:6" ht="15">
      <c r="A164" s="263"/>
      <c r="B164" s="263"/>
      <c r="C164" s="263"/>
      <c r="D164" s="263"/>
      <c r="E164" s="263"/>
      <c r="F164" s="263"/>
    </row>
    <row r="165" spans="1:6" ht="15">
      <c r="A165" s="263"/>
      <c r="B165" s="263"/>
      <c r="C165" s="263"/>
      <c r="D165" s="263"/>
      <c r="E165" s="263"/>
      <c r="F165" s="263"/>
    </row>
    <row r="166" spans="1:6" ht="15">
      <c r="A166" s="263"/>
      <c r="B166" s="263"/>
      <c r="C166" s="263"/>
      <c r="D166" s="263"/>
      <c r="E166" s="263"/>
      <c r="F166" s="263"/>
    </row>
    <row r="167" spans="1:6" ht="15">
      <c r="A167" s="263"/>
      <c r="B167" s="263"/>
      <c r="C167" s="263"/>
      <c r="D167" s="263"/>
      <c r="E167" s="263"/>
      <c r="F167" s="263"/>
    </row>
    <row r="168" spans="1:6" ht="15">
      <c r="A168" s="263"/>
      <c r="B168" s="263"/>
      <c r="C168" s="263"/>
      <c r="D168" s="263"/>
      <c r="E168" s="263"/>
      <c r="F168" s="263"/>
    </row>
    <row r="169" spans="1:6" ht="15">
      <c r="A169" s="263"/>
      <c r="B169" s="263"/>
      <c r="C169" s="263"/>
      <c r="D169" s="263"/>
      <c r="E169" s="263"/>
      <c r="F169" s="263"/>
    </row>
    <row r="170" spans="1:6" ht="15">
      <c r="A170" s="263"/>
      <c r="B170" s="263"/>
      <c r="C170" s="263"/>
      <c r="D170" s="263"/>
      <c r="E170" s="263"/>
      <c r="F170" s="263"/>
    </row>
    <row r="171" spans="1:6" ht="15">
      <c r="A171" s="263"/>
      <c r="B171" s="263"/>
      <c r="C171" s="263"/>
      <c r="D171" s="263"/>
      <c r="E171" s="263"/>
      <c r="F171" s="263"/>
    </row>
    <row r="172" spans="1:6" ht="15">
      <c r="A172" s="263"/>
      <c r="B172" s="263"/>
      <c r="C172" s="263"/>
      <c r="D172" s="263"/>
      <c r="E172" s="263"/>
      <c r="F172" s="263"/>
    </row>
    <row r="173" spans="1:6" ht="15">
      <c r="A173" s="263"/>
      <c r="B173" s="263"/>
      <c r="C173" s="263"/>
      <c r="D173" s="263"/>
      <c r="E173" s="263"/>
      <c r="F173" s="263"/>
    </row>
    <row r="174" spans="1:6" ht="15">
      <c r="A174" s="263"/>
      <c r="B174" s="263"/>
      <c r="C174" s="263"/>
      <c r="D174" s="263"/>
      <c r="E174" s="263"/>
      <c r="F174" s="263"/>
    </row>
    <row r="175" spans="1:6" ht="15">
      <c r="A175" s="263"/>
      <c r="B175" s="263"/>
      <c r="C175" s="263"/>
      <c r="D175" s="263"/>
      <c r="E175" s="263"/>
      <c r="F175" s="263"/>
    </row>
    <row r="176" spans="1:6" ht="15">
      <c r="A176" s="263"/>
      <c r="B176" s="263"/>
      <c r="C176" s="263"/>
      <c r="D176" s="263"/>
      <c r="E176" s="263"/>
      <c r="F176" s="263"/>
    </row>
    <row r="177" spans="1:6" ht="15">
      <c r="A177" s="263"/>
      <c r="B177" s="263"/>
      <c r="C177" s="263"/>
      <c r="D177" s="263"/>
      <c r="E177" s="263"/>
      <c r="F177" s="263"/>
    </row>
  </sheetData>
  <sheetProtection password="D950" sheet="1" scenarios="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60" orientation="portrait" horizontalDpi="360" verticalDpi="360" r:id="rId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4"/>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G12" sqref="G12"/>
    </sheetView>
  </sheetViews>
  <sheetFormatPr defaultColWidth="8.85546875" defaultRowHeight="12.75"/>
  <cols>
    <col min="1" max="1" width="2.5703125" style="261" customWidth="1"/>
    <col min="2" max="2" width="12.7109375" style="261" customWidth="1"/>
    <col min="3" max="3" width="55.7109375" style="261" customWidth="1"/>
    <col min="4" max="7" width="24.7109375" style="261" customWidth="1"/>
    <col min="8" max="16384" width="8.85546875" style="261"/>
  </cols>
  <sheetData>
    <row r="1" spans="2:7" ht="18">
      <c r="B1" s="276"/>
      <c r="C1" s="259" t="str">
        <f>+'COMB. NET POS-IN. SER.(82)'!B1</f>
        <v>TOWN OF BROADUS</v>
      </c>
      <c r="D1" s="276"/>
      <c r="E1" s="276"/>
      <c r="F1" s="276"/>
      <c r="G1" s="276"/>
    </row>
    <row r="2" spans="2:7" ht="18">
      <c r="B2" s="276"/>
      <c r="C2" s="259" t="s">
        <v>1815</v>
      </c>
      <c r="D2" s="276"/>
      <c r="E2" s="276"/>
      <c r="F2" s="276"/>
      <c r="G2" s="276"/>
    </row>
    <row r="3" spans="2:7" ht="18">
      <c r="B3" s="276"/>
      <c r="C3" s="259" t="s">
        <v>1314</v>
      </c>
      <c r="D3" s="276"/>
      <c r="E3" s="276"/>
      <c r="F3" s="276"/>
      <c r="G3" s="276"/>
    </row>
    <row r="4" spans="2:7" ht="18">
      <c r="B4" s="276"/>
      <c r="C4" s="262" t="str">
        <f>+'GW-STATEMENT OF ACTIVITIES(14)'!B3</f>
        <v>FISCAL YEAR ENDING JUNE 30, 2017</v>
      </c>
      <c r="D4" s="276"/>
      <c r="E4" s="276"/>
      <c r="F4" s="276"/>
      <c r="G4" s="276"/>
    </row>
    <row r="5" spans="2:7" ht="18">
      <c r="C5" s="262"/>
      <c r="G5" s="266"/>
    </row>
    <row r="6" spans="2:7" ht="18">
      <c r="C6" s="262"/>
      <c r="D6" s="328"/>
      <c r="E6" s="329"/>
      <c r="F6" s="329"/>
      <c r="G6" s="440"/>
    </row>
    <row r="8" spans="2:7" ht="16.5" thickBot="1">
      <c r="B8" s="263"/>
      <c r="C8" s="263"/>
      <c r="D8" s="267" t="s">
        <v>706</v>
      </c>
      <c r="E8" s="267" t="s">
        <v>706</v>
      </c>
      <c r="F8" s="267" t="s">
        <v>706</v>
      </c>
      <c r="G8" s="430" t="s">
        <v>1030</v>
      </c>
    </row>
    <row r="9" spans="2:7" ht="15.75">
      <c r="B9" s="266" t="s">
        <v>177</v>
      </c>
      <c r="C9" s="266"/>
      <c r="D9" s="776" t="str">
        <f>'COMB. NET POS-IN. SER.(82)'!C8</f>
        <v>-</v>
      </c>
      <c r="E9" s="776" t="str">
        <f>'COMB. NET POS-IN. SER.(82)'!D8</f>
        <v>-</v>
      </c>
      <c r="F9" s="776" t="str">
        <f>'COMB. NET POS-IN. SER.(82)'!E8</f>
        <v>-</v>
      </c>
      <c r="G9" s="430" t="s">
        <v>1315</v>
      </c>
    </row>
    <row r="10" spans="2:7" ht="16.5" thickBot="1">
      <c r="B10" s="267" t="s">
        <v>178</v>
      </c>
      <c r="C10" s="267" t="s">
        <v>179</v>
      </c>
      <c r="D10" s="267" t="str">
        <f>'COMB. NET POS-IN. SER.(82)'!C9</f>
        <v>-</v>
      </c>
      <c r="E10" s="267" t="str">
        <f>'COMB. NET POS-IN. SER.(82)'!D9</f>
        <v>-</v>
      </c>
      <c r="F10" s="267" t="str">
        <f>'COMB. NET POS-IN. SER.(82)'!E9</f>
        <v>-</v>
      </c>
      <c r="G10" s="676" t="s">
        <v>1036</v>
      </c>
    </row>
    <row r="11" spans="2:7" ht="20.100000000000001" customHeight="1">
      <c r="B11" s="429"/>
      <c r="C11" s="431" t="s">
        <v>822</v>
      </c>
      <c r="D11" s="326"/>
      <c r="E11" s="326"/>
      <c r="F11" s="326"/>
      <c r="G11" s="326"/>
    </row>
    <row r="12" spans="2:7" ht="20.100000000000001" customHeight="1">
      <c r="B12" s="301">
        <v>340000</v>
      </c>
      <c r="C12" s="263" t="s">
        <v>823</v>
      </c>
      <c r="D12" s="269"/>
      <c r="E12" s="269"/>
      <c r="F12" s="269"/>
      <c r="G12" s="277">
        <f>SUM(D12:F12)</f>
        <v>0</v>
      </c>
    </row>
    <row r="13" spans="2:7" ht="20.100000000000001" customHeight="1">
      <c r="B13" s="301">
        <v>360000</v>
      </c>
      <c r="C13" s="263" t="s">
        <v>824</v>
      </c>
      <c r="D13" s="269"/>
      <c r="E13" s="269"/>
      <c r="F13" s="269"/>
      <c r="G13" s="277">
        <f>SUM(D13:F13)</f>
        <v>0</v>
      </c>
    </row>
    <row r="14" spans="2:7" ht="20.100000000000001" customHeight="1">
      <c r="B14" s="301">
        <v>363000</v>
      </c>
      <c r="C14" s="263" t="s">
        <v>825</v>
      </c>
      <c r="D14" s="269"/>
      <c r="E14" s="269"/>
      <c r="F14" s="269"/>
      <c r="G14" s="277">
        <f>SUM(D14:F14)</f>
        <v>0</v>
      </c>
    </row>
    <row r="15" spans="2:7" ht="20.100000000000001" customHeight="1" thickBot="1">
      <c r="B15" s="429"/>
      <c r="C15" s="411"/>
      <c r="D15" s="278"/>
      <c r="E15" s="278"/>
      <c r="F15" s="278"/>
      <c r="G15" s="278"/>
    </row>
    <row r="16" spans="2:7" ht="20.100000000000001" customHeight="1" thickBot="1">
      <c r="B16" s="429"/>
      <c r="C16" s="430" t="s">
        <v>826</v>
      </c>
      <c r="D16" s="278">
        <f>SUM(D11:D15)</f>
        <v>0</v>
      </c>
      <c r="E16" s="278">
        <f>SUM(E11:E15)</f>
        <v>0</v>
      </c>
      <c r="F16" s="278">
        <f>SUM(F11:F15)</f>
        <v>0</v>
      </c>
      <c r="G16" s="278">
        <f>SUM(G11:G15)</f>
        <v>0</v>
      </c>
    </row>
    <row r="17" spans="1:7" ht="20.100000000000001" customHeight="1">
      <c r="B17" s="429"/>
      <c r="C17" s="411"/>
      <c r="D17" s="277"/>
      <c r="E17" s="277"/>
      <c r="F17" s="277"/>
      <c r="G17" s="277"/>
    </row>
    <row r="18" spans="1:7" ht="20.100000000000001" customHeight="1">
      <c r="B18" s="429"/>
      <c r="C18" s="431" t="s">
        <v>827</v>
      </c>
      <c r="D18" s="277"/>
      <c r="E18" s="277"/>
      <c r="F18" s="277"/>
      <c r="G18" s="277"/>
    </row>
    <row r="19" spans="1:7" ht="20.100000000000001" customHeight="1">
      <c r="B19" s="301">
        <v>100</v>
      </c>
      <c r="C19" s="263" t="s">
        <v>828</v>
      </c>
      <c r="D19" s="269"/>
      <c r="E19" s="269"/>
      <c r="F19" s="269"/>
      <c r="G19" s="277">
        <f t="shared" ref="G19:G25" si="0">SUM(D19:F19)</f>
        <v>0</v>
      </c>
    </row>
    <row r="20" spans="1:7" ht="20.100000000000001" customHeight="1">
      <c r="B20" s="301">
        <v>200</v>
      </c>
      <c r="C20" s="263" t="s">
        <v>829</v>
      </c>
      <c r="D20" s="269"/>
      <c r="E20" s="269"/>
      <c r="F20" s="269"/>
      <c r="G20" s="277">
        <f t="shared" si="0"/>
        <v>0</v>
      </c>
    </row>
    <row r="21" spans="1:7" ht="20.100000000000001" customHeight="1">
      <c r="B21" s="301">
        <v>300</v>
      </c>
      <c r="C21" s="263" t="s">
        <v>830</v>
      </c>
      <c r="D21" s="269"/>
      <c r="E21" s="269"/>
      <c r="F21" s="269"/>
      <c r="G21" s="277">
        <f t="shared" si="0"/>
        <v>0</v>
      </c>
    </row>
    <row r="22" spans="1:7" ht="20.100000000000001" customHeight="1">
      <c r="B22" s="301">
        <v>400</v>
      </c>
      <c r="C22" s="263" t="s">
        <v>831</v>
      </c>
      <c r="D22" s="269"/>
      <c r="E22" s="269"/>
      <c r="F22" s="269"/>
      <c r="G22" s="277">
        <f t="shared" si="0"/>
        <v>0</v>
      </c>
    </row>
    <row r="23" spans="1:7" ht="20.100000000000001" customHeight="1">
      <c r="B23" s="301">
        <v>500</v>
      </c>
      <c r="C23" s="263" t="s">
        <v>832</v>
      </c>
      <c r="D23" s="269"/>
      <c r="E23" s="269"/>
      <c r="F23" s="269"/>
      <c r="G23" s="277">
        <f t="shared" si="0"/>
        <v>0</v>
      </c>
    </row>
    <row r="24" spans="1:7" ht="20.100000000000001" customHeight="1">
      <c r="B24" s="301">
        <v>810</v>
      </c>
      <c r="C24" s="263" t="s">
        <v>833</v>
      </c>
      <c r="D24" s="269"/>
      <c r="E24" s="269"/>
      <c r="F24" s="269"/>
      <c r="G24" s="277">
        <f t="shared" si="0"/>
        <v>0</v>
      </c>
    </row>
    <row r="25" spans="1:7" ht="20.100000000000001" customHeight="1">
      <c r="B25" s="301">
        <v>830</v>
      </c>
      <c r="C25" s="263" t="s">
        <v>834</v>
      </c>
      <c r="D25" s="269"/>
      <c r="E25" s="269"/>
      <c r="F25" s="269"/>
      <c r="G25" s="277">
        <f t="shared" si="0"/>
        <v>0</v>
      </c>
    </row>
    <row r="26" spans="1:7" ht="27.95" customHeight="1" thickBot="1">
      <c r="A26" s="452"/>
      <c r="B26" s="429"/>
      <c r="C26" s="411"/>
      <c r="D26" s="278"/>
      <c r="E26" s="278"/>
      <c r="F26" s="278"/>
      <c r="G26" s="278"/>
    </row>
    <row r="27" spans="1:7" ht="20.100000000000001" customHeight="1" thickBot="1">
      <c r="B27" s="429"/>
      <c r="C27" s="430" t="s">
        <v>363</v>
      </c>
      <c r="D27" s="278">
        <f>SUM(D18:D26)</f>
        <v>0</v>
      </c>
      <c r="E27" s="278">
        <f>SUM(E18:E26)</f>
        <v>0</v>
      </c>
      <c r="F27" s="278">
        <f>SUM(F18:F26)</f>
        <v>0</v>
      </c>
      <c r="G27" s="278">
        <f>SUM(G18:G26)</f>
        <v>0</v>
      </c>
    </row>
    <row r="28" spans="1:7" ht="20.100000000000001" customHeight="1" thickBot="1">
      <c r="B28" s="429"/>
      <c r="C28" s="411" t="s">
        <v>1232</v>
      </c>
      <c r="D28" s="278">
        <f>+D16-D27</f>
        <v>0</v>
      </c>
      <c r="E28" s="278">
        <f>+E16-E27</f>
        <v>0</v>
      </c>
      <c r="F28" s="278">
        <f>+F16-F27</f>
        <v>0</v>
      </c>
      <c r="G28" s="278">
        <f>+G16-G27</f>
        <v>0</v>
      </c>
    </row>
    <row r="29" spans="1:7" ht="20.100000000000001" customHeight="1">
      <c r="B29" s="301"/>
      <c r="C29" s="268" t="s">
        <v>835</v>
      </c>
      <c r="D29" s="277"/>
      <c r="E29" s="277"/>
      <c r="F29" s="277"/>
      <c r="G29" s="277"/>
    </row>
    <row r="30" spans="1:7" ht="20.100000000000001" customHeight="1">
      <c r="B30" s="301">
        <v>310000</v>
      </c>
      <c r="C30" s="263" t="s">
        <v>836</v>
      </c>
      <c r="D30" s="269"/>
      <c r="E30" s="269"/>
      <c r="F30" s="269"/>
      <c r="G30" s="277">
        <f t="shared" ref="G30:G39" si="1">SUM(D30:F30)</f>
        <v>0</v>
      </c>
    </row>
    <row r="31" spans="1:7" ht="20.100000000000001" customHeight="1">
      <c r="B31" s="301">
        <v>320000</v>
      </c>
      <c r="C31" s="263" t="s">
        <v>837</v>
      </c>
      <c r="D31" s="269"/>
      <c r="E31" s="269"/>
      <c r="F31" s="269"/>
      <c r="G31" s="277">
        <f t="shared" si="1"/>
        <v>0</v>
      </c>
    </row>
    <row r="32" spans="1:7" ht="20.100000000000001" customHeight="1">
      <c r="B32" s="301">
        <v>330000</v>
      </c>
      <c r="C32" s="263" t="s">
        <v>1235</v>
      </c>
      <c r="D32" s="269"/>
      <c r="E32" s="269"/>
      <c r="F32" s="269"/>
      <c r="G32" s="277">
        <f t="shared" si="1"/>
        <v>0</v>
      </c>
    </row>
    <row r="33" spans="2:7" ht="20.100000000000001" customHeight="1">
      <c r="B33" s="301">
        <v>371000</v>
      </c>
      <c r="C33" s="263" t="s">
        <v>1236</v>
      </c>
      <c r="D33" s="269"/>
      <c r="E33" s="269"/>
      <c r="F33" s="269"/>
      <c r="G33" s="277">
        <f t="shared" si="1"/>
        <v>0</v>
      </c>
    </row>
    <row r="34" spans="2:7" ht="20.100000000000001" customHeight="1">
      <c r="B34" s="301">
        <v>382030</v>
      </c>
      <c r="C34" s="263" t="s">
        <v>1793</v>
      </c>
      <c r="D34" s="269"/>
      <c r="E34" s="269"/>
      <c r="F34" s="269"/>
      <c r="G34" s="277">
        <f t="shared" si="1"/>
        <v>0</v>
      </c>
    </row>
    <row r="35" spans="2:7" ht="20.100000000000001" customHeight="1">
      <c r="B35" s="301">
        <v>490000</v>
      </c>
      <c r="C35" s="263" t="s">
        <v>1792</v>
      </c>
      <c r="D35" s="269"/>
      <c r="E35" s="269"/>
      <c r="F35" s="269"/>
      <c r="G35" s="277">
        <f t="shared" si="1"/>
        <v>0</v>
      </c>
    </row>
    <row r="36" spans="2:7" ht="20.100000000000001" customHeight="1">
      <c r="B36" s="301">
        <v>384000</v>
      </c>
      <c r="C36" s="263" t="s">
        <v>1759</v>
      </c>
      <c r="D36" s="269"/>
      <c r="E36" s="269"/>
      <c r="F36" s="269"/>
      <c r="G36" s="277">
        <f t="shared" si="1"/>
        <v>0</v>
      </c>
    </row>
    <row r="37" spans="2:7" ht="20.100000000000001" customHeight="1">
      <c r="B37" s="301">
        <v>385000</v>
      </c>
      <c r="C37" s="263" t="s">
        <v>1760</v>
      </c>
      <c r="D37" s="269"/>
      <c r="E37" s="269"/>
      <c r="F37" s="269"/>
      <c r="G37" s="277">
        <f t="shared" si="1"/>
        <v>0</v>
      </c>
    </row>
    <row r="38" spans="2:7" ht="20.100000000000001" customHeight="1">
      <c r="B38" s="301">
        <v>524000</v>
      </c>
      <c r="C38" s="263" t="s">
        <v>1761</v>
      </c>
      <c r="D38" s="269"/>
      <c r="E38" s="269"/>
      <c r="F38" s="269"/>
      <c r="G38" s="277">
        <f t="shared" si="1"/>
        <v>0</v>
      </c>
    </row>
    <row r="39" spans="2:7" ht="20.100000000000001" customHeight="1" thickBot="1">
      <c r="B39" s="301">
        <v>525000</v>
      </c>
      <c r="C39" s="263" t="s">
        <v>1762</v>
      </c>
      <c r="D39" s="271"/>
      <c r="E39" s="271"/>
      <c r="F39" s="271"/>
      <c r="G39" s="278">
        <f t="shared" si="1"/>
        <v>0</v>
      </c>
    </row>
    <row r="40" spans="2:7" ht="20.100000000000001" customHeight="1" thickBot="1">
      <c r="B40" s="429"/>
      <c r="C40" s="430" t="s">
        <v>1229</v>
      </c>
      <c r="D40" s="278">
        <f>SUM(D29:D39)</f>
        <v>0</v>
      </c>
      <c r="E40" s="278">
        <f>SUM(E29:E39)</f>
        <v>0</v>
      </c>
      <c r="F40" s="278">
        <f>SUM(F29:F39)</f>
        <v>0</v>
      </c>
      <c r="G40" s="278">
        <f>SUM(G29:G39)</f>
        <v>0</v>
      </c>
    </row>
    <row r="41" spans="2:7" ht="20.100000000000001" customHeight="1">
      <c r="B41" s="429"/>
      <c r="C41" s="411" t="s">
        <v>13</v>
      </c>
      <c r="D41" s="306">
        <f>+D28+D40</f>
        <v>0</v>
      </c>
      <c r="E41" s="306">
        <f>+E28+E40</f>
        <v>0</v>
      </c>
      <c r="F41" s="306">
        <f>+F28+F40</f>
        <v>0</v>
      </c>
      <c r="G41" s="306">
        <f>+G28+G40</f>
        <v>0</v>
      </c>
    </row>
    <row r="42" spans="2:7" ht="20.100000000000001" customHeight="1">
      <c r="B42" s="301"/>
      <c r="C42" s="263" t="s">
        <v>848</v>
      </c>
      <c r="D42" s="269"/>
      <c r="E42" s="269"/>
      <c r="F42" s="269"/>
      <c r="G42" s="277">
        <f>SUM(D42:F42)</f>
        <v>0</v>
      </c>
    </row>
    <row r="43" spans="2:7" ht="20.100000000000001" customHeight="1" thickBot="1">
      <c r="B43" s="301"/>
      <c r="C43" s="263" t="s">
        <v>476</v>
      </c>
      <c r="D43" s="271"/>
      <c r="E43" s="271"/>
      <c r="F43" s="271"/>
      <c r="G43" s="278">
        <f>SUM(D43:F43)</f>
        <v>0</v>
      </c>
    </row>
    <row r="44" spans="2:7" ht="20.100000000000001" customHeight="1">
      <c r="B44" s="301"/>
      <c r="C44" s="411" t="s">
        <v>1805</v>
      </c>
      <c r="D44" s="277">
        <f>+D41+D42+D43</f>
        <v>0</v>
      </c>
      <c r="E44" s="277">
        <f>+E41+E42+E43</f>
        <v>0</v>
      </c>
      <c r="F44" s="277">
        <f>+F41+F42+F43</f>
        <v>0</v>
      </c>
      <c r="G44" s="277">
        <f>+G41+G42+G43</f>
        <v>0</v>
      </c>
    </row>
    <row r="45" spans="2:7" ht="20.100000000000001" customHeight="1">
      <c r="B45" s="301"/>
      <c r="C45" s="263" t="str">
        <f>+'CHANGE NET POSITION-PROP.(19)'!B45</f>
        <v>Total net position - July 1, 2016 as previously reported</v>
      </c>
      <c r="D45" s="303"/>
      <c r="E45" s="303"/>
      <c r="F45" s="303"/>
      <c r="G45" s="277">
        <f>SUM(D45:F45)</f>
        <v>0</v>
      </c>
    </row>
    <row r="46" spans="2:7" ht="20.100000000000001" customHeight="1" thickBot="1">
      <c r="B46" s="301"/>
      <c r="C46" s="263" t="s">
        <v>1153</v>
      </c>
      <c r="D46" s="271"/>
      <c r="E46" s="271"/>
      <c r="F46" s="271"/>
      <c r="G46" s="278">
        <f>SUM(D46:F46)</f>
        <v>0</v>
      </c>
    </row>
    <row r="47" spans="2:7" ht="20.100000000000001" customHeight="1" thickBot="1">
      <c r="B47" s="301"/>
      <c r="C47" s="263" t="str">
        <f>+'CHANGE NET POSITION-PROP.(19)'!B47</f>
        <v>Total net position - July 1, 2016 as restated</v>
      </c>
      <c r="D47" s="307">
        <f>+D45+D46</f>
        <v>0</v>
      </c>
      <c r="E47" s="307">
        <f>+E45+E46</f>
        <v>0</v>
      </c>
      <c r="F47" s="307">
        <f>+F45+F46</f>
        <v>0</v>
      </c>
      <c r="G47" s="307">
        <f>+G45+G46</f>
        <v>0</v>
      </c>
    </row>
    <row r="48" spans="2:7" ht="20.100000000000001" customHeight="1" thickBot="1">
      <c r="B48" s="301"/>
      <c r="C48" s="263" t="str">
        <f>+'CHANGE NET POSITION-PROP.(19)'!B48</f>
        <v>Total net position - June 30, 2017</v>
      </c>
      <c r="D48" s="280">
        <f>+D44+D47</f>
        <v>0</v>
      </c>
      <c r="E48" s="280">
        <f>+E44+E47</f>
        <v>0</v>
      </c>
      <c r="F48" s="280">
        <f>+F44+F47</f>
        <v>0</v>
      </c>
      <c r="G48" s="280">
        <f>+G44+G47</f>
        <v>0</v>
      </c>
    </row>
    <row r="49" spans="2:7" ht="15.75" thickTop="1">
      <c r="B49" s="301"/>
      <c r="C49" s="263"/>
      <c r="D49" s="1085"/>
      <c r="E49" s="263"/>
      <c r="F49" s="263"/>
      <c r="G49" s="263"/>
    </row>
    <row r="50" spans="2:7" ht="15.75">
      <c r="B50" s="301"/>
      <c r="C50" s="263"/>
      <c r="D50" s="422" t="s">
        <v>3137</v>
      </c>
      <c r="E50" s="263"/>
      <c r="F50" s="263"/>
      <c r="G50" s="263"/>
    </row>
    <row r="51" spans="2:7" ht="15">
      <c r="B51" s="301"/>
      <c r="C51" s="263"/>
      <c r="D51" s="263"/>
      <c r="E51" s="263"/>
      <c r="F51" s="263"/>
      <c r="G51" s="263"/>
    </row>
    <row r="52" spans="2:7" ht="15">
      <c r="B52" s="301"/>
      <c r="C52" s="263"/>
      <c r="D52" s="263"/>
      <c r="E52" s="263"/>
      <c r="F52" s="263"/>
      <c r="G52" s="263"/>
    </row>
    <row r="53" spans="2:7" ht="15">
      <c r="B53" s="301"/>
      <c r="C53" s="263"/>
      <c r="D53" s="263"/>
      <c r="E53" s="263"/>
      <c r="F53" s="263"/>
      <c r="G53" s="263"/>
    </row>
    <row r="54" spans="2:7" ht="15">
      <c r="B54" s="301"/>
      <c r="C54" s="263"/>
      <c r="D54" s="263"/>
      <c r="E54" s="263"/>
      <c r="F54" s="263"/>
      <c r="G54" s="263"/>
    </row>
    <row r="55" spans="2:7" ht="15">
      <c r="B55" s="301"/>
      <c r="C55" s="263"/>
      <c r="D55" s="263"/>
      <c r="E55" s="263"/>
      <c r="F55" s="263"/>
      <c r="G55" s="263"/>
    </row>
    <row r="56" spans="2:7" ht="15">
      <c r="B56" s="301"/>
      <c r="C56" s="263"/>
      <c r="D56" s="263"/>
      <c r="E56" s="263"/>
      <c r="F56" s="263"/>
      <c r="G56" s="263"/>
    </row>
    <row r="57" spans="2:7" ht="15">
      <c r="B57" s="301"/>
      <c r="C57" s="263"/>
      <c r="D57" s="263"/>
      <c r="E57" s="263"/>
      <c r="F57" s="263"/>
      <c r="G57" s="263"/>
    </row>
    <row r="58" spans="2:7" ht="15">
      <c r="B58" s="301"/>
      <c r="C58" s="263"/>
      <c r="D58" s="263"/>
      <c r="E58" s="263"/>
      <c r="F58" s="263"/>
      <c r="G58" s="263"/>
    </row>
    <row r="59" spans="2:7" ht="15">
      <c r="B59" s="301"/>
      <c r="C59" s="263"/>
      <c r="D59" s="263"/>
      <c r="E59" s="263"/>
      <c r="F59" s="263"/>
      <c r="G59" s="263"/>
    </row>
    <row r="60" spans="2:7" ht="15">
      <c r="B60" s="301"/>
      <c r="C60" s="263"/>
      <c r="D60" s="263"/>
      <c r="E60" s="263"/>
      <c r="F60" s="263"/>
      <c r="G60" s="263"/>
    </row>
    <row r="61" spans="2:7" ht="15">
      <c r="B61" s="301"/>
      <c r="C61" s="263"/>
      <c r="D61" s="263"/>
      <c r="E61" s="263"/>
      <c r="F61" s="263"/>
      <c r="G61" s="263"/>
    </row>
    <row r="62" spans="2:7" ht="15">
      <c r="B62" s="301"/>
      <c r="C62" s="263"/>
      <c r="D62" s="263"/>
      <c r="E62" s="263"/>
      <c r="F62" s="263"/>
      <c r="G62" s="263"/>
    </row>
    <row r="63" spans="2:7" ht="15">
      <c r="B63" s="301"/>
      <c r="C63" s="263"/>
      <c r="D63" s="263"/>
      <c r="E63" s="263"/>
      <c r="F63" s="263"/>
      <c r="G63" s="263"/>
    </row>
    <row r="64" spans="2:7" ht="15">
      <c r="B64" s="301"/>
      <c r="C64" s="263"/>
      <c r="D64" s="263"/>
      <c r="E64" s="263"/>
      <c r="F64" s="263"/>
      <c r="G64" s="263"/>
    </row>
    <row r="65" spans="2:7" ht="15">
      <c r="B65" s="301"/>
      <c r="C65" s="263"/>
      <c r="D65" s="263"/>
      <c r="E65" s="263"/>
      <c r="F65" s="263"/>
      <c r="G65" s="263"/>
    </row>
    <row r="66" spans="2:7" ht="15">
      <c r="B66" s="301"/>
      <c r="C66" s="263"/>
      <c r="D66" s="263"/>
      <c r="E66" s="263"/>
      <c r="F66" s="263"/>
      <c r="G66" s="263"/>
    </row>
    <row r="67" spans="2:7" ht="15">
      <c r="B67" s="301"/>
      <c r="C67" s="263"/>
      <c r="D67" s="263"/>
      <c r="E67" s="263"/>
      <c r="F67" s="263"/>
      <c r="G67" s="263"/>
    </row>
    <row r="68" spans="2:7" ht="15">
      <c r="B68" s="301"/>
      <c r="C68" s="263"/>
      <c r="D68" s="263"/>
      <c r="E68" s="263"/>
      <c r="F68" s="263"/>
      <c r="G68" s="263"/>
    </row>
    <row r="69" spans="2:7" ht="15">
      <c r="B69" s="301"/>
      <c r="C69" s="263"/>
      <c r="D69" s="263"/>
      <c r="E69" s="263"/>
      <c r="F69" s="263"/>
      <c r="G69" s="263"/>
    </row>
    <row r="70" spans="2:7" ht="15">
      <c r="B70" s="301"/>
      <c r="C70" s="263"/>
      <c r="D70" s="263"/>
      <c r="E70" s="263"/>
      <c r="F70" s="263"/>
      <c r="G70" s="263"/>
    </row>
    <row r="71" spans="2:7" ht="15">
      <c r="B71" s="301"/>
      <c r="C71" s="263"/>
      <c r="D71" s="263"/>
      <c r="E71" s="263"/>
      <c r="F71" s="263"/>
      <c r="G71" s="263"/>
    </row>
    <row r="72" spans="2:7" ht="15">
      <c r="B72" s="301"/>
      <c r="C72" s="263"/>
      <c r="D72" s="263"/>
      <c r="E72" s="263"/>
      <c r="F72" s="263"/>
      <c r="G72" s="263"/>
    </row>
    <row r="73" spans="2:7" ht="15">
      <c r="B73" s="301"/>
      <c r="C73" s="263"/>
      <c r="D73" s="263"/>
      <c r="E73" s="263"/>
      <c r="F73" s="263"/>
      <c r="G73" s="263"/>
    </row>
    <row r="74" spans="2:7" ht="15">
      <c r="B74" s="301"/>
      <c r="C74" s="263"/>
      <c r="D74" s="263"/>
      <c r="E74" s="263"/>
      <c r="F74" s="263"/>
      <c r="G74" s="263"/>
    </row>
    <row r="75" spans="2:7" ht="15">
      <c r="B75" s="301"/>
      <c r="C75" s="263"/>
      <c r="D75" s="263"/>
      <c r="E75" s="263"/>
      <c r="F75" s="263"/>
      <c r="G75" s="263"/>
    </row>
    <row r="76" spans="2:7" ht="15">
      <c r="B76" s="263"/>
      <c r="C76" s="263"/>
      <c r="D76" s="263"/>
      <c r="E76" s="263"/>
      <c r="F76" s="263"/>
      <c r="G76" s="263"/>
    </row>
    <row r="77" spans="2:7" ht="15">
      <c r="B77" s="263"/>
      <c r="C77" s="263"/>
      <c r="D77" s="263"/>
      <c r="E77" s="263"/>
      <c r="F77" s="263"/>
      <c r="G77" s="263"/>
    </row>
    <row r="78" spans="2:7" ht="15">
      <c r="B78" s="263"/>
      <c r="C78" s="263"/>
      <c r="D78" s="263"/>
      <c r="E78" s="263"/>
      <c r="F78" s="263"/>
      <c r="G78" s="263"/>
    </row>
    <row r="79" spans="2:7" ht="15">
      <c r="B79" s="263"/>
      <c r="C79" s="263"/>
      <c r="D79" s="263"/>
      <c r="E79" s="263"/>
      <c r="F79" s="263"/>
      <c r="G79" s="263"/>
    </row>
    <row r="80" spans="2:7" ht="15">
      <c r="B80" s="263"/>
      <c r="C80" s="263"/>
      <c r="D80" s="263"/>
      <c r="E80" s="263"/>
      <c r="F80" s="263"/>
      <c r="G80" s="263"/>
    </row>
    <row r="81" spans="2:7" ht="15">
      <c r="B81" s="263"/>
      <c r="C81" s="263"/>
      <c r="D81" s="263"/>
      <c r="E81" s="263"/>
      <c r="F81" s="263"/>
      <c r="G81" s="263"/>
    </row>
    <row r="82" spans="2:7" ht="15">
      <c r="B82" s="263"/>
      <c r="C82" s="263"/>
      <c r="D82" s="263"/>
      <c r="E82" s="263"/>
      <c r="F82" s="263"/>
      <c r="G82" s="263"/>
    </row>
    <row r="83" spans="2:7" ht="15">
      <c r="B83" s="263"/>
      <c r="C83" s="263"/>
      <c r="D83" s="263"/>
      <c r="E83" s="263"/>
      <c r="F83" s="263"/>
      <c r="G83" s="263"/>
    </row>
    <row r="84" spans="2:7" ht="15">
      <c r="B84" s="263"/>
      <c r="C84" s="263"/>
      <c r="D84" s="263"/>
      <c r="E84" s="263"/>
      <c r="F84" s="263"/>
      <c r="G84" s="263"/>
    </row>
  </sheetData>
  <sheetProtection password="D950" sheet="1" scenarios="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E10" sqref="E10"/>
    </sheetView>
  </sheetViews>
  <sheetFormatPr defaultColWidth="8.85546875" defaultRowHeight="12.75"/>
  <cols>
    <col min="1" max="1" width="55.7109375" style="261" customWidth="1"/>
    <col min="2" max="5" width="24.7109375" style="261" customWidth="1"/>
    <col min="6" max="16384" width="8.85546875" style="261"/>
  </cols>
  <sheetData>
    <row r="1" spans="1:5" ht="18">
      <c r="A1" s="259" t="str">
        <f>+'GW-STATEMENT NET POSITION(13)'!A1</f>
        <v>TOWN OF BROADUS</v>
      </c>
      <c r="B1" s="276"/>
      <c r="C1" s="276"/>
      <c r="D1" s="276"/>
      <c r="E1" s="276"/>
    </row>
    <row r="2" spans="1:5" ht="18">
      <c r="A2" s="259" t="s">
        <v>5</v>
      </c>
      <c r="B2" s="276"/>
      <c r="C2" s="276"/>
      <c r="D2" s="276"/>
      <c r="E2" s="276"/>
    </row>
    <row r="3" spans="1:5" ht="18">
      <c r="A3" s="259" t="s">
        <v>1314</v>
      </c>
      <c r="B3" s="276"/>
      <c r="C3" s="276"/>
      <c r="D3" s="276"/>
      <c r="E3" s="276"/>
    </row>
    <row r="4" spans="1:5" ht="18">
      <c r="A4" s="262" t="str">
        <f>+'GW-STATEMENT OF ACTIVITIES(14)'!B3</f>
        <v>FISCAL YEAR ENDING JUNE 30, 2017</v>
      </c>
      <c r="B4" s="276"/>
      <c r="C4" s="276"/>
      <c r="D4" s="276"/>
      <c r="E4" s="276"/>
    </row>
    <row r="5" spans="1:5" ht="18">
      <c r="A5" s="262"/>
    </row>
    <row r="6" spans="1:5" ht="16.5" thickBot="1">
      <c r="A6" s="263"/>
      <c r="B6" s="267" t="s">
        <v>706</v>
      </c>
      <c r="C6" s="267" t="s">
        <v>706</v>
      </c>
      <c r="D6" s="267" t="s">
        <v>706</v>
      </c>
      <c r="E6" s="265"/>
    </row>
    <row r="7" spans="1:5" ht="15.75">
      <c r="A7" s="266"/>
      <c r="B7" s="266" t="str">
        <f>'COMB. CHGE IN NP IN. SERV.(83)'!D9</f>
        <v>-</v>
      </c>
      <c r="C7" s="266" t="str">
        <f>'COMB. CHGE IN NP IN. SERV.(83)'!E9</f>
        <v>-</v>
      </c>
      <c r="D7" s="266" t="str">
        <f>'COMB. CHGE IN NP IN. SERV.(83)'!F9</f>
        <v>-</v>
      </c>
      <c r="E7" s="411"/>
    </row>
    <row r="8" spans="1:5" ht="16.5" thickBot="1">
      <c r="A8" s="267" t="s">
        <v>179</v>
      </c>
      <c r="B8" s="267" t="str">
        <f>'COMB. CHGE IN NP IN. SERV.(83)'!D10</f>
        <v>-</v>
      </c>
      <c r="C8" s="267" t="str">
        <f>'COMB. CHGE IN NP IN. SERV.(83)'!E10</f>
        <v>-</v>
      </c>
      <c r="D8" s="267" t="str">
        <f>'COMB. CHGE IN NP IN. SERV.(83)'!F10</f>
        <v>-</v>
      </c>
      <c r="E8" s="676" t="s">
        <v>126</v>
      </c>
    </row>
    <row r="9" spans="1:5" ht="20.100000000000001" customHeight="1">
      <c r="A9" s="431" t="s">
        <v>48</v>
      </c>
      <c r="B9" s="326"/>
      <c r="C9" s="326"/>
      <c r="D9" s="326"/>
      <c r="E9" s="326"/>
    </row>
    <row r="10" spans="1:5" ht="20.100000000000001" customHeight="1">
      <c r="A10" s="263" t="s">
        <v>43</v>
      </c>
      <c r="B10" s="269">
        <f>'COMB. CHGE IN NP IN. SERV.(83)'!D16</f>
        <v>0</v>
      </c>
      <c r="C10" s="269">
        <f>'COMB. CHGE IN NP IN. SERV.(83)'!E16</f>
        <v>0</v>
      </c>
      <c r="D10" s="269">
        <f>'COMB. CHGE IN NP IN. SERV.(83)'!F16</f>
        <v>0</v>
      </c>
      <c r="E10" s="277">
        <f>+B10+C10+D10</f>
        <v>0</v>
      </c>
    </row>
    <row r="11" spans="1:5" ht="20.100000000000001" customHeight="1">
      <c r="A11" s="263" t="s">
        <v>44</v>
      </c>
      <c r="B11" s="269">
        <f>-'COMB. CHGE IN NP IN. SERV.(83)'!D20-'COMB. CHGE IN NP IN. SERV.(83)'!D21-'COMB. CHGE IN NP IN. SERV.(83)'!D22-'COMB. CHGE IN NP IN. SERV.(83)'!D23-'COMB. CHGE IN NP IN. SERV.(83)'!D24</f>
        <v>0</v>
      </c>
      <c r="C11" s="269">
        <f>-'COMB. CHGE IN NP IN. SERV.(83)'!E20-'COMB. CHGE IN NP IN. SERV.(83)'!E21-'COMB. CHGE IN NP IN. SERV.(83)'!E22-'COMB. CHGE IN NP IN. SERV.(83)'!E23-'COMB. CHGE IN NP IN. SERV.(83)'!E24</f>
        <v>0</v>
      </c>
      <c r="D11" s="269">
        <f>-'COMB. CHGE IN NP IN. SERV.(83)'!F20-'COMB. CHGE IN NP IN. SERV.(83)'!F21-'COMB. CHGE IN NP IN. SERV.(83)'!F22-'COMB. CHGE IN NP IN. SERV.(83)'!F23-'COMB. CHGE IN NP IN. SERV.(83)'!F24</f>
        <v>0</v>
      </c>
      <c r="E11" s="277">
        <f>+B11+C11+D11</f>
        <v>0</v>
      </c>
    </row>
    <row r="12" spans="1:5" ht="20.100000000000001" customHeight="1">
      <c r="A12" s="263" t="s">
        <v>45</v>
      </c>
      <c r="B12" s="269">
        <f>-'COMB. CHGE IN NP IN. SERV.(83)'!D19</f>
        <v>0</v>
      </c>
      <c r="C12" s="269">
        <f>-'COMB. CHGE IN NP IN. SERV.(83)'!E19</f>
        <v>0</v>
      </c>
      <c r="D12" s="269">
        <f>-'COMB. CHGE IN NP IN. SERV.(83)'!F19</f>
        <v>0</v>
      </c>
      <c r="E12" s="277">
        <f>+B12+C12+D12</f>
        <v>0</v>
      </c>
    </row>
    <row r="13" spans="1:5" ht="20.100000000000001" customHeight="1">
      <c r="A13" s="263" t="s">
        <v>46</v>
      </c>
      <c r="B13" s="269"/>
      <c r="C13" s="269"/>
      <c r="D13" s="269"/>
      <c r="E13" s="277">
        <f>+B13+C13+D13</f>
        <v>0</v>
      </c>
    </row>
    <row r="14" spans="1:5" ht="20.100000000000001" customHeight="1" thickBot="1">
      <c r="A14" s="317" t="s">
        <v>47</v>
      </c>
      <c r="B14" s="271"/>
      <c r="C14" s="271"/>
      <c r="D14" s="271"/>
      <c r="E14" s="278">
        <f>+B14+C14+D14</f>
        <v>0</v>
      </c>
    </row>
    <row r="15" spans="1:5" ht="20.100000000000001" customHeight="1" thickBot="1">
      <c r="A15" s="411" t="s">
        <v>857</v>
      </c>
      <c r="B15" s="278">
        <f>SUM(B9:B14)</f>
        <v>0</v>
      </c>
      <c r="C15" s="278">
        <f>SUM(C9:C14)</f>
        <v>0</v>
      </c>
      <c r="D15" s="278">
        <f>SUM(D9:D14)</f>
        <v>0</v>
      </c>
      <c r="E15" s="278">
        <f>SUM(E9:E14)</f>
        <v>0</v>
      </c>
    </row>
    <row r="16" spans="1:5" ht="30" customHeight="1">
      <c r="A16" s="548" t="s">
        <v>49</v>
      </c>
      <c r="B16" s="277"/>
      <c r="C16" s="277"/>
      <c r="D16" s="277"/>
      <c r="E16" s="277"/>
    </row>
    <row r="17" spans="1:5" ht="20.100000000000001" customHeight="1">
      <c r="A17" s="263" t="s">
        <v>50</v>
      </c>
      <c r="B17" s="269">
        <f>'COMB. CHGE IN NP IN. SERV.(83)'!D43</f>
        <v>0</v>
      </c>
      <c r="C17" s="269">
        <f>'COMB. CHGE IN NP IN. SERV.(83)'!E43</f>
        <v>0</v>
      </c>
      <c r="D17" s="269">
        <f>'COMB. CHGE IN NP IN. SERV.(83)'!F43</f>
        <v>0</v>
      </c>
      <c r="E17" s="277">
        <f>+B17+C17+D17</f>
        <v>0</v>
      </c>
    </row>
    <row r="18" spans="1:5" ht="20.100000000000001" customHeight="1">
      <c r="A18" s="263" t="s">
        <v>51</v>
      </c>
      <c r="B18" s="269"/>
      <c r="C18" s="269"/>
      <c r="D18" s="269"/>
      <c r="E18" s="277">
        <f>+B18+C18+D18</f>
        <v>0</v>
      </c>
    </row>
    <row r="19" spans="1:5" ht="20.100000000000001" customHeight="1" thickBot="1">
      <c r="A19" s="263" t="s">
        <v>473</v>
      </c>
      <c r="B19" s="271">
        <f>'COMB. CHGE IN NP IN. SERV.(83)'!D30+'COMB. CHGE IN NP IN. SERV.(83)'!D31+'COMB. CHGE IN NP IN. SERV.(83)'!D32</f>
        <v>0</v>
      </c>
      <c r="C19" s="271">
        <f>'COMB. CHGE IN NP IN. SERV.(83)'!E30+'COMB. CHGE IN NP IN. SERV.(83)'!E31+'COMB. CHGE IN NP IN. SERV.(83)'!E32</f>
        <v>0</v>
      </c>
      <c r="D19" s="271">
        <f>'COMB. CHGE IN NP IN. SERV.(83)'!F30+'COMB. CHGE IN NP IN. SERV.(83)'!F31+'COMB. CHGE IN NP IN. SERV.(83)'!F32</f>
        <v>0</v>
      </c>
      <c r="E19" s="278">
        <f>+B19+C19+D19</f>
        <v>0</v>
      </c>
    </row>
    <row r="20" spans="1:5" ht="30" customHeight="1" thickBot="1">
      <c r="A20" s="705" t="s">
        <v>52</v>
      </c>
      <c r="B20" s="278">
        <f>SUM(B16:B19)</f>
        <v>0</v>
      </c>
      <c r="C20" s="278">
        <f>SUM(C16:C19)</f>
        <v>0</v>
      </c>
      <c r="D20" s="278">
        <f>SUM(D16:D19)</f>
        <v>0</v>
      </c>
      <c r="E20" s="278">
        <f>SUM(E16:E19)</f>
        <v>0</v>
      </c>
    </row>
    <row r="21" spans="1:5" ht="30" customHeight="1">
      <c r="A21" s="548" t="s">
        <v>854</v>
      </c>
      <c r="B21" s="277"/>
      <c r="C21" s="277"/>
      <c r="D21" s="277"/>
      <c r="E21" s="277"/>
    </row>
    <row r="22" spans="1:5" ht="20.100000000000001" customHeight="1">
      <c r="A22" s="263" t="s">
        <v>53</v>
      </c>
      <c r="B22" s="269"/>
      <c r="C22" s="269"/>
      <c r="D22" s="269"/>
      <c r="E22" s="277">
        <f t="shared" ref="E22:E28" si="0">+B22+C22+D22</f>
        <v>0</v>
      </c>
    </row>
    <row r="23" spans="1:5" ht="20.100000000000001" customHeight="1">
      <c r="A23" s="263" t="s">
        <v>54</v>
      </c>
      <c r="B23" s="269">
        <f>'COMB. CHGE IN NP IN. SERV.(83)'!D42</f>
        <v>0</v>
      </c>
      <c r="C23" s="269">
        <f>'COMB. CHGE IN NP IN. SERV.(83)'!E42</f>
        <v>0</v>
      </c>
      <c r="D23" s="269">
        <f>'COMB. CHGE IN NP IN. SERV.(83)'!F42</f>
        <v>0</v>
      </c>
      <c r="E23" s="277">
        <f t="shared" si="0"/>
        <v>0</v>
      </c>
    </row>
    <row r="24" spans="1:5" ht="20.100000000000001" customHeight="1">
      <c r="A24" s="263" t="s">
        <v>55</v>
      </c>
      <c r="B24" s="302"/>
      <c r="C24" s="302"/>
      <c r="D24" s="302"/>
      <c r="E24" s="277">
        <f t="shared" si="0"/>
        <v>0</v>
      </c>
    </row>
    <row r="25" spans="1:5" ht="20.100000000000001" customHeight="1">
      <c r="A25" s="317" t="s">
        <v>2721</v>
      </c>
      <c r="B25" s="302"/>
      <c r="C25" s="302"/>
      <c r="D25" s="302"/>
      <c r="E25" s="277">
        <f t="shared" si="0"/>
        <v>0</v>
      </c>
    </row>
    <row r="26" spans="1:5" ht="20.100000000000001" customHeight="1">
      <c r="A26" s="263" t="s">
        <v>1419</v>
      </c>
      <c r="B26" s="303">
        <f>'COMB. CHGE IN NP IN. SERV.(83)'!D35</f>
        <v>0</v>
      </c>
      <c r="C26" s="303">
        <f>'COMB. CHGE IN NP IN. SERV.(83)'!E35</f>
        <v>0</v>
      </c>
      <c r="D26" s="303">
        <f>'COMB. CHGE IN NP IN. SERV.(83)'!F35</f>
        <v>0</v>
      </c>
      <c r="E26" s="277">
        <f t="shared" si="0"/>
        <v>0</v>
      </c>
    </row>
    <row r="27" spans="1:5" ht="20.100000000000001" customHeight="1">
      <c r="A27" s="263" t="s">
        <v>57</v>
      </c>
      <c r="B27" s="269"/>
      <c r="C27" s="269"/>
      <c r="D27" s="269"/>
      <c r="E27" s="277">
        <f t="shared" si="0"/>
        <v>0</v>
      </c>
    </row>
    <row r="28" spans="1:5" ht="20.100000000000001" customHeight="1" thickBot="1">
      <c r="A28" s="263" t="s">
        <v>58</v>
      </c>
      <c r="B28" s="271"/>
      <c r="C28" s="271"/>
      <c r="D28" s="271"/>
      <c r="E28" s="278">
        <f t="shared" si="0"/>
        <v>0</v>
      </c>
    </row>
    <row r="29" spans="1:5" ht="30" customHeight="1" thickBot="1">
      <c r="A29" s="705" t="s">
        <v>52</v>
      </c>
      <c r="B29" s="278">
        <f>SUM(B21:B28)</f>
        <v>0</v>
      </c>
      <c r="C29" s="278">
        <f>SUM(C21:C28)</f>
        <v>0</v>
      </c>
      <c r="D29" s="278">
        <f>SUM(D21:D28)</f>
        <v>0</v>
      </c>
      <c r="E29" s="278">
        <f>SUM(E21:E28)</f>
        <v>0</v>
      </c>
    </row>
    <row r="30" spans="1:5" ht="20.100000000000001" customHeight="1">
      <c r="A30" s="431" t="s">
        <v>59</v>
      </c>
      <c r="B30" s="277"/>
      <c r="C30" s="277"/>
      <c r="D30" s="277"/>
      <c r="E30" s="277"/>
    </row>
    <row r="31" spans="1:5" ht="20.100000000000001" customHeight="1">
      <c r="A31" s="263" t="s">
        <v>60</v>
      </c>
      <c r="B31" s="269"/>
      <c r="C31" s="269"/>
      <c r="D31" s="269"/>
      <c r="E31" s="277">
        <f>+B31+C31+D31</f>
        <v>0</v>
      </c>
    </row>
    <row r="32" spans="1:5" ht="20.100000000000001" customHeight="1">
      <c r="A32" s="263" t="s">
        <v>866</v>
      </c>
      <c r="B32" s="269"/>
      <c r="C32" s="269"/>
      <c r="D32" s="269"/>
      <c r="E32" s="277">
        <f>+B32+C32+D32</f>
        <v>0</v>
      </c>
    </row>
    <row r="33" spans="1:5" ht="20.100000000000001" customHeight="1" thickBot="1">
      <c r="A33" s="263" t="s">
        <v>867</v>
      </c>
      <c r="B33" s="271">
        <f>'COMB. CHGE IN NP IN. SERV.(83)'!D33</f>
        <v>0</v>
      </c>
      <c r="C33" s="271">
        <f>'COMB. CHGE IN NP IN. SERV.(83)'!E33</f>
        <v>0</v>
      </c>
      <c r="D33" s="271">
        <f>'COMB. CHGE IN NP IN. SERV.(83)'!F33</f>
        <v>0</v>
      </c>
      <c r="E33" s="278">
        <f>+B33+C33+D33</f>
        <v>0</v>
      </c>
    </row>
    <row r="34" spans="1:5" ht="20.100000000000001" customHeight="1" thickBot="1">
      <c r="A34" s="428" t="s">
        <v>868</v>
      </c>
      <c r="B34" s="278">
        <f>SUM(B30:B33)</f>
        <v>0</v>
      </c>
      <c r="C34" s="278">
        <f>SUM(C30:C33)</f>
        <v>0</v>
      </c>
      <c r="D34" s="278">
        <f>SUM(D30:D33)</f>
        <v>0</v>
      </c>
      <c r="E34" s="278">
        <f>SUM(E30:E33)</f>
        <v>0</v>
      </c>
    </row>
    <row r="35" spans="1:5" ht="20.100000000000001" customHeight="1">
      <c r="A35" s="428" t="s">
        <v>856</v>
      </c>
      <c r="B35" s="307">
        <f>+B15+B20+B29+B34</f>
        <v>0</v>
      </c>
      <c r="C35" s="307">
        <f>+C15+C20+C29+C34</f>
        <v>0</v>
      </c>
      <c r="D35" s="307">
        <f>+D15+D20+D29+D34</f>
        <v>0</v>
      </c>
      <c r="E35" s="307">
        <f>+E15+E20+E29+E34</f>
        <v>0</v>
      </c>
    </row>
    <row r="36" spans="1:5" ht="20.100000000000001" customHeight="1" thickBot="1">
      <c r="A36" s="263" t="s">
        <v>869</v>
      </c>
      <c r="B36" s="271"/>
      <c r="C36" s="271"/>
      <c r="D36" s="271"/>
      <c r="E36" s="277">
        <f>+B36+C36+D36</f>
        <v>0</v>
      </c>
    </row>
    <row r="37" spans="1:5" ht="20.100000000000001" customHeight="1" thickBot="1">
      <c r="A37" s="263" t="s">
        <v>610</v>
      </c>
      <c r="B37" s="280">
        <f>+B35+B36</f>
        <v>0</v>
      </c>
      <c r="C37" s="280">
        <f>+C35+C36</f>
        <v>0</v>
      </c>
      <c r="D37" s="280">
        <f>+D35+D36</f>
        <v>0</v>
      </c>
      <c r="E37" s="280">
        <f>+E35+E36</f>
        <v>0</v>
      </c>
    </row>
    <row r="38" spans="1:5" ht="20.100000000000001" customHeight="1" thickTop="1">
      <c r="A38" s="263"/>
      <c r="B38" s="269"/>
      <c r="C38" s="269"/>
      <c r="D38" s="269"/>
      <c r="E38" s="277"/>
    </row>
    <row r="39" spans="1:5" ht="30" customHeight="1">
      <c r="A39" s="312" t="s">
        <v>611</v>
      </c>
      <c r="B39" s="269"/>
      <c r="C39" s="269"/>
      <c r="D39" s="269"/>
      <c r="E39" s="277"/>
    </row>
    <row r="40" spans="1:5" ht="20.100000000000001" customHeight="1">
      <c r="A40" s="263" t="s">
        <v>612</v>
      </c>
      <c r="B40" s="269">
        <f>'COMB. CHGE IN NP IN. SERV.(83)'!D28</f>
        <v>0</v>
      </c>
      <c r="C40" s="269">
        <f>'COMB. CHGE IN NP IN. SERV.(83)'!E28</f>
        <v>0</v>
      </c>
      <c r="D40" s="269">
        <f>'COMB. CHGE IN NP IN. SERV.(83)'!F28</f>
        <v>0</v>
      </c>
      <c r="E40" s="277">
        <f>+B40+C40+D40</f>
        <v>0</v>
      </c>
    </row>
    <row r="41" spans="1:5" ht="30" customHeight="1">
      <c r="A41" s="270" t="s">
        <v>613</v>
      </c>
      <c r="B41" s="269"/>
      <c r="C41" s="269"/>
      <c r="D41" s="269"/>
      <c r="E41" s="277"/>
    </row>
    <row r="42" spans="1:5" ht="20.100000000000001" customHeight="1">
      <c r="A42" s="263" t="s">
        <v>614</v>
      </c>
      <c r="B42" s="269">
        <f>'COMB. CHGE IN NP IN. SERV.(83)'!D25</f>
        <v>0</v>
      </c>
      <c r="C42" s="269">
        <f>'COMB. CHGE IN NP IN. SERV.(83)'!E25</f>
        <v>0</v>
      </c>
      <c r="D42" s="269">
        <f>'COMB. CHGE IN NP IN. SERV.(83)'!F25</f>
        <v>0</v>
      </c>
      <c r="E42" s="277">
        <f t="shared" ref="E42:E53" si="1">+B42+C42+D42</f>
        <v>0</v>
      </c>
    </row>
    <row r="43" spans="1:5" ht="20.100000000000001" customHeight="1">
      <c r="A43" s="263" t="s">
        <v>0</v>
      </c>
      <c r="B43" s="269"/>
      <c r="C43" s="269"/>
      <c r="D43" s="269"/>
      <c r="E43" s="277">
        <f t="shared" si="1"/>
        <v>0</v>
      </c>
    </row>
    <row r="44" spans="1:5" ht="20.100000000000001" customHeight="1">
      <c r="A44" s="263" t="s">
        <v>1</v>
      </c>
      <c r="B44" s="269"/>
      <c r="C44" s="269"/>
      <c r="D44" s="269"/>
      <c r="E44" s="277">
        <f t="shared" si="1"/>
        <v>0</v>
      </c>
    </row>
    <row r="45" spans="1:5" ht="20.100000000000001" customHeight="1">
      <c r="A45" s="263" t="s">
        <v>2</v>
      </c>
      <c r="B45" s="269"/>
      <c r="C45" s="269"/>
      <c r="D45" s="269"/>
      <c r="E45" s="277">
        <f t="shared" si="1"/>
        <v>0</v>
      </c>
    </row>
    <row r="46" spans="1:5" ht="20.100000000000001" customHeight="1">
      <c r="A46" s="263" t="s">
        <v>617</v>
      </c>
      <c r="B46" s="269"/>
      <c r="C46" s="269"/>
      <c r="D46" s="269"/>
      <c r="E46" s="277">
        <f t="shared" si="1"/>
        <v>0</v>
      </c>
    </row>
    <row r="47" spans="1:5" ht="20.100000000000001" customHeight="1">
      <c r="A47" s="263" t="s">
        <v>618</v>
      </c>
      <c r="B47" s="269"/>
      <c r="C47" s="269"/>
      <c r="D47" s="269"/>
      <c r="E47" s="277">
        <f t="shared" si="1"/>
        <v>0</v>
      </c>
    </row>
    <row r="48" spans="1:5" ht="20.100000000000001" customHeight="1">
      <c r="A48" s="263" t="s">
        <v>619</v>
      </c>
      <c r="B48" s="269"/>
      <c r="C48" s="269"/>
      <c r="D48" s="269"/>
      <c r="E48" s="277">
        <f t="shared" si="1"/>
        <v>0</v>
      </c>
    </row>
    <row r="49" spans="1:5" ht="20.100000000000001" customHeight="1">
      <c r="A49" s="263" t="s">
        <v>620</v>
      </c>
      <c r="B49" s="269"/>
      <c r="C49" s="269"/>
      <c r="D49" s="269"/>
      <c r="E49" s="277">
        <f t="shared" si="1"/>
        <v>0</v>
      </c>
    </row>
    <row r="50" spans="1:5" ht="20.100000000000001" customHeight="1">
      <c r="A50" s="263" t="s">
        <v>621</v>
      </c>
      <c r="B50" s="269"/>
      <c r="C50" s="269"/>
      <c r="D50" s="269"/>
      <c r="E50" s="277">
        <f t="shared" si="1"/>
        <v>0</v>
      </c>
    </row>
    <row r="51" spans="1:5" ht="20.100000000000001" customHeight="1">
      <c r="A51" s="263" t="s">
        <v>622</v>
      </c>
      <c r="B51" s="269"/>
      <c r="C51" s="269"/>
      <c r="D51" s="269"/>
      <c r="E51" s="277">
        <f t="shared" si="1"/>
        <v>0</v>
      </c>
    </row>
    <row r="52" spans="1:5" ht="20.100000000000001" customHeight="1">
      <c r="A52" s="263" t="s">
        <v>623</v>
      </c>
      <c r="B52" s="269"/>
      <c r="C52" s="269"/>
      <c r="D52" s="269"/>
      <c r="E52" s="277">
        <f t="shared" si="1"/>
        <v>0</v>
      </c>
    </row>
    <row r="53" spans="1:5" ht="20.100000000000001" customHeight="1" thickBot="1">
      <c r="A53" s="263" t="s">
        <v>649</v>
      </c>
      <c r="B53" s="271"/>
      <c r="C53" s="271"/>
      <c r="D53" s="271"/>
      <c r="E53" s="277">
        <f t="shared" si="1"/>
        <v>0</v>
      </c>
    </row>
    <row r="54" spans="1:5" ht="20.100000000000001" customHeight="1" thickBot="1">
      <c r="A54" s="263" t="s">
        <v>650</v>
      </c>
      <c r="B54" s="279">
        <f>SUM(B42:B53)</f>
        <v>0</v>
      </c>
      <c r="C54" s="279">
        <f>SUM(C42:C53)</f>
        <v>0</v>
      </c>
      <c r="D54" s="279">
        <f>SUM(D42:D53)</f>
        <v>0</v>
      </c>
      <c r="E54" s="279">
        <f>SUM(E42:E53)</f>
        <v>0</v>
      </c>
    </row>
    <row r="55" spans="1:5" ht="20.100000000000001" customHeight="1" thickBot="1">
      <c r="A55" s="263" t="s">
        <v>855</v>
      </c>
      <c r="B55" s="280">
        <f>+B40+B54</f>
        <v>0</v>
      </c>
      <c r="C55" s="280">
        <f>+C40+C54</f>
        <v>0</v>
      </c>
      <c r="D55" s="280">
        <f>+D40+D54</f>
        <v>0</v>
      </c>
      <c r="E55" s="280">
        <f>+E40+E54</f>
        <v>0</v>
      </c>
    </row>
    <row r="56" spans="1:5" ht="20.100000000000001" customHeight="1" thickTop="1">
      <c r="A56" s="263"/>
      <c r="B56" s="326"/>
      <c r="C56" s="326"/>
      <c r="D56" s="326"/>
      <c r="E56" s="326"/>
    </row>
    <row r="57" spans="1:5" ht="20.100000000000001" customHeight="1">
      <c r="A57" s="268" t="s">
        <v>858</v>
      </c>
      <c r="B57" s="326"/>
      <c r="C57" s="326"/>
      <c r="D57" s="326"/>
      <c r="E57" s="326"/>
    </row>
    <row r="58" spans="1:5" ht="20.100000000000001" customHeight="1">
      <c r="A58" s="263" t="s">
        <v>859</v>
      </c>
      <c r="B58" s="288"/>
      <c r="C58" s="288"/>
      <c r="D58" s="288"/>
      <c r="E58" s="277">
        <f>+B58+C58+D58</f>
        <v>0</v>
      </c>
    </row>
    <row r="59" spans="1:5" ht="20.100000000000001" customHeight="1">
      <c r="A59" s="263" t="s">
        <v>860</v>
      </c>
      <c r="B59" s="288"/>
      <c r="C59" s="288"/>
      <c r="D59" s="288"/>
      <c r="E59" s="277">
        <f>+B59+C59+D59</f>
        <v>0</v>
      </c>
    </row>
    <row r="60" spans="1:5" ht="20.100000000000001" customHeight="1">
      <c r="A60" s="263" t="s">
        <v>861</v>
      </c>
      <c r="B60" s="288"/>
      <c r="C60" s="288"/>
      <c r="D60" s="288"/>
      <c r="E60" s="277">
        <f>+B60+C60+D60</f>
        <v>0</v>
      </c>
    </row>
    <row r="61" spans="1:5" ht="20.100000000000001" customHeight="1">
      <c r="A61" s="263" t="s">
        <v>862</v>
      </c>
      <c r="B61" s="288"/>
      <c r="C61" s="288"/>
      <c r="D61" s="288"/>
      <c r="E61" s="277">
        <f>+B61+C61+D61</f>
        <v>0</v>
      </c>
    </row>
    <row r="62" spans="1:5" ht="20.100000000000001" customHeight="1">
      <c r="A62" s="263" t="s">
        <v>863</v>
      </c>
      <c r="B62" s="288"/>
      <c r="C62" s="288"/>
      <c r="D62" s="288"/>
      <c r="E62" s="277">
        <f>+B62+C62+D62</f>
        <v>0</v>
      </c>
    </row>
    <row r="63" spans="1:5" ht="20.100000000000001" customHeight="1">
      <c r="A63" s="263"/>
      <c r="B63" s="263"/>
      <c r="C63" s="263"/>
      <c r="D63" s="263"/>
      <c r="E63" s="411"/>
    </row>
    <row r="64" spans="1:5" ht="20.100000000000001" customHeight="1">
      <c r="A64" s="274" t="s">
        <v>3138</v>
      </c>
      <c r="B64" s="282"/>
      <c r="C64" s="282"/>
      <c r="D64" s="282"/>
      <c r="E64" s="282"/>
    </row>
    <row r="65" spans="1:5" ht="20.100000000000001" customHeight="1">
      <c r="A65" s="263"/>
      <c r="B65" s="263"/>
      <c r="C65" s="263"/>
      <c r="D65" s="263"/>
      <c r="E65" s="263"/>
    </row>
    <row r="66" spans="1:5" ht="20.100000000000001" customHeight="1">
      <c r="A66" s="263"/>
      <c r="B66" s="263"/>
      <c r="C66" s="263"/>
      <c r="D66" s="263"/>
      <c r="E66" s="263"/>
    </row>
    <row r="67" spans="1:5" ht="20.100000000000001" customHeight="1">
      <c r="A67" s="263"/>
      <c r="B67" s="263"/>
      <c r="C67" s="263"/>
      <c r="D67" s="263"/>
      <c r="E67" s="263"/>
    </row>
    <row r="68" spans="1:5" ht="20.100000000000001" customHeight="1">
      <c r="A68" s="263"/>
      <c r="B68" s="263"/>
      <c r="C68" s="263"/>
      <c r="D68" s="263"/>
      <c r="E68" s="263"/>
    </row>
    <row r="69" spans="1:5" ht="15">
      <c r="A69" s="263"/>
      <c r="B69" s="263"/>
      <c r="C69" s="263"/>
      <c r="D69" s="263"/>
      <c r="E69" s="263"/>
    </row>
    <row r="70" spans="1:5" ht="15">
      <c r="A70" s="263"/>
      <c r="B70" s="263"/>
      <c r="C70" s="263"/>
      <c r="D70" s="263"/>
      <c r="E70" s="263"/>
    </row>
    <row r="71" spans="1:5" ht="15">
      <c r="A71" s="263"/>
      <c r="B71" s="263"/>
      <c r="C71" s="263"/>
      <c r="D71" s="263"/>
      <c r="E71" s="263"/>
    </row>
    <row r="72" spans="1:5" ht="15">
      <c r="A72" s="263"/>
      <c r="B72" s="263"/>
      <c r="C72" s="263"/>
      <c r="D72" s="263"/>
      <c r="E72" s="263"/>
    </row>
    <row r="73" spans="1:5" ht="15">
      <c r="A73" s="263"/>
      <c r="B73" s="263"/>
      <c r="C73" s="263"/>
      <c r="D73" s="263"/>
      <c r="E73" s="263"/>
    </row>
  </sheetData>
  <sheetProtection password="D95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J68"/>
  <sheetViews>
    <sheetView topLeftCell="A27" zoomScaleNormal="100" workbookViewId="0">
      <selection activeCell="A55" sqref="A55"/>
    </sheetView>
  </sheetViews>
  <sheetFormatPr defaultRowHeight="12.75"/>
  <cols>
    <col min="1" max="1" width="50.7109375" customWidth="1"/>
    <col min="2" max="4" width="20.7109375" customWidth="1"/>
    <col min="5" max="8" width="5.7109375" customWidth="1"/>
  </cols>
  <sheetData>
    <row r="1" spans="1:10" ht="18">
      <c r="A1" s="1462" t="str">
        <f>+'GW-STATEMENT NET POSITION(13)'!A1</f>
        <v>TOWN OF BROADUS</v>
      </c>
      <c r="B1" s="1434"/>
      <c r="C1" s="1434"/>
      <c r="D1" s="1434"/>
      <c r="E1" s="2"/>
      <c r="F1" s="2"/>
      <c r="G1" s="2"/>
      <c r="H1" s="2"/>
      <c r="I1" s="2"/>
      <c r="J1" s="2"/>
    </row>
    <row r="2" spans="1:10" ht="18">
      <c r="A2" s="1462" t="s">
        <v>1365</v>
      </c>
      <c r="B2" s="1434"/>
      <c r="C2" s="1434"/>
      <c r="D2" s="1434"/>
      <c r="E2" s="2"/>
      <c r="F2" s="2"/>
      <c r="G2" s="2"/>
      <c r="H2" s="2"/>
      <c r="I2" s="2"/>
      <c r="J2" s="2"/>
    </row>
    <row r="3" spans="1:10" ht="18">
      <c r="A3" s="1462" t="s">
        <v>1364</v>
      </c>
      <c r="B3" s="1434"/>
      <c r="C3" s="1434"/>
      <c r="D3" s="1434"/>
      <c r="E3" s="2"/>
      <c r="F3" s="2"/>
      <c r="G3" s="2"/>
      <c r="H3" s="2"/>
      <c r="I3" s="2"/>
      <c r="J3" s="2"/>
    </row>
    <row r="4" spans="1:10" ht="18">
      <c r="A4" s="1462" t="str">
        <f>+'GW-STATEMENT OF ACTIVITIES(14)'!B3</f>
        <v>FISCAL YEAR ENDING JUNE 30, 2017</v>
      </c>
      <c r="B4" s="1434"/>
      <c r="C4" s="1434"/>
      <c r="D4" s="1434"/>
      <c r="E4" s="2"/>
      <c r="F4" s="2"/>
      <c r="G4" s="2"/>
      <c r="H4" s="2"/>
      <c r="I4" s="2"/>
      <c r="J4" s="2"/>
    </row>
    <row r="5" spans="1:10">
      <c r="A5" s="2"/>
      <c r="B5" s="2"/>
      <c r="C5" s="2"/>
      <c r="D5" s="13"/>
      <c r="E5" s="2"/>
      <c r="F5" s="2"/>
      <c r="G5" s="2"/>
    </row>
    <row r="6" spans="1:10" ht="13.5" thickBot="1">
      <c r="D6" s="109"/>
    </row>
    <row r="7" spans="1:10">
      <c r="B7" s="110"/>
      <c r="C7" s="28"/>
      <c r="D7" s="112"/>
    </row>
    <row r="8" spans="1:10">
      <c r="B8" s="98" t="s">
        <v>1034</v>
      </c>
      <c r="C8" s="109" t="s">
        <v>1358</v>
      </c>
      <c r="D8" s="113"/>
    </row>
    <row r="9" spans="1:10" ht="13.5" thickBot="1">
      <c r="B9" s="111" t="s">
        <v>1357</v>
      </c>
      <c r="C9" s="75" t="s">
        <v>1359</v>
      </c>
      <c r="D9" s="114" t="s">
        <v>1360</v>
      </c>
    </row>
    <row r="10" spans="1:10">
      <c r="B10" s="55"/>
      <c r="C10" s="29"/>
      <c r="D10" s="24"/>
    </row>
    <row r="11" spans="1:10" ht="15.75">
      <c r="A11" s="108" t="s">
        <v>1356</v>
      </c>
      <c r="B11" s="192"/>
      <c r="C11" s="32"/>
      <c r="D11" s="59"/>
    </row>
    <row r="12" spans="1:10">
      <c r="A12" s="32"/>
      <c r="B12" s="192"/>
      <c r="C12" s="115"/>
      <c r="D12" s="138"/>
    </row>
    <row r="13" spans="1:10">
      <c r="A13" s="32"/>
      <c r="B13" s="192"/>
      <c r="C13" s="115"/>
      <c r="D13" s="138"/>
    </row>
    <row r="14" spans="1:10">
      <c r="A14" s="32"/>
      <c r="B14" s="192"/>
      <c r="C14" s="115"/>
      <c r="D14" s="138"/>
    </row>
    <row r="15" spans="1:10">
      <c r="A15" s="32"/>
      <c r="B15" s="192"/>
      <c r="C15" s="115"/>
      <c r="D15" s="138"/>
    </row>
    <row r="16" spans="1:10">
      <c r="A16" s="32"/>
      <c r="B16" s="192"/>
      <c r="C16" s="115"/>
      <c r="D16" s="138"/>
    </row>
    <row r="17" spans="1:4">
      <c r="A17" s="32"/>
      <c r="B17" s="192"/>
      <c r="C17" s="115"/>
      <c r="D17" s="138"/>
    </row>
    <row r="18" spans="1:4">
      <c r="A18" s="32"/>
      <c r="B18" s="192"/>
      <c r="C18" s="115"/>
      <c r="D18" s="138"/>
    </row>
    <row r="19" spans="1:4">
      <c r="A19" s="32"/>
      <c r="B19" s="192"/>
      <c r="C19" s="115"/>
      <c r="D19" s="138"/>
    </row>
    <row r="20" spans="1:4">
      <c r="A20" s="32"/>
      <c r="B20" s="192"/>
      <c r="C20" s="115"/>
      <c r="D20" s="138"/>
    </row>
    <row r="21" spans="1:4" ht="13.5" thickBot="1">
      <c r="A21" s="32"/>
      <c r="B21" s="193"/>
      <c r="C21" s="132"/>
      <c r="D21" s="139"/>
    </row>
    <row r="22" spans="1:4">
      <c r="A22" s="129" t="s">
        <v>1093</v>
      </c>
      <c r="B22" s="192"/>
      <c r="C22" s="115"/>
      <c r="D22" s="138">
        <f>SUM(D12:D21)</f>
        <v>0</v>
      </c>
    </row>
    <row r="23" spans="1:4">
      <c r="A23" s="32"/>
      <c r="B23" s="192"/>
      <c r="C23" s="115"/>
      <c r="D23" s="138"/>
    </row>
    <row r="24" spans="1:4" ht="15.75">
      <c r="A24" s="108" t="s">
        <v>1361</v>
      </c>
      <c r="B24" s="671"/>
      <c r="C24" s="672"/>
      <c r="D24" s="673"/>
    </row>
    <row r="25" spans="1:4">
      <c r="A25" s="32"/>
      <c r="B25" s="192"/>
      <c r="C25" s="115"/>
      <c r="D25" s="138"/>
    </row>
    <row r="26" spans="1:4">
      <c r="A26" s="32"/>
      <c r="B26" s="192"/>
      <c r="C26" s="115"/>
      <c r="D26" s="138"/>
    </row>
    <row r="27" spans="1:4">
      <c r="A27" s="32"/>
      <c r="B27" s="192"/>
      <c r="C27" s="115"/>
      <c r="D27" s="138"/>
    </row>
    <row r="28" spans="1:4">
      <c r="A28" s="32"/>
      <c r="B28" s="192"/>
      <c r="C28" s="115"/>
      <c r="D28" s="138"/>
    </row>
    <row r="29" spans="1:4">
      <c r="A29" s="32"/>
      <c r="B29" s="192"/>
      <c r="C29" s="115"/>
      <c r="D29" s="138"/>
    </row>
    <row r="30" spans="1:4">
      <c r="A30" s="32"/>
      <c r="B30" s="192"/>
      <c r="C30" s="115"/>
      <c r="D30" s="138"/>
    </row>
    <row r="31" spans="1:4">
      <c r="A31" s="32"/>
      <c r="B31" s="192"/>
      <c r="C31" s="115"/>
      <c r="D31" s="138"/>
    </row>
    <row r="32" spans="1:4">
      <c r="A32" s="32"/>
      <c r="B32" s="192"/>
      <c r="C32" s="115"/>
      <c r="D32" s="138"/>
    </row>
    <row r="33" spans="1:4">
      <c r="A33" s="32"/>
      <c r="B33" s="192"/>
      <c r="C33" s="115"/>
      <c r="D33" s="138"/>
    </row>
    <row r="34" spans="1:4" ht="13.5" thickBot="1">
      <c r="A34" s="32"/>
      <c r="B34" s="193"/>
      <c r="C34" s="132"/>
      <c r="D34" s="139"/>
    </row>
    <row r="35" spans="1:4">
      <c r="A35" s="129" t="s">
        <v>897</v>
      </c>
      <c r="B35" s="192"/>
      <c r="C35" s="115"/>
      <c r="D35" s="138">
        <f>SUM(D25:D34)</f>
        <v>0</v>
      </c>
    </row>
    <row r="36" spans="1:4">
      <c r="B36" s="194"/>
      <c r="C36" s="49"/>
      <c r="D36" s="140"/>
    </row>
    <row r="37" spans="1:4" ht="15.75">
      <c r="A37" s="108" t="s">
        <v>1362</v>
      </c>
      <c r="B37" s="192"/>
      <c r="C37" s="32"/>
      <c r="D37" s="138"/>
    </row>
    <row r="38" spans="1:4">
      <c r="A38" s="32" t="s">
        <v>3734</v>
      </c>
      <c r="B38" s="192">
        <v>335230</v>
      </c>
      <c r="C38" s="115">
        <v>1000</v>
      </c>
      <c r="D38" s="138">
        <v>64222.6</v>
      </c>
    </row>
    <row r="39" spans="1:4">
      <c r="A39" s="32" t="s">
        <v>3734</v>
      </c>
      <c r="B39" s="192">
        <v>335230</v>
      </c>
      <c r="C39" s="115">
        <v>2190</v>
      </c>
      <c r="D39" s="138">
        <v>6556.86</v>
      </c>
    </row>
    <row r="40" spans="1:4">
      <c r="A40" s="32" t="s">
        <v>3734</v>
      </c>
      <c r="B40" s="192">
        <v>335230</v>
      </c>
      <c r="C40" s="115">
        <v>2370</v>
      </c>
      <c r="D40" s="138">
        <v>5238.78</v>
      </c>
    </row>
    <row r="41" spans="1:4">
      <c r="A41" s="32" t="s">
        <v>3735</v>
      </c>
      <c r="B41" s="192">
        <v>334121</v>
      </c>
      <c r="C41" s="115">
        <v>1000</v>
      </c>
      <c r="D41" s="138">
        <v>750</v>
      </c>
    </row>
    <row r="42" spans="1:4">
      <c r="A42" s="32" t="s">
        <v>3737</v>
      </c>
      <c r="B42" s="192">
        <v>334060</v>
      </c>
      <c r="C42" s="115">
        <v>5310</v>
      </c>
      <c r="D42" s="138">
        <v>11013</v>
      </c>
    </row>
    <row r="43" spans="1:4">
      <c r="A43" s="32"/>
      <c r="B43" s="192"/>
      <c r="C43" s="115"/>
      <c r="D43" s="138"/>
    </row>
    <row r="44" spans="1:4" ht="13.5" thickBot="1">
      <c r="A44" s="32"/>
      <c r="B44" s="193"/>
      <c r="C44" s="132"/>
      <c r="D44" s="139"/>
    </row>
    <row r="45" spans="1:4">
      <c r="A45" s="129" t="s">
        <v>898</v>
      </c>
      <c r="B45" s="192"/>
      <c r="C45" s="115"/>
      <c r="D45" s="138">
        <f>SUM(D38:D44)</f>
        <v>87781.239999999991</v>
      </c>
    </row>
    <row r="46" spans="1:4">
      <c r="A46" s="32"/>
      <c r="B46" s="192"/>
      <c r="C46" s="115"/>
      <c r="D46" s="138"/>
    </row>
    <row r="47" spans="1:4" ht="15.75">
      <c r="A47" s="108" t="s">
        <v>1363</v>
      </c>
      <c r="B47" s="195"/>
      <c r="C47" s="43"/>
      <c r="D47" s="141"/>
    </row>
    <row r="48" spans="1:4">
      <c r="A48" s="32" t="s">
        <v>3736</v>
      </c>
      <c r="B48" s="192">
        <v>335065</v>
      </c>
      <c r="C48" s="32">
        <v>1000</v>
      </c>
      <c r="D48" s="138">
        <v>37255.42</v>
      </c>
    </row>
    <row r="49" spans="1:4">
      <c r="A49" s="32" t="s">
        <v>3738</v>
      </c>
      <c r="B49" s="192">
        <v>335040</v>
      </c>
      <c r="C49" s="32">
        <v>2820</v>
      </c>
      <c r="D49" s="138">
        <v>15265.79</v>
      </c>
    </row>
    <row r="50" spans="1:4">
      <c r="A50" s="32" t="s">
        <v>3739</v>
      </c>
      <c r="B50" s="192">
        <v>336020</v>
      </c>
      <c r="C50" s="32">
        <v>5210</v>
      </c>
      <c r="D50" s="138">
        <v>1309.6600000000001</v>
      </c>
    </row>
    <row r="51" spans="1:4">
      <c r="A51" s="32" t="s">
        <v>3739</v>
      </c>
      <c r="B51" s="192">
        <v>336020</v>
      </c>
      <c r="C51" s="32">
        <v>5310</v>
      </c>
      <c r="D51" s="138">
        <v>26.6</v>
      </c>
    </row>
    <row r="52" spans="1:4">
      <c r="A52" s="32" t="s">
        <v>3739</v>
      </c>
      <c r="B52" s="192">
        <v>336020</v>
      </c>
      <c r="C52" s="32">
        <v>5410</v>
      </c>
      <c r="D52" s="138">
        <v>660.84</v>
      </c>
    </row>
    <row r="53" spans="1:4">
      <c r="A53" s="32" t="s">
        <v>3740</v>
      </c>
      <c r="B53" s="192">
        <v>335110</v>
      </c>
      <c r="C53" s="32">
        <v>1000</v>
      </c>
      <c r="D53" s="138">
        <v>150</v>
      </c>
    </row>
    <row r="54" spans="1:4">
      <c r="A54" s="32" t="s">
        <v>3741</v>
      </c>
      <c r="B54" s="192">
        <v>335120</v>
      </c>
      <c r="C54" s="32">
        <v>1000</v>
      </c>
      <c r="D54" s="138">
        <v>3600</v>
      </c>
    </row>
    <row r="55" spans="1:4">
      <c r="A55" s="32"/>
      <c r="B55" s="192"/>
      <c r="C55" s="32"/>
      <c r="D55" s="138"/>
    </row>
    <row r="56" spans="1:4">
      <c r="A56" s="32"/>
      <c r="B56" s="192"/>
      <c r="C56" s="32"/>
      <c r="D56" s="138"/>
    </row>
    <row r="57" spans="1:4" ht="13.5" thickBot="1">
      <c r="A57" s="32"/>
      <c r="B57" s="193"/>
      <c r="C57" s="41"/>
      <c r="D57" s="139"/>
    </row>
    <row r="58" spans="1:4" ht="13.5" thickBot="1">
      <c r="A58" s="129" t="s">
        <v>899</v>
      </c>
      <c r="B58" s="196"/>
      <c r="C58" s="133"/>
      <c r="D58" s="142">
        <f>SUM(D48:D57)</f>
        <v>58268.31</v>
      </c>
    </row>
    <row r="59" spans="1:4">
      <c r="A59" s="109"/>
      <c r="B59" s="194"/>
      <c r="C59" s="29"/>
      <c r="D59" s="140"/>
    </row>
    <row r="60" spans="1:4" ht="15.75">
      <c r="A60" s="778" t="s">
        <v>2611</v>
      </c>
      <c r="B60" s="194"/>
      <c r="C60" s="29"/>
      <c r="D60" s="140"/>
    </row>
    <row r="61" spans="1:4">
      <c r="A61" s="129"/>
      <c r="B61" s="192"/>
      <c r="C61" s="32"/>
      <c r="D61" s="138"/>
    </row>
    <row r="62" spans="1:4" ht="13.5" thickBot="1">
      <c r="A62" s="779"/>
      <c r="B62" s="37"/>
      <c r="C62" s="1"/>
      <c r="D62" s="146">
        <f>SUM(D60:D61)</f>
        <v>0</v>
      </c>
    </row>
    <row r="63" spans="1:4">
      <c r="A63" s="29"/>
      <c r="B63" s="55"/>
      <c r="C63" s="29"/>
      <c r="D63" s="140"/>
    </row>
    <row r="64" spans="1:4" ht="16.5" thickBot="1">
      <c r="A64" s="9" t="s">
        <v>1030</v>
      </c>
      <c r="B64" s="57"/>
      <c r="C64" s="32"/>
      <c r="D64" s="143">
        <f>+D22+D35+D45+D58+D62</f>
        <v>146049.54999999999</v>
      </c>
    </row>
    <row r="65" spans="1:4" ht="13.5" hidden="1" thickTop="1">
      <c r="B65" s="55"/>
      <c r="D65" s="130"/>
    </row>
    <row r="66" spans="1:4" ht="13.5" hidden="1" thickBot="1">
      <c r="B66" s="37"/>
      <c r="C66" s="1"/>
      <c r="D66" s="131"/>
    </row>
    <row r="67" spans="1:4" ht="13.5" thickTop="1"/>
    <row r="68" spans="1:4" ht="15.75">
      <c r="A68" s="123" t="s">
        <v>3139</v>
      </c>
      <c r="B68" s="2"/>
      <c r="C68" s="2"/>
      <c r="D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D1"/>
    <mergeCell ref="A2:D2"/>
    <mergeCell ref="A3:D3"/>
    <mergeCell ref="A4:D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1">
    <tabColor theme="8" tint="0.39997558519241921"/>
  </sheetPr>
  <dimension ref="A1:H158"/>
  <sheetViews>
    <sheetView zoomScaleNormal="100" workbookViewId="0">
      <pane xSplit="2" ySplit="5" topLeftCell="C123" activePane="bottomRight" state="frozen"/>
      <selection pane="topRight" activeCell="C1" sqref="C1"/>
      <selection pane="bottomLeft" activeCell="A6" sqref="A6"/>
      <selection pane="bottomRight" activeCell="G133" sqref="G133"/>
    </sheetView>
  </sheetViews>
  <sheetFormatPr defaultRowHeight="12.75"/>
  <cols>
    <col min="1" max="1" width="9.7109375" customWidth="1"/>
    <col min="2" max="2" width="40.7109375" customWidth="1"/>
    <col min="3" max="8" width="14.7109375" customWidth="1"/>
    <col min="9" max="9" width="12.7109375" customWidth="1"/>
  </cols>
  <sheetData>
    <row r="1" spans="1:8" ht="18">
      <c r="A1" s="76" t="s">
        <v>1110</v>
      </c>
      <c r="B1" s="77"/>
      <c r="C1" s="77"/>
      <c r="D1" s="77"/>
      <c r="E1" s="77"/>
      <c r="F1" s="77"/>
      <c r="G1" s="77"/>
      <c r="H1" s="78"/>
    </row>
    <row r="2" spans="1:8" ht="18">
      <c r="A2" s="79" t="s">
        <v>1111</v>
      </c>
      <c r="B2" s="12"/>
      <c r="C2" s="12"/>
      <c r="D2" s="12"/>
      <c r="E2" s="12"/>
      <c r="F2" s="12"/>
      <c r="G2" s="12"/>
      <c r="H2" s="80"/>
    </row>
    <row r="3" spans="1:8" ht="18">
      <c r="A3" s="79" t="str">
        <f>+'FED.-ST. INTERGOVERNMENTAL(85)'!A4:D4</f>
        <v>FISCAL YEAR ENDING JUNE 30, 2017</v>
      </c>
      <c r="B3" s="12"/>
      <c r="C3" s="12"/>
      <c r="D3" s="12"/>
      <c r="E3" s="12"/>
      <c r="F3" s="12"/>
      <c r="G3" s="12"/>
      <c r="H3" s="80"/>
    </row>
    <row r="4" spans="1:8">
      <c r="A4" s="55"/>
      <c r="B4" s="29"/>
      <c r="C4" s="29"/>
      <c r="D4" s="29"/>
      <c r="E4" s="29"/>
      <c r="F4" s="29"/>
      <c r="G4" s="29"/>
      <c r="H4" s="24"/>
    </row>
    <row r="5" spans="1:8" ht="26.25" thickBot="1">
      <c r="A5" s="81" t="s">
        <v>1112</v>
      </c>
      <c r="B5" s="75" t="s">
        <v>179</v>
      </c>
      <c r="C5" s="74" t="s">
        <v>3525</v>
      </c>
      <c r="D5" s="75" t="s">
        <v>89</v>
      </c>
      <c r="E5" s="75" t="s">
        <v>90</v>
      </c>
      <c r="F5" s="75" t="s">
        <v>91</v>
      </c>
      <c r="G5" s="74" t="s">
        <v>92</v>
      </c>
      <c r="H5" s="82" t="s">
        <v>3526</v>
      </c>
    </row>
    <row r="6" spans="1:8" ht="18" customHeight="1">
      <c r="A6" s="84">
        <v>1000</v>
      </c>
      <c r="B6" s="87" t="s">
        <v>93</v>
      </c>
      <c r="C6" s="540">
        <v>201033.04</v>
      </c>
      <c r="D6" s="540">
        <v>176374.21</v>
      </c>
      <c r="E6" s="540">
        <v>16045.66</v>
      </c>
      <c r="F6" s="540">
        <v>41863.410000000003</v>
      </c>
      <c r="G6" s="541">
        <v>215190.99</v>
      </c>
      <c r="H6" s="140">
        <f>+C6+D6+E6-F6-G6</f>
        <v>136398.51</v>
      </c>
    </row>
    <row r="7" spans="1:8" ht="18" customHeight="1">
      <c r="A7" s="85">
        <v>2000</v>
      </c>
      <c r="B7" s="88" t="s">
        <v>94</v>
      </c>
      <c r="C7" s="536"/>
      <c r="D7" s="536"/>
      <c r="E7" s="536"/>
      <c r="F7" s="536"/>
      <c r="G7" s="537"/>
      <c r="H7" s="140"/>
    </row>
    <row r="8" spans="1:8" ht="18" customHeight="1">
      <c r="A8" s="85">
        <v>2100</v>
      </c>
      <c r="B8" s="26" t="s">
        <v>95</v>
      </c>
      <c r="C8" s="536"/>
      <c r="D8" s="536"/>
      <c r="E8" s="536"/>
      <c r="F8" s="536"/>
      <c r="G8" s="537"/>
      <c r="H8" s="140">
        <f t="shared" ref="H8:H59" si="0">+C8+D8+E8-F8-G8</f>
        <v>0</v>
      </c>
    </row>
    <row r="9" spans="1:8" ht="18" customHeight="1">
      <c r="A9" s="85">
        <v>2110</v>
      </c>
      <c r="B9" s="26" t="s">
        <v>96</v>
      </c>
      <c r="C9" s="536"/>
      <c r="D9" s="536"/>
      <c r="E9" s="536"/>
      <c r="F9" s="536"/>
      <c r="G9" s="537"/>
      <c r="H9" s="140">
        <f t="shared" si="0"/>
        <v>0</v>
      </c>
    </row>
    <row r="10" spans="1:8" ht="18" customHeight="1">
      <c r="A10" s="85">
        <v>2120</v>
      </c>
      <c r="B10" s="26" t="s">
        <v>97</v>
      </c>
      <c r="C10" s="536"/>
      <c r="D10" s="536"/>
      <c r="E10" s="536"/>
      <c r="F10" s="536"/>
      <c r="G10" s="537"/>
      <c r="H10" s="140">
        <f t="shared" si="0"/>
        <v>0</v>
      </c>
    </row>
    <row r="11" spans="1:8" ht="18" customHeight="1">
      <c r="A11" s="85">
        <v>2130</v>
      </c>
      <c r="B11" s="26" t="s">
        <v>98</v>
      </c>
      <c r="C11" s="536"/>
      <c r="D11" s="536"/>
      <c r="E11" s="536"/>
      <c r="F11" s="536"/>
      <c r="G11" s="537"/>
      <c r="H11" s="140">
        <f t="shared" si="0"/>
        <v>0</v>
      </c>
    </row>
    <row r="12" spans="1:8" ht="18" customHeight="1">
      <c r="A12" s="85">
        <v>2140</v>
      </c>
      <c r="B12" s="26" t="s">
        <v>234</v>
      </c>
      <c r="C12" s="536"/>
      <c r="D12" s="536"/>
      <c r="E12" s="536"/>
      <c r="F12" s="536"/>
      <c r="G12" s="537"/>
      <c r="H12" s="140">
        <f t="shared" si="0"/>
        <v>0</v>
      </c>
    </row>
    <row r="13" spans="1:8" ht="18" customHeight="1">
      <c r="A13" s="85">
        <v>2150</v>
      </c>
      <c r="B13" s="26" t="s">
        <v>1126</v>
      </c>
      <c r="C13" s="536"/>
      <c r="D13" s="536"/>
      <c r="E13" s="536"/>
      <c r="F13" s="536"/>
      <c r="G13" s="537"/>
      <c r="H13" s="140">
        <f t="shared" si="0"/>
        <v>0</v>
      </c>
    </row>
    <row r="14" spans="1:8" ht="18" customHeight="1">
      <c r="A14" s="85">
        <v>2160</v>
      </c>
      <c r="B14" s="26" t="s">
        <v>1127</v>
      </c>
      <c r="C14" s="536"/>
      <c r="D14" s="536"/>
      <c r="E14" s="536"/>
      <c r="F14" s="536"/>
      <c r="G14" s="537"/>
      <c r="H14" s="140">
        <f t="shared" si="0"/>
        <v>0</v>
      </c>
    </row>
    <row r="15" spans="1:8" ht="18" customHeight="1">
      <c r="A15" s="85">
        <v>2170</v>
      </c>
      <c r="B15" s="26" t="s">
        <v>1128</v>
      </c>
      <c r="C15" s="536"/>
      <c r="D15" s="536"/>
      <c r="E15" s="536"/>
      <c r="F15" s="536"/>
      <c r="G15" s="537"/>
      <c r="H15" s="140">
        <f t="shared" si="0"/>
        <v>0</v>
      </c>
    </row>
    <row r="16" spans="1:8" ht="18" customHeight="1">
      <c r="A16" s="85">
        <v>2180</v>
      </c>
      <c r="B16" s="26" t="s">
        <v>1129</v>
      </c>
      <c r="C16" s="536"/>
      <c r="D16" s="536"/>
      <c r="E16" s="536"/>
      <c r="F16" s="536"/>
      <c r="G16" s="537"/>
      <c r="H16" s="140">
        <f t="shared" si="0"/>
        <v>0</v>
      </c>
    </row>
    <row r="17" spans="1:8" ht="18" customHeight="1">
      <c r="A17" s="85">
        <v>2190</v>
      </c>
      <c r="B17" s="26" t="s">
        <v>1130</v>
      </c>
      <c r="C17" s="536">
        <v>5287.24</v>
      </c>
      <c r="D17" s="536">
        <v>15037.51</v>
      </c>
      <c r="E17" s="536">
        <v>0</v>
      </c>
      <c r="F17" s="536">
        <v>0</v>
      </c>
      <c r="G17" s="537">
        <v>17908.13</v>
      </c>
      <c r="H17" s="140">
        <f t="shared" si="0"/>
        <v>2416.619999999999</v>
      </c>
    </row>
    <row r="18" spans="1:8" ht="18" customHeight="1">
      <c r="A18" s="85">
        <v>2191</v>
      </c>
      <c r="B18" s="26" t="s">
        <v>1131</v>
      </c>
      <c r="C18" s="536"/>
      <c r="D18" s="536"/>
      <c r="E18" s="536"/>
      <c r="F18" s="536"/>
      <c r="G18" s="537"/>
      <c r="H18" s="140">
        <f t="shared" si="0"/>
        <v>0</v>
      </c>
    </row>
    <row r="19" spans="1:8" ht="18" customHeight="1">
      <c r="A19" s="85">
        <v>2200</v>
      </c>
      <c r="B19" s="26" t="s">
        <v>1132</v>
      </c>
      <c r="C19" s="536"/>
      <c r="D19" s="536"/>
      <c r="E19" s="536"/>
      <c r="F19" s="536"/>
      <c r="G19" s="537"/>
      <c r="H19" s="140">
        <f t="shared" si="0"/>
        <v>0</v>
      </c>
    </row>
    <row r="20" spans="1:8" ht="18" customHeight="1">
      <c r="A20" s="85">
        <v>2210</v>
      </c>
      <c r="B20" s="26" t="s">
        <v>1133</v>
      </c>
      <c r="C20" s="536"/>
      <c r="D20" s="536"/>
      <c r="E20" s="536"/>
      <c r="F20" s="536"/>
      <c r="G20" s="537"/>
      <c r="H20" s="140">
        <f t="shared" si="0"/>
        <v>0</v>
      </c>
    </row>
    <row r="21" spans="1:8" ht="18" customHeight="1">
      <c r="A21" s="85">
        <v>2220</v>
      </c>
      <c r="B21" s="26" t="s">
        <v>1134</v>
      </c>
      <c r="C21" s="536"/>
      <c r="D21" s="536"/>
      <c r="E21" s="536"/>
      <c r="F21" s="536"/>
      <c r="G21" s="537"/>
      <c r="H21" s="140">
        <f t="shared" si="0"/>
        <v>0</v>
      </c>
    </row>
    <row r="22" spans="1:8" ht="18" customHeight="1">
      <c r="A22" s="85">
        <v>2230</v>
      </c>
      <c r="B22" s="26" t="s">
        <v>1135</v>
      </c>
      <c r="C22" s="536"/>
      <c r="D22" s="536"/>
      <c r="E22" s="536"/>
      <c r="F22" s="536"/>
      <c r="G22" s="537"/>
      <c r="H22" s="140">
        <f t="shared" si="0"/>
        <v>0</v>
      </c>
    </row>
    <row r="23" spans="1:8" ht="18" customHeight="1">
      <c r="A23" s="85">
        <v>2240</v>
      </c>
      <c r="B23" s="26" t="s">
        <v>1136</v>
      </c>
      <c r="C23" s="536"/>
      <c r="D23" s="536"/>
      <c r="E23" s="536"/>
      <c r="F23" s="536"/>
      <c r="G23" s="537"/>
      <c r="H23" s="140">
        <f t="shared" si="0"/>
        <v>0</v>
      </c>
    </row>
    <row r="24" spans="1:8" ht="18" customHeight="1">
      <c r="A24" s="85">
        <v>2250</v>
      </c>
      <c r="B24" s="26" t="s">
        <v>1137</v>
      </c>
      <c r="C24" s="536"/>
      <c r="D24" s="536"/>
      <c r="E24" s="536"/>
      <c r="F24" s="536"/>
      <c r="G24" s="537"/>
      <c r="H24" s="140">
        <f t="shared" si="0"/>
        <v>0</v>
      </c>
    </row>
    <row r="25" spans="1:8" ht="18" customHeight="1">
      <c r="A25" s="85">
        <v>2251</v>
      </c>
      <c r="B25" s="26" t="s">
        <v>387</v>
      </c>
      <c r="C25" s="536"/>
      <c r="D25" s="536"/>
      <c r="E25" s="536"/>
      <c r="F25" s="536"/>
      <c r="G25" s="537"/>
      <c r="H25" s="140">
        <f t="shared" si="0"/>
        <v>0</v>
      </c>
    </row>
    <row r="26" spans="1:8" ht="18" customHeight="1">
      <c r="A26" s="85">
        <v>2260</v>
      </c>
      <c r="B26" s="26" t="s">
        <v>388</v>
      </c>
      <c r="C26" s="536"/>
      <c r="D26" s="536"/>
      <c r="E26" s="536"/>
      <c r="F26" s="536"/>
      <c r="G26" s="537"/>
      <c r="H26" s="140">
        <f t="shared" si="0"/>
        <v>0</v>
      </c>
    </row>
    <row r="27" spans="1:8" ht="18" customHeight="1">
      <c r="A27" s="85">
        <v>2270</v>
      </c>
      <c r="B27" s="26" t="s">
        <v>84</v>
      </c>
      <c r="C27" s="536"/>
      <c r="D27" s="536"/>
      <c r="E27" s="536"/>
      <c r="F27" s="536"/>
      <c r="G27" s="537"/>
      <c r="H27" s="140">
        <f t="shared" si="0"/>
        <v>0</v>
      </c>
    </row>
    <row r="28" spans="1:8" ht="18" customHeight="1">
      <c r="A28" s="85">
        <v>2271</v>
      </c>
      <c r="B28" s="26" t="s">
        <v>389</v>
      </c>
      <c r="C28" s="536"/>
      <c r="D28" s="536"/>
      <c r="E28" s="536"/>
      <c r="F28" s="536"/>
      <c r="G28" s="537"/>
      <c r="H28" s="140">
        <f t="shared" si="0"/>
        <v>0</v>
      </c>
    </row>
    <row r="29" spans="1:8" ht="18" customHeight="1">
      <c r="A29" s="85">
        <v>2280</v>
      </c>
      <c r="B29" s="26" t="s">
        <v>390</v>
      </c>
      <c r="C29" s="536"/>
      <c r="D29" s="536"/>
      <c r="E29" s="536"/>
      <c r="F29" s="536"/>
      <c r="G29" s="537"/>
      <c r="H29" s="140">
        <f t="shared" si="0"/>
        <v>0</v>
      </c>
    </row>
    <row r="30" spans="1:8" ht="18" customHeight="1">
      <c r="A30" s="85">
        <v>2281</v>
      </c>
      <c r="B30" s="26" t="s">
        <v>391</v>
      </c>
      <c r="C30" s="536"/>
      <c r="D30" s="536"/>
      <c r="E30" s="536"/>
      <c r="F30" s="536"/>
      <c r="G30" s="537"/>
      <c r="H30" s="140">
        <f t="shared" si="0"/>
        <v>0</v>
      </c>
    </row>
    <row r="31" spans="1:8" ht="18" customHeight="1">
      <c r="A31" s="85">
        <v>2290</v>
      </c>
      <c r="B31" s="26" t="s">
        <v>392</v>
      </c>
      <c r="C31" s="536"/>
      <c r="D31" s="536"/>
      <c r="E31" s="536"/>
      <c r="F31" s="536"/>
      <c r="G31" s="537"/>
      <c r="H31" s="140">
        <f t="shared" si="0"/>
        <v>0</v>
      </c>
    </row>
    <row r="32" spans="1:8" ht="18" customHeight="1">
      <c r="A32" s="85">
        <v>2300</v>
      </c>
      <c r="B32" s="26" t="s">
        <v>393</v>
      </c>
      <c r="C32" s="536"/>
      <c r="D32" s="536"/>
      <c r="E32" s="536"/>
      <c r="F32" s="536"/>
      <c r="G32" s="537"/>
      <c r="H32" s="140">
        <f t="shared" si="0"/>
        <v>0</v>
      </c>
    </row>
    <row r="33" spans="1:8" ht="18" customHeight="1">
      <c r="A33" s="85">
        <v>2320</v>
      </c>
      <c r="B33" s="26" t="s">
        <v>394</v>
      </c>
      <c r="C33" s="536"/>
      <c r="D33" s="536"/>
      <c r="E33" s="536"/>
      <c r="F33" s="536"/>
      <c r="G33" s="537"/>
      <c r="H33" s="140">
        <f t="shared" si="0"/>
        <v>0</v>
      </c>
    </row>
    <row r="34" spans="1:8" ht="18" customHeight="1">
      <c r="A34" s="85">
        <v>2330</v>
      </c>
      <c r="B34" s="26" t="s">
        <v>395</v>
      </c>
      <c r="C34" s="536"/>
      <c r="D34" s="536"/>
      <c r="E34" s="536"/>
      <c r="F34" s="536"/>
      <c r="G34" s="537"/>
      <c r="H34" s="140">
        <f t="shared" si="0"/>
        <v>0</v>
      </c>
    </row>
    <row r="35" spans="1:8" ht="18" customHeight="1">
      <c r="A35" s="85">
        <v>2340</v>
      </c>
      <c r="B35" s="26" t="s">
        <v>396</v>
      </c>
      <c r="C35" s="536"/>
      <c r="D35" s="536"/>
      <c r="E35" s="536"/>
      <c r="F35" s="536"/>
      <c r="G35" s="537"/>
      <c r="H35" s="140">
        <f t="shared" si="0"/>
        <v>0</v>
      </c>
    </row>
    <row r="36" spans="1:8" ht="18" customHeight="1">
      <c r="A36" s="85">
        <v>2360</v>
      </c>
      <c r="B36" s="26" t="s">
        <v>397</v>
      </c>
      <c r="C36" s="536"/>
      <c r="D36" s="536"/>
      <c r="E36" s="536"/>
      <c r="F36" s="536"/>
      <c r="G36" s="537"/>
      <c r="H36" s="140">
        <f t="shared" si="0"/>
        <v>0</v>
      </c>
    </row>
    <row r="37" spans="1:8" ht="18" customHeight="1">
      <c r="A37" s="85">
        <v>2370</v>
      </c>
      <c r="B37" s="26" t="s">
        <v>398</v>
      </c>
      <c r="C37" s="536">
        <v>482.83</v>
      </c>
      <c r="D37" s="536">
        <v>10561.43</v>
      </c>
      <c r="E37" s="536">
        <v>0</v>
      </c>
      <c r="F37" s="536">
        <v>7951.18</v>
      </c>
      <c r="G37" s="537">
        <v>0</v>
      </c>
      <c r="H37" s="140">
        <f t="shared" si="0"/>
        <v>3093.08</v>
      </c>
    </row>
    <row r="38" spans="1:8" ht="18" customHeight="1">
      <c r="A38" s="85">
        <v>2371</v>
      </c>
      <c r="B38" s="26" t="s">
        <v>399</v>
      </c>
      <c r="C38" s="536"/>
      <c r="D38" s="536"/>
      <c r="E38" s="536"/>
      <c r="F38" s="536"/>
      <c r="G38" s="537"/>
      <c r="H38" s="140">
        <f t="shared" si="0"/>
        <v>0</v>
      </c>
    </row>
    <row r="39" spans="1:8" ht="18" customHeight="1">
      <c r="A39" s="85">
        <v>2390</v>
      </c>
      <c r="B39" s="26" t="s">
        <v>400</v>
      </c>
      <c r="C39" s="536"/>
      <c r="D39" s="536"/>
      <c r="E39" s="536"/>
      <c r="F39" s="536"/>
      <c r="G39" s="537"/>
      <c r="H39" s="140">
        <f t="shared" si="0"/>
        <v>0</v>
      </c>
    </row>
    <row r="40" spans="1:8" ht="18" customHeight="1">
      <c r="A40" s="85">
        <v>2393</v>
      </c>
      <c r="B40" s="26" t="s">
        <v>401</v>
      </c>
      <c r="C40" s="536"/>
      <c r="D40" s="536"/>
      <c r="E40" s="536"/>
      <c r="F40" s="536"/>
      <c r="G40" s="537"/>
      <c r="H40" s="140">
        <f t="shared" si="0"/>
        <v>0</v>
      </c>
    </row>
    <row r="41" spans="1:8" ht="18" customHeight="1">
      <c r="A41" s="85">
        <v>2400</v>
      </c>
      <c r="B41" s="26" t="s">
        <v>805</v>
      </c>
      <c r="C41" s="536">
        <v>18822.240000000002</v>
      </c>
      <c r="D41" s="536">
        <v>15702.73</v>
      </c>
      <c r="E41" s="536">
        <v>0</v>
      </c>
      <c r="F41" s="536">
        <v>0</v>
      </c>
      <c r="G41" s="537">
        <v>13658.52</v>
      </c>
      <c r="H41" s="140">
        <f t="shared" si="0"/>
        <v>20866.45</v>
      </c>
    </row>
    <row r="42" spans="1:8" ht="18" customHeight="1">
      <c r="A42" s="85">
        <v>2500</v>
      </c>
      <c r="B42" s="26" t="s">
        <v>804</v>
      </c>
      <c r="C42" s="536">
        <v>50740.160000000003</v>
      </c>
      <c r="D42" s="536">
        <v>53666.7</v>
      </c>
      <c r="E42" s="536">
        <v>9444.59</v>
      </c>
      <c r="F42" s="536">
        <v>32691.17</v>
      </c>
      <c r="G42" s="537">
        <v>47237.47</v>
      </c>
      <c r="H42" s="140">
        <f t="shared" si="0"/>
        <v>33922.81</v>
      </c>
    </row>
    <row r="43" spans="1:8" ht="18" customHeight="1">
      <c r="A43" s="85">
        <v>2800</v>
      </c>
      <c r="B43" s="26" t="s">
        <v>402</v>
      </c>
      <c r="C43" s="536"/>
      <c r="D43" s="536"/>
      <c r="E43" s="536"/>
      <c r="F43" s="536"/>
      <c r="G43" s="537"/>
      <c r="H43" s="140">
        <f t="shared" si="0"/>
        <v>0</v>
      </c>
    </row>
    <row r="44" spans="1:8" ht="18" customHeight="1">
      <c r="A44" s="85">
        <v>2810</v>
      </c>
      <c r="B44" s="26" t="s">
        <v>403</v>
      </c>
      <c r="C44" s="536">
        <v>8710.4699999999993</v>
      </c>
      <c r="D44" s="536">
        <v>11.18</v>
      </c>
      <c r="E44" s="536">
        <v>0</v>
      </c>
      <c r="F44" s="536">
        <v>0</v>
      </c>
      <c r="G44" s="537">
        <v>2658.81</v>
      </c>
      <c r="H44" s="140">
        <f t="shared" si="0"/>
        <v>6062.84</v>
      </c>
    </row>
    <row r="45" spans="1:8" ht="18" customHeight="1">
      <c r="A45" s="85">
        <v>2820</v>
      </c>
      <c r="B45" s="26" t="s">
        <v>404</v>
      </c>
      <c r="C45" s="536">
        <v>5469.24</v>
      </c>
      <c r="D45" s="536">
        <v>15277.03</v>
      </c>
      <c r="E45" s="536">
        <v>0</v>
      </c>
      <c r="F45" s="536">
        <v>905.35</v>
      </c>
      <c r="G45" s="537">
        <v>14714.84</v>
      </c>
      <c r="H45" s="140">
        <f t="shared" si="0"/>
        <v>5126.0800000000017</v>
      </c>
    </row>
    <row r="46" spans="1:8" ht="18" customHeight="1">
      <c r="A46" s="85">
        <v>2840</v>
      </c>
      <c r="B46" s="26" t="s">
        <v>405</v>
      </c>
      <c r="C46" s="536"/>
      <c r="D46" s="536"/>
      <c r="E46" s="536"/>
      <c r="F46" s="536"/>
      <c r="G46" s="537"/>
      <c r="H46" s="140">
        <f t="shared" si="0"/>
        <v>0</v>
      </c>
    </row>
    <row r="47" spans="1:8" ht="18" customHeight="1">
      <c r="A47" s="85">
        <v>2850</v>
      </c>
      <c r="B47" s="26" t="s">
        <v>406</v>
      </c>
      <c r="C47" s="536"/>
      <c r="D47" s="536"/>
      <c r="E47" s="536"/>
      <c r="F47" s="536"/>
      <c r="G47" s="537"/>
      <c r="H47" s="140">
        <f t="shared" si="0"/>
        <v>0</v>
      </c>
    </row>
    <row r="48" spans="1:8" ht="18" customHeight="1">
      <c r="A48" s="85">
        <v>2860</v>
      </c>
      <c r="B48" s="26" t="s">
        <v>407</v>
      </c>
      <c r="C48" s="536"/>
      <c r="D48" s="536"/>
      <c r="E48" s="536"/>
      <c r="F48" s="536"/>
      <c r="G48" s="537"/>
      <c r="H48" s="140">
        <f t="shared" si="0"/>
        <v>0</v>
      </c>
    </row>
    <row r="49" spans="1:8" ht="18" customHeight="1">
      <c r="A49" s="85">
        <v>2890</v>
      </c>
      <c r="B49" s="26" t="s">
        <v>924</v>
      </c>
      <c r="C49" s="536"/>
      <c r="D49" s="536"/>
      <c r="E49" s="536"/>
      <c r="F49" s="536"/>
      <c r="G49" s="537"/>
      <c r="H49" s="140">
        <f t="shared" si="0"/>
        <v>0</v>
      </c>
    </row>
    <row r="50" spans="1:8" ht="18" customHeight="1">
      <c r="A50" s="85">
        <v>2894</v>
      </c>
      <c r="B50" s="26" t="s">
        <v>925</v>
      </c>
      <c r="C50" s="536"/>
      <c r="D50" s="536"/>
      <c r="E50" s="536"/>
      <c r="F50" s="536"/>
      <c r="G50" s="537"/>
      <c r="H50" s="140">
        <f t="shared" si="0"/>
        <v>0</v>
      </c>
    </row>
    <row r="51" spans="1:8" ht="18" customHeight="1">
      <c r="A51" s="85">
        <v>2900</v>
      </c>
      <c r="B51" s="26" t="s">
        <v>408</v>
      </c>
      <c r="C51" s="536"/>
      <c r="D51" s="536"/>
      <c r="E51" s="536"/>
      <c r="F51" s="536"/>
      <c r="G51" s="537"/>
      <c r="H51" s="140">
        <f t="shared" si="0"/>
        <v>0</v>
      </c>
    </row>
    <row r="52" spans="1:8" ht="18" customHeight="1">
      <c r="A52" s="85"/>
      <c r="B52" s="26"/>
      <c r="C52" s="536"/>
      <c r="D52" s="536"/>
      <c r="E52" s="536"/>
      <c r="F52" s="536"/>
      <c r="G52" s="537"/>
      <c r="H52" s="140">
        <f t="shared" si="0"/>
        <v>0</v>
      </c>
    </row>
    <row r="53" spans="1:8" ht="18" customHeight="1">
      <c r="A53" s="85">
        <v>2940</v>
      </c>
      <c r="B53" s="26" t="s">
        <v>409</v>
      </c>
      <c r="C53" s="536"/>
      <c r="D53" s="536"/>
      <c r="E53" s="536"/>
      <c r="F53" s="536"/>
      <c r="G53" s="537"/>
      <c r="H53" s="140">
        <f t="shared" si="0"/>
        <v>0</v>
      </c>
    </row>
    <row r="54" spans="1:8" ht="18" customHeight="1">
      <c r="A54" s="85" t="s">
        <v>806</v>
      </c>
      <c r="B54" s="26" t="s">
        <v>410</v>
      </c>
      <c r="C54" s="536"/>
      <c r="D54" s="536"/>
      <c r="E54" s="536"/>
      <c r="F54" s="536"/>
      <c r="G54" s="537"/>
      <c r="H54" s="140">
        <f t="shared" si="0"/>
        <v>0</v>
      </c>
    </row>
    <row r="55" spans="1:8" ht="18" customHeight="1">
      <c r="A55" s="85"/>
      <c r="B55" s="26"/>
      <c r="C55" s="536"/>
      <c r="D55" s="536"/>
      <c r="E55" s="536"/>
      <c r="F55" s="536"/>
      <c r="G55" s="537"/>
      <c r="H55" s="140">
        <f t="shared" si="0"/>
        <v>0</v>
      </c>
    </row>
    <row r="56" spans="1:8" ht="18" customHeight="1">
      <c r="A56" s="85"/>
      <c r="B56" s="26"/>
      <c r="C56" s="536"/>
      <c r="D56" s="536"/>
      <c r="E56" s="536"/>
      <c r="F56" s="536"/>
      <c r="G56" s="537"/>
      <c r="H56" s="140">
        <f t="shared" si="0"/>
        <v>0</v>
      </c>
    </row>
    <row r="57" spans="1:8" ht="18" customHeight="1">
      <c r="A57" s="85"/>
      <c r="B57" s="26"/>
      <c r="C57" s="536"/>
      <c r="D57" s="536"/>
      <c r="E57" s="536"/>
      <c r="F57" s="536"/>
      <c r="G57" s="537"/>
      <c r="H57" s="140">
        <f t="shared" si="0"/>
        <v>0</v>
      </c>
    </row>
    <row r="58" spans="1:8" ht="18" customHeight="1">
      <c r="A58" s="85">
        <v>2980</v>
      </c>
      <c r="B58" s="26" t="s">
        <v>411</v>
      </c>
      <c r="C58" s="536"/>
      <c r="D58" s="536"/>
      <c r="E58" s="536"/>
      <c r="F58" s="536"/>
      <c r="G58" s="537"/>
      <c r="H58" s="140">
        <f t="shared" si="0"/>
        <v>0</v>
      </c>
    </row>
    <row r="59" spans="1:8" ht="18" customHeight="1">
      <c r="A59" s="85"/>
      <c r="B59" s="26"/>
      <c r="C59" s="536"/>
      <c r="D59" s="536"/>
      <c r="E59" s="536"/>
      <c r="F59" s="536"/>
      <c r="G59" s="537"/>
      <c r="H59" s="140">
        <f t="shared" si="0"/>
        <v>0</v>
      </c>
    </row>
    <row r="60" spans="1:8" ht="18" customHeight="1" thickBot="1">
      <c r="A60" s="85"/>
      <c r="B60" s="26"/>
      <c r="C60" s="538"/>
      <c r="D60" s="538"/>
      <c r="E60" s="538"/>
      <c r="F60" s="538"/>
      <c r="G60" s="539"/>
      <c r="H60" s="146"/>
    </row>
    <row r="61" spans="1:8" ht="18" customHeight="1" thickBot="1">
      <c r="A61" s="86"/>
      <c r="B61" s="89" t="s">
        <v>412</v>
      </c>
      <c r="C61" s="145">
        <f t="shared" ref="C61:H61" si="1">SUM(C7:C60)</f>
        <v>89512.180000000008</v>
      </c>
      <c r="D61" s="145">
        <f t="shared" si="1"/>
        <v>110256.57999999999</v>
      </c>
      <c r="E61" s="145">
        <f t="shared" si="1"/>
        <v>9444.59</v>
      </c>
      <c r="F61" s="145">
        <f t="shared" si="1"/>
        <v>41547.699999999997</v>
      </c>
      <c r="G61" s="145">
        <f t="shared" si="1"/>
        <v>96177.76999999999</v>
      </c>
      <c r="H61" s="145">
        <f t="shared" si="1"/>
        <v>71487.88</v>
      </c>
    </row>
    <row r="62" spans="1:8" ht="18" customHeight="1">
      <c r="A62" s="85"/>
      <c r="B62" s="88"/>
      <c r="C62" s="536"/>
      <c r="D62" s="536"/>
      <c r="E62" s="536"/>
      <c r="F62" s="536"/>
      <c r="G62" s="537"/>
      <c r="H62" s="140"/>
    </row>
    <row r="63" spans="1:8" ht="18" customHeight="1">
      <c r="A63" s="125" t="s">
        <v>3140</v>
      </c>
      <c r="B63" s="126"/>
      <c r="C63" s="542"/>
      <c r="D63" s="542"/>
      <c r="E63" s="542"/>
      <c r="F63" s="542"/>
      <c r="G63" s="543"/>
      <c r="H63" s="147"/>
    </row>
    <row r="64" spans="1:8" ht="18" customHeight="1">
      <c r="A64" s="85">
        <v>3000</v>
      </c>
      <c r="B64" s="88" t="s">
        <v>26</v>
      </c>
      <c r="C64" s="536"/>
      <c r="D64" s="536"/>
      <c r="E64" s="536"/>
      <c r="F64" s="536"/>
      <c r="G64" s="537"/>
      <c r="H64" s="140"/>
    </row>
    <row r="65" spans="1:8" ht="18" customHeight="1">
      <c r="A65" s="85">
        <v>3400</v>
      </c>
      <c r="B65" s="26" t="s">
        <v>415</v>
      </c>
      <c r="C65" s="536"/>
      <c r="D65" s="536"/>
      <c r="E65" s="536"/>
      <c r="F65" s="536"/>
      <c r="G65" s="537"/>
      <c r="H65" s="140">
        <f>+C65+D65+E65-F65-G65</f>
        <v>0</v>
      </c>
    </row>
    <row r="66" spans="1:8" ht="18" customHeight="1">
      <c r="A66" s="85"/>
      <c r="B66" s="26"/>
      <c r="C66" s="536"/>
      <c r="D66" s="536"/>
      <c r="E66" s="536"/>
      <c r="F66" s="536"/>
      <c r="G66" s="537"/>
      <c r="H66" s="140">
        <f>+C66+D66+E66-F66-G66</f>
        <v>0</v>
      </c>
    </row>
    <row r="67" spans="1:8" ht="18" customHeight="1">
      <c r="A67" s="85"/>
      <c r="B67" s="26"/>
      <c r="C67" s="536"/>
      <c r="D67" s="536"/>
      <c r="E67" s="536"/>
      <c r="F67" s="536"/>
      <c r="G67" s="537"/>
      <c r="H67" s="140">
        <f>+C67+D67+E67-F67-G67</f>
        <v>0</v>
      </c>
    </row>
    <row r="68" spans="1:8" ht="18" customHeight="1" thickBot="1">
      <c r="A68" s="85"/>
      <c r="B68" s="26"/>
      <c r="C68" s="538"/>
      <c r="D68" s="538"/>
      <c r="E68" s="538"/>
      <c r="F68" s="538"/>
      <c r="G68" s="539"/>
      <c r="H68" s="146"/>
    </row>
    <row r="69" spans="1:8" ht="18" customHeight="1">
      <c r="A69" s="85"/>
      <c r="B69" s="88" t="s">
        <v>29</v>
      </c>
      <c r="C69" s="144">
        <f t="shared" ref="C69:H69" si="2">SUM(C64:C68)</f>
        <v>0</v>
      </c>
      <c r="D69" s="144">
        <f t="shared" si="2"/>
        <v>0</v>
      </c>
      <c r="E69" s="144">
        <f t="shared" si="2"/>
        <v>0</v>
      </c>
      <c r="F69" s="144">
        <f t="shared" si="2"/>
        <v>0</v>
      </c>
      <c r="G69" s="144">
        <f t="shared" si="2"/>
        <v>0</v>
      </c>
      <c r="H69" s="144">
        <f t="shared" si="2"/>
        <v>0</v>
      </c>
    </row>
    <row r="70" spans="1:8" ht="18" customHeight="1">
      <c r="A70" s="85">
        <v>4000</v>
      </c>
      <c r="B70" s="88" t="s">
        <v>27</v>
      </c>
      <c r="C70" s="144"/>
      <c r="D70" s="144"/>
      <c r="E70" s="144"/>
      <c r="F70" s="144"/>
      <c r="G70" s="140"/>
      <c r="H70" s="140"/>
    </row>
    <row r="71" spans="1:8" ht="18" customHeight="1">
      <c r="A71" s="85">
        <v>4002</v>
      </c>
      <c r="B71" s="26" t="s">
        <v>3695</v>
      </c>
      <c r="C71" s="536">
        <v>7782.23</v>
      </c>
      <c r="D71" s="536">
        <v>1212.79</v>
      </c>
      <c r="E71" s="536">
        <v>0</v>
      </c>
      <c r="F71" s="536">
        <v>0</v>
      </c>
      <c r="G71" s="537">
        <v>0</v>
      </c>
      <c r="H71" s="140">
        <f>+C71+D71+E71-F71-G71</f>
        <v>8995.02</v>
      </c>
    </row>
    <row r="72" spans="1:8" ht="18" customHeight="1">
      <c r="A72" s="85">
        <v>4003</v>
      </c>
      <c r="B72" s="26" t="s">
        <v>3679</v>
      </c>
      <c r="C72" s="536">
        <v>5296.83</v>
      </c>
      <c r="D72" s="536">
        <v>1209.17</v>
      </c>
      <c r="E72" s="536">
        <v>0</v>
      </c>
      <c r="F72" s="536">
        <v>0</v>
      </c>
      <c r="G72" s="537">
        <v>0</v>
      </c>
      <c r="H72" s="140">
        <f>+C72+D72+E72-F72-G72</f>
        <v>6506</v>
      </c>
    </row>
    <row r="73" spans="1:8" ht="18" customHeight="1">
      <c r="A73" s="85"/>
      <c r="B73" s="26"/>
      <c r="C73" s="536"/>
      <c r="D73" s="536"/>
      <c r="E73" s="536"/>
      <c r="F73" s="536"/>
      <c r="G73" s="537"/>
      <c r="H73" s="140">
        <f>+C73+D73+E73-F73-G73</f>
        <v>0</v>
      </c>
    </row>
    <row r="74" spans="1:8" ht="18" customHeight="1" thickBot="1">
      <c r="A74" s="85"/>
      <c r="B74" s="26"/>
      <c r="C74" s="538"/>
      <c r="D74" s="538"/>
      <c r="E74" s="538"/>
      <c r="F74" s="538"/>
      <c r="G74" s="539"/>
      <c r="H74" s="146"/>
    </row>
    <row r="75" spans="1:8" ht="18" customHeight="1">
      <c r="A75" s="85"/>
      <c r="B75" s="88" t="s">
        <v>28</v>
      </c>
      <c r="C75" s="144">
        <f t="shared" ref="C75:H75" si="3">SUM(C70:C74)</f>
        <v>13079.06</v>
      </c>
      <c r="D75" s="144">
        <f t="shared" si="3"/>
        <v>2421.96</v>
      </c>
      <c r="E75" s="144">
        <f t="shared" si="3"/>
        <v>0</v>
      </c>
      <c r="F75" s="144">
        <f t="shared" si="3"/>
        <v>0</v>
      </c>
      <c r="G75" s="144">
        <f t="shared" si="3"/>
        <v>0</v>
      </c>
      <c r="H75" s="144">
        <f t="shared" si="3"/>
        <v>15501.02</v>
      </c>
    </row>
    <row r="76" spans="1:8" ht="18" customHeight="1">
      <c r="A76" s="85">
        <v>5000</v>
      </c>
      <c r="B76" s="88" t="s">
        <v>30</v>
      </c>
      <c r="C76" s="144"/>
      <c r="D76" s="144"/>
      <c r="E76" s="144"/>
      <c r="F76" s="144"/>
      <c r="G76" s="140"/>
      <c r="H76" s="140"/>
    </row>
    <row r="77" spans="1:8" ht="18" customHeight="1">
      <c r="A77" s="85">
        <v>5110</v>
      </c>
      <c r="B77" s="26" t="s">
        <v>416</v>
      </c>
      <c r="C77" s="536"/>
      <c r="D77" s="536"/>
      <c r="E77" s="536"/>
      <c r="F77" s="536"/>
      <c r="G77" s="537"/>
      <c r="H77" s="140">
        <f t="shared" ref="H77:H82" si="4">+C77+D77+E77-F77-G77</f>
        <v>0</v>
      </c>
    </row>
    <row r="78" spans="1:8" ht="18" customHeight="1">
      <c r="A78" s="85">
        <v>5210</v>
      </c>
      <c r="B78" s="26" t="s">
        <v>417</v>
      </c>
      <c r="C78" s="536">
        <v>182583.37</v>
      </c>
      <c r="D78" s="536">
        <v>186910.66</v>
      </c>
      <c r="E78" s="536">
        <v>12452.37</v>
      </c>
      <c r="F78" s="536">
        <v>58057.919999999998</v>
      </c>
      <c r="G78" s="537">
        <v>99894.06</v>
      </c>
      <c r="H78" s="140">
        <f t="shared" si="4"/>
        <v>223994.42000000004</v>
      </c>
    </row>
    <row r="79" spans="1:8" ht="18" customHeight="1">
      <c r="A79" s="85">
        <v>5310</v>
      </c>
      <c r="B79" s="26" t="s">
        <v>1382</v>
      </c>
      <c r="C79" s="536">
        <v>47706.76</v>
      </c>
      <c r="D79" s="536">
        <v>61248.56</v>
      </c>
      <c r="E79" s="536">
        <v>2931.32</v>
      </c>
      <c r="F79" s="536">
        <v>21369.73</v>
      </c>
      <c r="G79" s="537">
        <v>19484.580000000002</v>
      </c>
      <c r="H79" s="140">
        <f t="shared" si="4"/>
        <v>71032.330000000016</v>
      </c>
    </row>
    <row r="80" spans="1:8" ht="18" customHeight="1">
      <c r="A80" s="85">
        <v>5410</v>
      </c>
      <c r="B80" s="26" t="s">
        <v>418</v>
      </c>
      <c r="C80" s="536">
        <v>36691.08</v>
      </c>
      <c r="D80" s="536">
        <v>45622.3</v>
      </c>
      <c r="E80" s="536">
        <v>10083.049999999999</v>
      </c>
      <c r="F80" s="536">
        <v>19179.64</v>
      </c>
      <c r="G80" s="537">
        <v>33932.839999999997</v>
      </c>
      <c r="H80" s="140">
        <f t="shared" si="4"/>
        <v>39283.950000000012</v>
      </c>
    </row>
    <row r="81" spans="1:8" ht="18" customHeight="1">
      <c r="A81" s="85">
        <v>5510</v>
      </c>
      <c r="B81" s="26" t="s">
        <v>1135</v>
      </c>
      <c r="C81" s="536"/>
      <c r="D81" s="536"/>
      <c r="E81" s="536"/>
      <c r="F81" s="536"/>
      <c r="G81" s="537"/>
      <c r="H81" s="140">
        <f t="shared" si="4"/>
        <v>0</v>
      </c>
    </row>
    <row r="82" spans="1:8" ht="18" customHeight="1">
      <c r="A82" s="85">
        <v>5610</v>
      </c>
      <c r="B82" s="26" t="s">
        <v>1128</v>
      </c>
      <c r="C82" s="536"/>
      <c r="D82" s="536"/>
      <c r="E82" s="536"/>
      <c r="F82" s="536"/>
      <c r="G82" s="537"/>
      <c r="H82" s="140">
        <f t="shared" si="4"/>
        <v>0</v>
      </c>
    </row>
    <row r="83" spans="1:8" ht="18" customHeight="1" thickBot="1">
      <c r="A83" s="85"/>
      <c r="B83" s="26"/>
      <c r="C83" s="538"/>
      <c r="D83" s="538"/>
      <c r="E83" s="538"/>
      <c r="F83" s="538"/>
      <c r="G83" s="539"/>
      <c r="H83" s="146"/>
    </row>
    <row r="84" spans="1:8" ht="18" customHeight="1">
      <c r="A84" s="85"/>
      <c r="B84" s="88" t="s">
        <v>31</v>
      </c>
      <c r="C84" s="144">
        <f t="shared" ref="C84:H84" si="5">SUM(C76:C83)</f>
        <v>266981.21000000002</v>
      </c>
      <c r="D84" s="144">
        <f t="shared" si="5"/>
        <v>293781.52</v>
      </c>
      <c r="E84" s="144">
        <f t="shared" si="5"/>
        <v>25466.739999999998</v>
      </c>
      <c r="F84" s="144">
        <f t="shared" si="5"/>
        <v>98607.29</v>
      </c>
      <c r="G84" s="144">
        <f t="shared" si="5"/>
        <v>153311.47999999998</v>
      </c>
      <c r="H84" s="144">
        <f t="shared" si="5"/>
        <v>334310.70000000007</v>
      </c>
    </row>
    <row r="85" spans="1:8" ht="18" customHeight="1">
      <c r="A85" s="85">
        <v>6000</v>
      </c>
      <c r="B85" s="88" t="s">
        <v>32</v>
      </c>
      <c r="C85" s="144"/>
      <c r="D85" s="144"/>
      <c r="E85" s="144"/>
      <c r="F85" s="144"/>
      <c r="G85" s="140"/>
      <c r="H85" s="140"/>
    </row>
    <row r="86" spans="1:8" ht="18" customHeight="1">
      <c r="A86" s="85"/>
      <c r="B86" s="26"/>
      <c r="C86" s="536"/>
      <c r="D86" s="536"/>
      <c r="E86" s="536"/>
      <c r="F86" s="536"/>
      <c r="G86" s="537"/>
      <c r="H86" s="140">
        <f>+C86+D86+E86-F86-G86</f>
        <v>0</v>
      </c>
    </row>
    <row r="87" spans="1:8" ht="18" customHeight="1" thickBot="1">
      <c r="A87" s="85"/>
      <c r="B87" s="26"/>
      <c r="C87" s="538"/>
      <c r="D87" s="538"/>
      <c r="E87" s="538"/>
      <c r="F87" s="538"/>
      <c r="G87" s="539"/>
      <c r="H87" s="145">
        <f>+C87+D87+E87-F87-G87</f>
        <v>0</v>
      </c>
    </row>
    <row r="88" spans="1:8" ht="18" customHeight="1">
      <c r="A88" s="85"/>
      <c r="B88" s="88" t="s">
        <v>33</v>
      </c>
      <c r="C88" s="144">
        <f t="shared" ref="C88:H88" si="6">SUM(C85:C87)</f>
        <v>0</v>
      </c>
      <c r="D88" s="144">
        <f t="shared" si="6"/>
        <v>0</v>
      </c>
      <c r="E88" s="144">
        <f t="shared" si="6"/>
        <v>0</v>
      </c>
      <c r="F88" s="144">
        <f t="shared" si="6"/>
        <v>0</v>
      </c>
      <c r="G88" s="144">
        <f t="shared" si="6"/>
        <v>0</v>
      </c>
      <c r="H88" s="144">
        <f t="shared" si="6"/>
        <v>0</v>
      </c>
    </row>
    <row r="89" spans="1:8" ht="18" customHeight="1">
      <c r="A89" s="85">
        <v>7000</v>
      </c>
      <c r="B89" s="88" t="s">
        <v>584</v>
      </c>
      <c r="C89" s="144"/>
      <c r="D89" s="144"/>
      <c r="E89" s="144"/>
      <c r="F89" s="144"/>
      <c r="G89" s="140"/>
      <c r="H89" s="140"/>
    </row>
    <row r="90" spans="1:8" ht="18" customHeight="1">
      <c r="A90" s="85">
        <v>7001</v>
      </c>
      <c r="B90" s="26" t="s">
        <v>403</v>
      </c>
      <c r="C90" s="536"/>
      <c r="D90" s="536"/>
      <c r="E90" s="536"/>
      <c r="F90" s="536"/>
      <c r="G90" s="537"/>
      <c r="H90" s="140">
        <f t="shared" ref="H90:H95" si="7">+C90+D90+E90-F90-G90</f>
        <v>0</v>
      </c>
    </row>
    <row r="91" spans="1:8" ht="18" customHeight="1">
      <c r="A91" s="85">
        <v>7002</v>
      </c>
      <c r="B91" s="26" t="s">
        <v>419</v>
      </c>
      <c r="C91" s="536"/>
      <c r="D91" s="536"/>
      <c r="E91" s="536"/>
      <c r="F91" s="536"/>
      <c r="G91" s="537"/>
      <c r="H91" s="140">
        <f t="shared" si="7"/>
        <v>0</v>
      </c>
    </row>
    <row r="92" spans="1:8" ht="18" customHeight="1">
      <c r="A92" s="85"/>
      <c r="B92" s="26"/>
      <c r="C92" s="536"/>
      <c r="D92" s="536"/>
      <c r="E92" s="536"/>
      <c r="F92" s="536"/>
      <c r="G92" s="537"/>
      <c r="H92" s="140">
        <f t="shared" si="7"/>
        <v>0</v>
      </c>
    </row>
    <row r="93" spans="1:8" ht="18" customHeight="1">
      <c r="A93" s="85">
        <v>7010</v>
      </c>
      <c r="B93" s="26" t="s">
        <v>420</v>
      </c>
      <c r="C93" s="536"/>
      <c r="D93" s="536"/>
      <c r="E93" s="536"/>
      <c r="F93" s="536"/>
      <c r="G93" s="537"/>
      <c r="H93" s="140">
        <f t="shared" si="7"/>
        <v>0</v>
      </c>
    </row>
    <row r="94" spans="1:8" ht="18" customHeight="1">
      <c r="A94" s="85"/>
      <c r="B94" s="26"/>
      <c r="C94" s="536"/>
      <c r="D94" s="536"/>
      <c r="E94" s="536"/>
      <c r="F94" s="536"/>
      <c r="G94" s="537"/>
      <c r="H94" s="140">
        <f t="shared" si="7"/>
        <v>0</v>
      </c>
    </row>
    <row r="95" spans="1:8" ht="18" customHeight="1">
      <c r="A95" s="85"/>
      <c r="B95" s="26"/>
      <c r="C95" s="536"/>
      <c r="D95" s="536"/>
      <c r="E95" s="536"/>
      <c r="F95" s="536"/>
      <c r="G95" s="537"/>
      <c r="H95" s="140">
        <f t="shared" si="7"/>
        <v>0</v>
      </c>
    </row>
    <row r="96" spans="1:8" ht="18" customHeight="1">
      <c r="A96" s="85">
        <v>7100</v>
      </c>
      <c r="B96" s="88" t="s">
        <v>583</v>
      </c>
      <c r="C96" s="536"/>
      <c r="D96" s="536"/>
      <c r="E96" s="536"/>
      <c r="F96" s="536"/>
      <c r="G96" s="537"/>
      <c r="H96" s="140"/>
    </row>
    <row r="97" spans="1:8" ht="18" customHeight="1">
      <c r="A97" s="85">
        <v>7110</v>
      </c>
      <c r="B97" s="26" t="s">
        <v>413</v>
      </c>
      <c r="C97" s="536"/>
      <c r="D97" s="536"/>
      <c r="E97" s="536"/>
      <c r="F97" s="536"/>
      <c r="G97" s="537"/>
      <c r="H97" s="140">
        <f t="shared" ref="H97:H106" si="8">+C97+D97+E97-F97-G97</f>
        <v>0</v>
      </c>
    </row>
    <row r="98" spans="1:8" ht="18" customHeight="1">
      <c r="A98" s="85">
        <v>7120</v>
      </c>
      <c r="B98" s="26" t="s">
        <v>421</v>
      </c>
      <c r="C98" s="536">
        <v>0</v>
      </c>
      <c r="D98" s="536">
        <v>678</v>
      </c>
      <c r="E98" s="536">
        <v>0</v>
      </c>
      <c r="F98" s="536">
        <v>0</v>
      </c>
      <c r="G98" s="537">
        <v>0</v>
      </c>
      <c r="H98" s="140">
        <f t="shared" si="8"/>
        <v>678</v>
      </c>
    </row>
    <row r="99" spans="1:8" ht="18" customHeight="1">
      <c r="A99" s="85">
        <v>7130</v>
      </c>
      <c r="B99" s="26" t="s">
        <v>422</v>
      </c>
      <c r="C99" s="536"/>
      <c r="D99" s="536"/>
      <c r="E99" s="536"/>
      <c r="F99" s="536"/>
      <c r="G99" s="537"/>
      <c r="H99" s="140">
        <f t="shared" si="8"/>
        <v>0</v>
      </c>
    </row>
    <row r="100" spans="1:8" ht="18" customHeight="1">
      <c r="A100" s="85">
        <v>7140</v>
      </c>
      <c r="B100" s="26" t="s">
        <v>423</v>
      </c>
      <c r="C100" s="536"/>
      <c r="D100" s="536"/>
      <c r="E100" s="536"/>
      <c r="F100" s="536"/>
      <c r="G100" s="537"/>
      <c r="H100" s="140">
        <f t="shared" si="8"/>
        <v>0</v>
      </c>
    </row>
    <row r="101" spans="1:8" ht="18" customHeight="1">
      <c r="A101" s="85">
        <v>7150</v>
      </c>
      <c r="B101" s="26" t="s">
        <v>424</v>
      </c>
      <c r="C101" s="536"/>
      <c r="D101" s="536"/>
      <c r="E101" s="536"/>
      <c r="F101" s="536"/>
      <c r="G101" s="537"/>
      <c r="H101" s="140">
        <f t="shared" si="8"/>
        <v>0</v>
      </c>
    </row>
    <row r="102" spans="1:8" ht="18" customHeight="1">
      <c r="A102" s="85"/>
      <c r="B102" s="26"/>
      <c r="C102" s="536"/>
      <c r="D102" s="536"/>
      <c r="E102" s="536"/>
      <c r="F102" s="536"/>
      <c r="G102" s="537"/>
      <c r="H102" s="140">
        <f t="shared" si="8"/>
        <v>0</v>
      </c>
    </row>
    <row r="103" spans="1:8" ht="18" customHeight="1">
      <c r="A103" s="85">
        <v>7160</v>
      </c>
      <c r="B103" s="26" t="s">
        <v>425</v>
      </c>
      <c r="C103" s="536"/>
      <c r="D103" s="536"/>
      <c r="E103" s="536"/>
      <c r="F103" s="536"/>
      <c r="G103" s="537"/>
      <c r="H103" s="140">
        <f t="shared" si="8"/>
        <v>0</v>
      </c>
    </row>
    <row r="104" spans="1:8" ht="18" customHeight="1">
      <c r="A104" s="85">
        <v>7170</v>
      </c>
      <c r="B104" s="26" t="s">
        <v>426</v>
      </c>
      <c r="C104" s="536"/>
      <c r="D104" s="536"/>
      <c r="E104" s="536"/>
      <c r="F104" s="536"/>
      <c r="G104" s="537"/>
      <c r="H104" s="140">
        <f t="shared" si="8"/>
        <v>0</v>
      </c>
    </row>
    <row r="105" spans="1:8" ht="18" customHeight="1">
      <c r="A105" s="85"/>
      <c r="B105" s="26"/>
      <c r="C105" s="536"/>
      <c r="D105" s="536"/>
      <c r="E105" s="536"/>
      <c r="F105" s="536"/>
      <c r="G105" s="537"/>
      <c r="H105" s="140">
        <f t="shared" si="8"/>
        <v>0</v>
      </c>
    </row>
    <row r="106" spans="1:8" ht="18" customHeight="1">
      <c r="A106" s="85">
        <v>7190</v>
      </c>
      <c r="B106" s="26" t="s">
        <v>427</v>
      </c>
      <c r="C106" s="536"/>
      <c r="D106" s="536"/>
      <c r="E106" s="536"/>
      <c r="F106" s="536"/>
      <c r="G106" s="537"/>
      <c r="H106" s="140">
        <f t="shared" si="8"/>
        <v>0</v>
      </c>
    </row>
    <row r="107" spans="1:8" ht="18" customHeight="1">
      <c r="A107" s="85"/>
      <c r="B107" s="26"/>
      <c r="C107" s="536"/>
      <c r="D107" s="536"/>
      <c r="E107" s="536"/>
      <c r="F107" s="536"/>
      <c r="G107" s="537"/>
      <c r="H107" s="140"/>
    </row>
    <row r="108" spans="1:8" ht="18" customHeight="1">
      <c r="A108" s="85">
        <v>7200</v>
      </c>
      <c r="B108" s="88" t="s">
        <v>582</v>
      </c>
      <c r="C108" s="536"/>
      <c r="D108" s="536"/>
      <c r="E108" s="536"/>
      <c r="F108" s="536"/>
      <c r="G108" s="537"/>
      <c r="H108" s="140"/>
    </row>
    <row r="109" spans="1:8" ht="18" customHeight="1">
      <c r="A109" s="85"/>
      <c r="B109" s="26"/>
      <c r="C109" s="536"/>
      <c r="D109" s="536"/>
      <c r="E109" s="536"/>
      <c r="F109" s="536"/>
      <c r="G109" s="537"/>
      <c r="H109" s="140">
        <f>+C109+D109+E109-F109-G109</f>
        <v>0</v>
      </c>
    </row>
    <row r="110" spans="1:8" ht="18" customHeight="1">
      <c r="A110" s="85"/>
      <c r="B110" s="26"/>
      <c r="C110" s="536"/>
      <c r="D110" s="536"/>
      <c r="E110" s="536"/>
      <c r="F110" s="536"/>
      <c r="G110" s="537"/>
      <c r="H110" s="140">
        <f>+C110+D110+E110-F110-G110</f>
        <v>0</v>
      </c>
    </row>
    <row r="111" spans="1:8" ht="18" customHeight="1">
      <c r="A111" s="85"/>
      <c r="B111" s="26"/>
      <c r="C111" s="536"/>
      <c r="D111" s="536"/>
      <c r="E111" s="536"/>
      <c r="F111" s="536"/>
      <c r="G111" s="537"/>
      <c r="H111" s="140">
        <f>+C111+D111+E111-F111-G111</f>
        <v>0</v>
      </c>
    </row>
    <row r="112" spans="1:8" ht="18" customHeight="1">
      <c r="B112" s="127"/>
      <c r="C112" s="542"/>
      <c r="D112" s="542"/>
      <c r="E112" s="542"/>
      <c r="F112" s="542"/>
      <c r="G112" s="543"/>
      <c r="H112" s="140">
        <f>+C112+D112+E112-F112-G112</f>
        <v>0</v>
      </c>
    </row>
    <row r="113" spans="1:8" ht="18" customHeight="1" thickBot="1">
      <c r="A113" s="85"/>
      <c r="B113" s="25"/>
      <c r="C113" s="538"/>
      <c r="D113" s="538"/>
      <c r="E113" s="538"/>
      <c r="F113" s="538"/>
      <c r="G113" s="539"/>
      <c r="H113" s="146"/>
    </row>
    <row r="114" spans="1:8" ht="18" customHeight="1" thickBot="1">
      <c r="A114" s="125" t="s">
        <v>3141</v>
      </c>
      <c r="B114" s="135"/>
      <c r="C114" s="544"/>
      <c r="D114" s="544"/>
      <c r="E114" s="544"/>
      <c r="F114" s="544"/>
      <c r="G114" s="545"/>
      <c r="H114" s="148"/>
    </row>
    <row r="115" spans="1:8" ht="18" customHeight="1">
      <c r="A115" s="85"/>
      <c r="B115" s="26"/>
      <c r="C115" s="536"/>
      <c r="D115" s="536"/>
      <c r="E115" s="536"/>
      <c r="F115" s="536"/>
      <c r="G115" s="537"/>
      <c r="H115" s="140"/>
    </row>
    <row r="116" spans="1:8" ht="18" customHeight="1">
      <c r="A116" s="85">
        <v>7400</v>
      </c>
      <c r="B116" s="26" t="s">
        <v>428</v>
      </c>
      <c r="C116" s="536"/>
      <c r="D116" s="536"/>
      <c r="E116" s="536"/>
      <c r="F116" s="536"/>
      <c r="G116" s="537"/>
      <c r="H116" s="140">
        <f t="shared" ref="H116:H123" si="9">+C116+D116+E116-F116-G116</f>
        <v>0</v>
      </c>
    </row>
    <row r="117" spans="1:8" ht="18" customHeight="1">
      <c r="A117" s="85">
        <v>7700</v>
      </c>
      <c r="B117" s="26" t="s">
        <v>429</v>
      </c>
      <c r="C117" s="536"/>
      <c r="D117" s="536"/>
      <c r="E117" s="536"/>
      <c r="F117" s="536"/>
      <c r="G117" s="537"/>
      <c r="H117" s="140">
        <f t="shared" si="9"/>
        <v>0</v>
      </c>
    </row>
    <row r="118" spans="1:8" ht="18" customHeight="1">
      <c r="A118" s="85">
        <v>7805</v>
      </c>
      <c r="B118" s="26" t="s">
        <v>1234</v>
      </c>
      <c r="C118" s="536"/>
      <c r="D118" s="536"/>
      <c r="E118" s="536"/>
      <c r="F118" s="536"/>
      <c r="G118" s="537"/>
      <c r="H118" s="140">
        <f t="shared" si="9"/>
        <v>0</v>
      </c>
    </row>
    <row r="119" spans="1:8" ht="18" customHeight="1">
      <c r="A119" s="85">
        <v>7810</v>
      </c>
      <c r="B119" s="26" t="s">
        <v>1189</v>
      </c>
      <c r="C119" s="536"/>
      <c r="D119" s="536"/>
      <c r="E119" s="536"/>
      <c r="F119" s="536"/>
      <c r="G119" s="537"/>
      <c r="H119" s="140">
        <f t="shared" si="9"/>
        <v>0</v>
      </c>
    </row>
    <row r="120" spans="1:8" ht="18" customHeight="1">
      <c r="A120" s="85">
        <v>7815</v>
      </c>
      <c r="B120" s="26" t="s">
        <v>1190</v>
      </c>
      <c r="C120" s="536"/>
      <c r="D120" s="536"/>
      <c r="E120" s="536"/>
      <c r="F120" s="536"/>
      <c r="G120" s="537"/>
      <c r="H120" s="140">
        <f t="shared" si="9"/>
        <v>0</v>
      </c>
    </row>
    <row r="121" spans="1:8" ht="18" customHeight="1">
      <c r="A121" s="85">
        <v>7820</v>
      </c>
      <c r="B121" s="26" t="s">
        <v>414</v>
      </c>
      <c r="C121" s="536"/>
      <c r="D121" s="536"/>
      <c r="E121" s="536"/>
      <c r="F121" s="536"/>
      <c r="G121" s="537"/>
      <c r="H121" s="140">
        <f t="shared" si="9"/>
        <v>0</v>
      </c>
    </row>
    <row r="122" spans="1:8" ht="18" customHeight="1">
      <c r="A122" s="85">
        <v>7830</v>
      </c>
      <c r="B122" s="26" t="s">
        <v>1191</v>
      </c>
      <c r="C122" s="536"/>
      <c r="D122" s="536"/>
      <c r="E122" s="536"/>
      <c r="F122" s="536"/>
      <c r="G122" s="537"/>
      <c r="H122" s="140">
        <f t="shared" si="9"/>
        <v>0</v>
      </c>
    </row>
    <row r="123" spans="1:8" ht="18" customHeight="1">
      <c r="A123" s="85">
        <v>7840</v>
      </c>
      <c r="B123" s="26" t="s">
        <v>1192</v>
      </c>
      <c r="C123" s="536"/>
      <c r="D123" s="536"/>
      <c r="E123" s="536"/>
      <c r="F123" s="536"/>
      <c r="G123" s="537"/>
      <c r="H123" s="140">
        <f t="shared" si="9"/>
        <v>0</v>
      </c>
    </row>
    <row r="124" spans="1:8" ht="18" customHeight="1">
      <c r="A124" s="85"/>
      <c r="B124" s="26"/>
      <c r="C124" s="536"/>
      <c r="D124" s="536"/>
      <c r="E124" s="536"/>
      <c r="F124" s="536"/>
      <c r="G124" s="537"/>
      <c r="H124" s="140"/>
    </row>
    <row r="125" spans="1:8" ht="18" customHeight="1">
      <c r="A125" s="85"/>
      <c r="B125" s="26"/>
      <c r="C125" s="536"/>
      <c r="D125" s="536"/>
      <c r="E125" s="536"/>
      <c r="F125" s="536"/>
      <c r="G125" s="537"/>
      <c r="H125" s="140"/>
    </row>
    <row r="126" spans="1:8" ht="18" customHeight="1">
      <c r="A126" s="85">
        <v>7850</v>
      </c>
      <c r="B126" s="88" t="s">
        <v>1193</v>
      </c>
      <c r="C126" s="536"/>
      <c r="D126" s="536"/>
      <c r="E126" s="536"/>
      <c r="F126" s="536"/>
      <c r="G126" s="537"/>
      <c r="H126" s="140"/>
    </row>
    <row r="127" spans="1:8" ht="18" customHeight="1">
      <c r="A127" s="85"/>
      <c r="B127" s="26"/>
      <c r="C127" s="536"/>
      <c r="D127" s="536"/>
      <c r="E127" s="536"/>
      <c r="F127" s="536"/>
      <c r="G127" s="537"/>
      <c r="H127" s="140">
        <f>+C127+D127+E127-F127-G127</f>
        <v>0</v>
      </c>
    </row>
    <row r="128" spans="1:8" ht="18" customHeight="1">
      <c r="A128" s="85"/>
      <c r="B128" s="26"/>
      <c r="C128" s="536"/>
      <c r="D128" s="536"/>
      <c r="E128" s="536"/>
      <c r="F128" s="536"/>
      <c r="G128" s="537"/>
      <c r="H128" s="140">
        <f>+C128+D128+E128-F128-G128</f>
        <v>0</v>
      </c>
    </row>
    <row r="129" spans="1:8" ht="18" customHeight="1">
      <c r="A129" s="85"/>
      <c r="B129" s="26"/>
      <c r="C129" s="536"/>
      <c r="D129" s="536"/>
      <c r="E129" s="536"/>
      <c r="F129" s="536"/>
      <c r="G129" s="537"/>
      <c r="H129" s="140">
        <f>+C129+D129+E129-F129-G129</f>
        <v>0</v>
      </c>
    </row>
    <row r="130" spans="1:8" ht="18" customHeight="1">
      <c r="A130" s="85"/>
      <c r="B130" s="26"/>
      <c r="C130" s="536"/>
      <c r="D130" s="536"/>
      <c r="E130" s="536"/>
      <c r="F130" s="536"/>
      <c r="G130" s="537"/>
      <c r="H130" s="140">
        <f>+C130+D130+E130-F130-G130</f>
        <v>0</v>
      </c>
    </row>
    <row r="131" spans="1:8" ht="18" customHeight="1">
      <c r="A131" s="85">
        <v>7900</v>
      </c>
      <c r="B131" s="88" t="s">
        <v>581</v>
      </c>
      <c r="C131" s="536"/>
      <c r="D131" s="536"/>
      <c r="E131" s="536"/>
      <c r="F131" s="536"/>
      <c r="G131" s="537"/>
      <c r="H131" s="140"/>
    </row>
    <row r="132" spans="1:8" ht="18" customHeight="1">
      <c r="A132" s="85">
        <v>7910</v>
      </c>
      <c r="B132" s="26" t="s">
        <v>1194</v>
      </c>
      <c r="C132" s="536"/>
      <c r="D132" s="536"/>
      <c r="E132" s="536"/>
      <c r="F132" s="536"/>
      <c r="G132" s="537"/>
      <c r="H132" s="140">
        <f>+C132+D132+E132-F132-G132</f>
        <v>0</v>
      </c>
    </row>
    <row r="133" spans="1:8" ht="18" customHeight="1" thickBot="1">
      <c r="A133" s="85">
        <v>7930</v>
      </c>
      <c r="B133" s="26" t="s">
        <v>1195</v>
      </c>
      <c r="C133" s="538">
        <v>29812.77</v>
      </c>
      <c r="D133" s="538">
        <v>0</v>
      </c>
      <c r="E133" s="538">
        <v>413723.25</v>
      </c>
      <c r="F133" s="538">
        <v>409060.03</v>
      </c>
      <c r="G133" s="539"/>
      <c r="H133" s="146">
        <f>+C133+D133+E133-F133-G133</f>
        <v>34475.989999999991</v>
      </c>
    </row>
    <row r="134" spans="1:8" ht="18" customHeight="1" thickBot="1">
      <c r="A134" s="85"/>
      <c r="B134" s="88" t="s">
        <v>1196</v>
      </c>
      <c r="C134" s="145">
        <f t="shared" ref="C134:H134" si="10">SUM(C89:C133)</f>
        <v>29812.77</v>
      </c>
      <c r="D134" s="145">
        <f t="shared" si="10"/>
        <v>678</v>
      </c>
      <c r="E134" s="145">
        <f t="shared" si="10"/>
        <v>413723.25</v>
      </c>
      <c r="F134" s="145">
        <f t="shared" si="10"/>
        <v>409060.03</v>
      </c>
      <c r="G134" s="145">
        <f t="shared" si="10"/>
        <v>0</v>
      </c>
      <c r="H134" s="145">
        <f t="shared" si="10"/>
        <v>35153.989999999991</v>
      </c>
    </row>
    <row r="135" spans="1:8" ht="18" customHeight="1">
      <c r="A135" s="85">
        <v>8000</v>
      </c>
      <c r="B135" s="88" t="s">
        <v>585</v>
      </c>
      <c r="C135" s="536"/>
      <c r="D135" s="536"/>
      <c r="E135" s="536"/>
      <c r="F135" s="536"/>
      <c r="G135" s="537"/>
      <c r="H135" s="140"/>
    </row>
    <row r="136" spans="1:8" ht="18" customHeight="1">
      <c r="A136" s="85"/>
      <c r="B136" s="26"/>
      <c r="C136" s="536"/>
      <c r="D136" s="536"/>
      <c r="E136" s="536"/>
      <c r="F136" s="536"/>
      <c r="G136" s="537"/>
      <c r="H136" s="140">
        <f>+C136+D136+E136-F136-G136</f>
        <v>0</v>
      </c>
    </row>
    <row r="137" spans="1:8" ht="18" customHeight="1">
      <c r="A137" s="85"/>
      <c r="B137" s="26"/>
      <c r="C137" s="536"/>
      <c r="D137" s="536"/>
      <c r="E137" s="536"/>
      <c r="F137" s="536"/>
      <c r="G137" s="537"/>
      <c r="H137" s="140">
        <f>+C137+D137+E137-F137-G137</f>
        <v>0</v>
      </c>
    </row>
    <row r="138" spans="1:8" ht="18" customHeight="1">
      <c r="A138" s="85"/>
      <c r="B138" s="26"/>
      <c r="C138" s="536"/>
      <c r="D138" s="536"/>
      <c r="E138" s="536"/>
      <c r="F138" s="536"/>
      <c r="G138" s="537"/>
      <c r="H138" s="140">
        <f>+C138+D138+E138-F138-G138</f>
        <v>0</v>
      </c>
    </row>
    <row r="139" spans="1:8" ht="18" customHeight="1" thickBot="1">
      <c r="A139" s="85"/>
      <c r="B139" s="26"/>
      <c r="C139" s="538"/>
      <c r="D139" s="538"/>
      <c r="E139" s="538"/>
      <c r="F139" s="538"/>
      <c r="G139" s="539"/>
      <c r="H139" s="146"/>
    </row>
    <row r="140" spans="1:8" ht="18" customHeight="1" thickBot="1">
      <c r="A140" s="85"/>
      <c r="B140" s="88" t="s">
        <v>25</v>
      </c>
      <c r="C140" s="149">
        <f t="shared" ref="C140:H140" si="11">SUM(C135:C139)</f>
        <v>0</v>
      </c>
      <c r="D140" s="149">
        <f t="shared" si="11"/>
        <v>0</v>
      </c>
      <c r="E140" s="149">
        <f t="shared" si="11"/>
        <v>0</v>
      </c>
      <c r="F140" s="149">
        <f t="shared" si="11"/>
        <v>0</v>
      </c>
      <c r="G140" s="149">
        <f t="shared" si="11"/>
        <v>0</v>
      </c>
      <c r="H140" s="149">
        <f t="shared" si="11"/>
        <v>0</v>
      </c>
    </row>
    <row r="141" spans="1:8" ht="18" customHeight="1" thickBot="1">
      <c r="A141" s="85"/>
      <c r="B141" s="88" t="s">
        <v>3</v>
      </c>
      <c r="C141" s="150">
        <f t="shared" ref="C141:H141" si="12">+C6+C61+C69+C75+C84+C88+C134+C140</f>
        <v>600418.26</v>
      </c>
      <c r="D141" s="150">
        <f t="shared" si="12"/>
        <v>583512.27</v>
      </c>
      <c r="E141" s="150">
        <f t="shared" si="12"/>
        <v>464680.24</v>
      </c>
      <c r="F141" s="150">
        <f t="shared" si="12"/>
        <v>591078.43000000005</v>
      </c>
      <c r="G141" s="150">
        <f t="shared" si="12"/>
        <v>464680.24</v>
      </c>
      <c r="H141" s="150">
        <f t="shared" si="12"/>
        <v>592852.10000000009</v>
      </c>
    </row>
    <row r="142" spans="1:8" ht="18" customHeight="1" thickTop="1" thickBot="1">
      <c r="A142" s="86"/>
      <c r="B142" s="25"/>
      <c r="C142" s="134"/>
      <c r="D142" s="134"/>
      <c r="E142" s="134"/>
      <c r="F142" s="134"/>
      <c r="G142" s="131"/>
      <c r="H142" s="131"/>
    </row>
    <row r="143" spans="1:8" ht="18" customHeight="1" thickBot="1">
      <c r="A143" s="42"/>
      <c r="B143" s="19"/>
    </row>
    <row r="144" spans="1:8" ht="18" customHeight="1">
      <c r="A144" s="71" t="s">
        <v>34</v>
      </c>
      <c r="B144" s="54"/>
      <c r="C144" s="54"/>
      <c r="D144" s="54"/>
      <c r="E144" s="54"/>
      <c r="F144" s="54"/>
      <c r="G144" s="54"/>
      <c r="H144" s="70"/>
    </row>
    <row r="145" spans="1:8" ht="18" customHeight="1" thickBot="1">
      <c r="A145" s="37"/>
      <c r="B145" s="1"/>
      <c r="C145" s="1"/>
      <c r="D145" s="1"/>
      <c r="E145" s="1"/>
      <c r="F145" s="1"/>
      <c r="G145" s="1"/>
      <c r="H145" s="23"/>
    </row>
    <row r="146" spans="1:8" ht="24.95" customHeight="1">
      <c r="A146" s="91" t="s">
        <v>1197</v>
      </c>
      <c r="B146" s="87" t="s">
        <v>179</v>
      </c>
      <c r="C146" s="54" t="s">
        <v>89</v>
      </c>
      <c r="D146" s="70"/>
      <c r="E146" s="54" t="s">
        <v>91</v>
      </c>
      <c r="F146" s="70"/>
      <c r="G146" s="128" t="s">
        <v>1188</v>
      </c>
      <c r="H146" s="90"/>
    </row>
    <row r="147" spans="1:8" ht="18" customHeight="1">
      <c r="A147" s="26">
        <v>7820</v>
      </c>
      <c r="B147" s="26" t="s">
        <v>414</v>
      </c>
      <c r="C147" s="29"/>
      <c r="D147" s="24"/>
      <c r="E147" s="29"/>
      <c r="F147" s="24"/>
      <c r="G147" s="29"/>
      <c r="H147" s="24"/>
    </row>
    <row r="148" spans="1:8" ht="18" customHeight="1">
      <c r="A148" s="26">
        <v>7830</v>
      </c>
      <c r="B148" s="26" t="s">
        <v>1191</v>
      </c>
      <c r="C148" s="29"/>
      <c r="D148" s="24"/>
      <c r="E148" s="29"/>
      <c r="F148" s="24"/>
      <c r="G148" s="29"/>
      <c r="H148" s="24"/>
    </row>
    <row r="149" spans="1:8" ht="18" customHeight="1" thickBot="1">
      <c r="A149" s="25">
        <v>7840</v>
      </c>
      <c r="B149" s="25" t="s">
        <v>1192</v>
      </c>
      <c r="C149" s="1"/>
      <c r="D149" s="23"/>
      <c r="E149" s="1"/>
      <c r="F149" s="23"/>
      <c r="G149" s="1"/>
      <c r="H149" s="23"/>
    </row>
    <row r="150" spans="1:8" ht="18" customHeight="1" thickBot="1">
      <c r="A150" s="72" t="s">
        <v>580</v>
      </c>
      <c r="B150" s="1"/>
      <c r="C150" s="1"/>
      <c r="D150" s="1"/>
      <c r="E150" s="1"/>
      <c r="F150" s="1"/>
      <c r="G150" s="1"/>
      <c r="H150" s="23"/>
    </row>
    <row r="158" spans="1:8" ht="15.75">
      <c r="A158" s="123" t="s">
        <v>3142</v>
      </c>
      <c r="B158" s="2"/>
      <c r="C158" s="2"/>
      <c r="D158" s="2"/>
      <c r="E158" s="2"/>
      <c r="F158" s="2"/>
      <c r="G158" s="2"/>
      <c r="H158" s="2"/>
    </row>
  </sheetData>
  <sheetProtection formatCells="0" formatColumns="0" formatRows="0" insertRows="0" deleteRows="0"/>
  <customSheetViews>
    <customSheetView guid="{FC3B3501-CA52-40D7-B049-0E027A15B235}">
      <pane xSplit="2" ySplit="5" topLeftCell="C72" activePane="bottomRight" state="frozen"/>
      <selection pane="bottomRight" activeCell="I142" sqref="I142"/>
      <rowBreaks count="2" manualBreakCount="2">
        <brk id="63" max="16383" man="1"/>
        <brk id="114" max="16383" man="1"/>
      </rowBreaks>
      <pageMargins left="0.25" right="0.25" top="0.25" bottom="0.25" header="0.5" footer="0.5"/>
      <printOptions horizontalCentered="1" verticalCentered="1" gridLines="1"/>
      <pageSetup scale="63"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63" orientation="portrait" horizontalDpi="360" verticalDpi="360" r:id="rId2"/>
  <headerFooter alignWithMargins="0"/>
  <rowBreaks count="2" manualBreakCount="2">
    <brk id="63" max="16383" man="1"/>
    <brk id="114" max="16383" man="1"/>
  </rowBreaks>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2"/>
  <dimension ref="A1:F48"/>
  <sheetViews>
    <sheetView topLeftCell="A9" workbookViewId="0">
      <selection activeCell="B8" sqref="B8"/>
    </sheetView>
  </sheetViews>
  <sheetFormatPr defaultRowHeight="12.75"/>
  <cols>
    <col min="1" max="1" width="25.7109375" customWidth="1"/>
    <col min="2" max="6" width="14.7109375" customWidth="1"/>
  </cols>
  <sheetData>
    <row r="1" spans="1:6" ht="18">
      <c r="A1" s="76" t="s">
        <v>35</v>
      </c>
      <c r="B1" s="92"/>
      <c r="C1" s="92"/>
      <c r="D1" s="92"/>
      <c r="E1" s="92"/>
      <c r="F1" s="93"/>
    </row>
    <row r="2" spans="1:6" ht="18">
      <c r="A2" s="79" t="s">
        <v>36</v>
      </c>
      <c r="B2" s="94"/>
      <c r="C2" s="94"/>
      <c r="D2" s="94"/>
      <c r="E2" s="94"/>
      <c r="F2" s="95"/>
    </row>
    <row r="3" spans="1:6" ht="18.75" thickBot="1">
      <c r="A3" s="96" t="str">
        <f>+'GW-STATEMENT NET POSITION(13)'!A3</f>
        <v>FISCAL YEAR ENDING JUNE 30, 2017</v>
      </c>
      <c r="B3" s="94"/>
      <c r="C3" s="94"/>
      <c r="D3" s="94"/>
      <c r="E3" s="94"/>
      <c r="F3" s="95"/>
    </row>
    <row r="4" spans="1:6" ht="18">
      <c r="A4" s="76"/>
      <c r="B4" s="76"/>
      <c r="C4" s="92"/>
      <c r="D4" s="92"/>
      <c r="E4" s="92"/>
      <c r="F4" s="100"/>
    </row>
    <row r="5" spans="1:6" ht="13.5" thickBot="1">
      <c r="A5" s="55"/>
      <c r="B5" s="99" t="s">
        <v>37</v>
      </c>
      <c r="C5" s="14"/>
      <c r="D5" s="14"/>
      <c r="E5" s="14"/>
      <c r="F5" s="26"/>
    </row>
    <row r="6" spans="1:6" ht="39.950000000000003" customHeight="1" thickBot="1">
      <c r="A6" s="593" t="s">
        <v>1780</v>
      </c>
      <c r="B6" s="1321" t="s">
        <v>3731</v>
      </c>
      <c r="C6" s="197"/>
      <c r="D6" s="197"/>
      <c r="E6" s="198"/>
      <c r="F6" s="136" t="s">
        <v>243</v>
      </c>
    </row>
    <row r="7" spans="1:6" ht="25.5">
      <c r="A7" s="97" t="s">
        <v>244</v>
      </c>
      <c r="B7" s="151">
        <v>390527.61</v>
      </c>
      <c r="C7" s="144"/>
      <c r="D7" s="144"/>
      <c r="E7" s="152"/>
      <c r="F7" s="144">
        <f>SUM(B7:E7)</f>
        <v>390527.61</v>
      </c>
    </row>
    <row r="8" spans="1:6" ht="25.5">
      <c r="A8" s="97" t="s">
        <v>132</v>
      </c>
      <c r="B8" s="151"/>
      <c r="C8" s="144"/>
      <c r="D8" s="144"/>
      <c r="E8" s="152"/>
      <c r="F8" s="144">
        <f t="shared" ref="F8:F20" si="0">SUM(B8:E8)</f>
        <v>0</v>
      </c>
    </row>
    <row r="9" spans="1:6">
      <c r="A9" s="55" t="s">
        <v>245</v>
      </c>
      <c r="B9" s="151"/>
      <c r="C9" s="144"/>
      <c r="D9" s="144"/>
      <c r="E9" s="152"/>
      <c r="F9" s="144">
        <f t="shared" si="0"/>
        <v>0</v>
      </c>
    </row>
    <row r="10" spans="1:6">
      <c r="A10" s="55" t="s">
        <v>1202</v>
      </c>
      <c r="B10" s="151"/>
      <c r="C10" s="144"/>
      <c r="D10" s="144"/>
      <c r="E10" s="152"/>
      <c r="F10" s="144">
        <f t="shared" si="0"/>
        <v>0</v>
      </c>
    </row>
    <row r="11" spans="1:6">
      <c r="A11" s="1320" t="s">
        <v>3730</v>
      </c>
      <c r="B11" s="151">
        <v>236700.48</v>
      </c>
      <c r="C11" s="144"/>
      <c r="D11" s="144"/>
      <c r="E11" s="152"/>
      <c r="F11" s="144">
        <f t="shared" si="0"/>
        <v>236700.48</v>
      </c>
    </row>
    <row r="12" spans="1:6">
      <c r="A12" s="55"/>
      <c r="B12" s="151"/>
      <c r="C12" s="144"/>
      <c r="D12" s="144"/>
      <c r="E12" s="152"/>
      <c r="F12" s="144">
        <f t="shared" si="0"/>
        <v>0</v>
      </c>
    </row>
    <row r="13" spans="1:6" ht="13.5" thickBot="1">
      <c r="A13" s="55"/>
      <c r="B13" s="153"/>
      <c r="C13" s="145"/>
      <c r="D13" s="145"/>
      <c r="E13" s="137"/>
      <c r="F13" s="145">
        <f t="shared" si="0"/>
        <v>0</v>
      </c>
    </row>
    <row r="14" spans="1:6" ht="13.5" thickBot="1">
      <c r="A14" s="98" t="s">
        <v>246</v>
      </c>
      <c r="B14" s="153">
        <f>SUM(B8:B13)</f>
        <v>236700.48</v>
      </c>
      <c r="C14" s="153">
        <f>SUM(C8:C13)</f>
        <v>0</v>
      </c>
      <c r="D14" s="153">
        <f>SUM(D8:D13)</f>
        <v>0</v>
      </c>
      <c r="E14" s="153">
        <f>SUM(E8:E13)</f>
        <v>0</v>
      </c>
      <c r="F14" s="149">
        <f>SUM(F8:F13)</f>
        <v>236700.48</v>
      </c>
    </row>
    <row r="15" spans="1:6" ht="25.5">
      <c r="A15" s="97" t="s">
        <v>369</v>
      </c>
      <c r="B15" s="151">
        <v>34475.99</v>
      </c>
      <c r="C15" s="144"/>
      <c r="D15" s="144"/>
      <c r="E15" s="152"/>
      <c r="F15" s="144">
        <f t="shared" si="0"/>
        <v>34475.99</v>
      </c>
    </row>
    <row r="16" spans="1:6">
      <c r="A16" s="55" t="s">
        <v>1202</v>
      </c>
      <c r="B16" s="151"/>
      <c r="C16" s="144"/>
      <c r="D16" s="144"/>
      <c r="E16" s="152"/>
      <c r="F16" s="144">
        <f t="shared" si="0"/>
        <v>0</v>
      </c>
    </row>
    <row r="17" spans="1:6">
      <c r="A17" s="55"/>
      <c r="B17" s="151"/>
      <c r="C17" s="144"/>
      <c r="D17" s="144"/>
      <c r="E17" s="152"/>
      <c r="F17" s="144">
        <f t="shared" si="0"/>
        <v>0</v>
      </c>
    </row>
    <row r="18" spans="1:6">
      <c r="A18" s="55"/>
      <c r="B18" s="151"/>
      <c r="C18" s="144"/>
      <c r="D18" s="144"/>
      <c r="E18" s="152"/>
      <c r="F18" s="144">
        <f t="shared" si="0"/>
        <v>0</v>
      </c>
    </row>
    <row r="19" spans="1:6">
      <c r="A19" s="55"/>
      <c r="B19" s="151"/>
      <c r="C19" s="144"/>
      <c r="D19" s="144"/>
      <c r="E19" s="152"/>
      <c r="F19" s="144">
        <f t="shared" si="0"/>
        <v>0</v>
      </c>
    </row>
    <row r="20" spans="1:6" ht="13.5" thickBot="1">
      <c r="A20" s="55"/>
      <c r="B20" s="153"/>
      <c r="C20" s="145"/>
      <c r="D20" s="145"/>
      <c r="E20" s="137"/>
      <c r="F20" s="145">
        <f t="shared" si="0"/>
        <v>0</v>
      </c>
    </row>
    <row r="21" spans="1:6" ht="13.5" thickBot="1">
      <c r="A21" s="98" t="s">
        <v>247</v>
      </c>
      <c r="B21" s="154">
        <f>SUM(B15:B20)</f>
        <v>34475.99</v>
      </c>
      <c r="C21" s="154">
        <f>SUM(C15:C20)</f>
        <v>0</v>
      </c>
      <c r="D21" s="154">
        <f>SUM(D15:D20)</f>
        <v>0</v>
      </c>
      <c r="E21" s="154">
        <f>SUM(E15:E20)</f>
        <v>0</v>
      </c>
      <c r="F21" s="149">
        <f>SUM(F15:F20)</f>
        <v>34475.99</v>
      </c>
    </row>
    <row r="22" spans="1:6" ht="26.25" thickBot="1">
      <c r="A22" s="97" t="s">
        <v>248</v>
      </c>
      <c r="B22" s="154">
        <f>+B7+B14-B21</f>
        <v>592752.1</v>
      </c>
      <c r="C22" s="154">
        <f>+C7+C14-C21</f>
        <v>0</v>
      </c>
      <c r="D22" s="154">
        <f>+D7+D14-D21</f>
        <v>0</v>
      </c>
      <c r="E22" s="154">
        <f>+E7+E14-E21</f>
        <v>0</v>
      </c>
      <c r="F22" s="149">
        <f>+F7+F14-F21</f>
        <v>592752.1</v>
      </c>
    </row>
    <row r="23" spans="1:6" ht="25.5">
      <c r="A23" s="97" t="s">
        <v>133</v>
      </c>
      <c r="B23" s="151"/>
      <c r="C23" s="144"/>
      <c r="D23" s="144"/>
      <c r="E23" s="152"/>
      <c r="F23" s="144">
        <f>SUM(B23:E23)</f>
        <v>0</v>
      </c>
    </row>
    <row r="24" spans="1:6">
      <c r="A24" s="55"/>
      <c r="B24" s="151"/>
      <c r="C24" s="144"/>
      <c r="D24" s="144"/>
      <c r="E24" s="152"/>
      <c r="F24" s="144">
        <f t="shared" ref="F24:F31" si="1">SUM(B24:E24)</f>
        <v>0</v>
      </c>
    </row>
    <row r="25" spans="1:6">
      <c r="A25" s="55"/>
      <c r="B25" s="151"/>
      <c r="C25" s="144"/>
      <c r="D25" s="144"/>
      <c r="E25" s="152"/>
      <c r="F25" s="144">
        <f t="shared" si="1"/>
        <v>0</v>
      </c>
    </row>
    <row r="26" spans="1:6">
      <c r="A26" s="55"/>
      <c r="B26" s="151"/>
      <c r="C26" s="144"/>
      <c r="D26" s="144"/>
      <c r="E26" s="152"/>
      <c r="F26" s="144">
        <f t="shared" si="1"/>
        <v>0</v>
      </c>
    </row>
    <row r="27" spans="1:6">
      <c r="A27" s="55"/>
      <c r="B27" s="151"/>
      <c r="C27" s="144"/>
      <c r="D27" s="144"/>
      <c r="E27" s="152"/>
      <c r="F27" s="144">
        <f t="shared" si="1"/>
        <v>0</v>
      </c>
    </row>
    <row r="28" spans="1:6">
      <c r="A28" s="55"/>
      <c r="B28" s="151"/>
      <c r="C28" s="144"/>
      <c r="D28" s="144"/>
      <c r="E28" s="152"/>
      <c r="F28" s="144">
        <f t="shared" si="1"/>
        <v>0</v>
      </c>
    </row>
    <row r="29" spans="1:6">
      <c r="A29" s="55"/>
      <c r="B29" s="151"/>
      <c r="C29" s="144"/>
      <c r="D29" s="144"/>
      <c r="E29" s="152"/>
      <c r="F29" s="144">
        <f t="shared" si="1"/>
        <v>0</v>
      </c>
    </row>
    <row r="30" spans="1:6">
      <c r="A30" s="55"/>
      <c r="B30" s="151"/>
      <c r="C30" s="144"/>
      <c r="D30" s="144"/>
      <c r="E30" s="152"/>
      <c r="F30" s="144">
        <f t="shared" si="1"/>
        <v>0</v>
      </c>
    </row>
    <row r="31" spans="1:6" ht="13.5" thickBot="1">
      <c r="A31" s="55"/>
      <c r="B31" s="153"/>
      <c r="C31" s="145"/>
      <c r="D31" s="145"/>
      <c r="E31" s="137"/>
      <c r="F31" s="145">
        <f t="shared" si="1"/>
        <v>0</v>
      </c>
    </row>
    <row r="32" spans="1:6" ht="13.5" thickBot="1">
      <c r="A32" s="98" t="s">
        <v>246</v>
      </c>
      <c r="B32" s="154">
        <f>SUM(B23:B31)</f>
        <v>0</v>
      </c>
      <c r="C32" s="154">
        <f>SUM(C23:C31)</f>
        <v>0</v>
      </c>
      <c r="D32" s="154">
        <f>SUM(D23:D31)</f>
        <v>0</v>
      </c>
      <c r="E32" s="154">
        <f>SUM(E23:E31)</f>
        <v>0</v>
      </c>
      <c r="F32" s="149">
        <f>SUM(F23:F31)</f>
        <v>0</v>
      </c>
    </row>
    <row r="33" spans="1:6" ht="26.25" thickBot="1">
      <c r="A33" s="97" t="s">
        <v>254</v>
      </c>
      <c r="B33" s="154">
        <f>+B22+B32</f>
        <v>592752.1</v>
      </c>
      <c r="C33" s="154">
        <f>+C22+C32</f>
        <v>0</v>
      </c>
      <c r="D33" s="154">
        <f>+D22+D32</f>
        <v>0</v>
      </c>
      <c r="E33" s="154">
        <f>+E22+E32</f>
        <v>0</v>
      </c>
      <c r="F33" s="149">
        <f>+F22+F32</f>
        <v>592752.1</v>
      </c>
    </row>
    <row r="34" spans="1:6" ht="38.25">
      <c r="A34" s="97" t="s">
        <v>807</v>
      </c>
      <c r="B34" s="151">
        <v>100</v>
      </c>
      <c r="C34" s="144"/>
      <c r="D34" s="144"/>
      <c r="E34" s="152"/>
      <c r="F34" s="144">
        <f>SUM(B34:E34)</f>
        <v>100</v>
      </c>
    </row>
    <row r="35" spans="1:6">
      <c r="A35" s="55"/>
      <c r="B35" s="151"/>
      <c r="C35" s="144"/>
      <c r="D35" s="144"/>
      <c r="E35" s="152"/>
      <c r="F35" s="144">
        <f>SUM(B35:E35)</f>
        <v>0</v>
      </c>
    </row>
    <row r="36" spans="1:6">
      <c r="A36" s="55"/>
      <c r="B36" s="151"/>
      <c r="C36" s="144"/>
      <c r="D36" s="144"/>
      <c r="E36" s="152"/>
      <c r="F36" s="144">
        <f t="shared" ref="F36:F41" si="2">SUM(B36:E36)</f>
        <v>0</v>
      </c>
    </row>
    <row r="37" spans="1:6">
      <c r="A37" s="55"/>
      <c r="B37" s="151"/>
      <c r="C37" s="144"/>
      <c r="D37" s="144"/>
      <c r="E37" s="152"/>
      <c r="F37" s="144">
        <f t="shared" si="2"/>
        <v>0</v>
      </c>
    </row>
    <row r="38" spans="1:6">
      <c r="A38" s="55"/>
      <c r="B38" s="151"/>
      <c r="C38" s="144"/>
      <c r="D38" s="144"/>
      <c r="E38" s="152"/>
      <c r="F38" s="144">
        <f t="shared" si="2"/>
        <v>0</v>
      </c>
    </row>
    <row r="39" spans="1:6">
      <c r="A39" s="55"/>
      <c r="B39" s="151"/>
      <c r="C39" s="144"/>
      <c r="D39" s="144"/>
      <c r="E39" s="152"/>
      <c r="F39" s="144">
        <f t="shared" si="2"/>
        <v>0</v>
      </c>
    </row>
    <row r="40" spans="1:6">
      <c r="A40" s="55"/>
      <c r="B40" s="151"/>
      <c r="C40" s="144"/>
      <c r="D40" s="144"/>
      <c r="E40" s="152"/>
      <c r="F40" s="144">
        <f t="shared" si="2"/>
        <v>0</v>
      </c>
    </row>
    <row r="41" spans="1:6" ht="13.5" thickBot="1">
      <c r="A41" s="55"/>
      <c r="B41" s="153"/>
      <c r="C41" s="145"/>
      <c r="D41" s="145"/>
      <c r="E41" s="137"/>
      <c r="F41" s="145">
        <f t="shared" si="2"/>
        <v>0</v>
      </c>
    </row>
    <row r="42" spans="1:6" ht="13.5" thickBot="1">
      <c r="A42" s="98" t="s">
        <v>246</v>
      </c>
      <c r="B42" s="153">
        <f>SUM(B34:B41)</f>
        <v>100</v>
      </c>
      <c r="C42" s="153">
        <f>SUM(C34:C41)</f>
        <v>0</v>
      </c>
      <c r="D42" s="153">
        <f>SUM(D34:D41)</f>
        <v>0</v>
      </c>
      <c r="E42" s="153">
        <f>SUM(E34:E41)</f>
        <v>0</v>
      </c>
      <c r="F42" s="149">
        <f>SUM(F34:F41)</f>
        <v>100</v>
      </c>
    </row>
    <row r="43" spans="1:6" ht="26.25" thickBot="1">
      <c r="A43" s="101" t="s">
        <v>134</v>
      </c>
      <c r="B43" s="153">
        <f>+B33+B42</f>
        <v>592852.1</v>
      </c>
      <c r="C43" s="153">
        <f>+C33+C42</f>
        <v>0</v>
      </c>
      <c r="D43" s="153">
        <f>+D33+D42</f>
        <v>0</v>
      </c>
      <c r="E43" s="153">
        <f>+E33+E42</f>
        <v>0</v>
      </c>
      <c r="F43" s="149">
        <f>+F33+F42</f>
        <v>592852.1</v>
      </c>
    </row>
    <row r="44" spans="1:6" ht="13.5" thickBot="1">
      <c r="A44" s="1744" t="s">
        <v>1958</v>
      </c>
      <c r="B44" s="1745"/>
      <c r="C44" s="1745"/>
      <c r="D44" s="1745"/>
      <c r="E44" s="1745"/>
      <c r="F44" s="1746"/>
    </row>
    <row r="45" spans="1:6">
      <c r="A45" s="723"/>
      <c r="B45" s="723"/>
      <c r="C45" s="723"/>
      <c r="D45" s="723"/>
      <c r="E45" s="723"/>
      <c r="F45" s="723"/>
    </row>
    <row r="46" spans="1:6">
      <c r="A46" s="1747" t="s">
        <v>2740</v>
      </c>
      <c r="B46" s="1747"/>
      <c r="C46" s="1747"/>
      <c r="D46" s="1747"/>
      <c r="E46" s="1747"/>
      <c r="F46" s="1747"/>
    </row>
    <row r="48" spans="1:6" ht="15.75">
      <c r="A48" s="123" t="s">
        <v>3143</v>
      </c>
      <c r="B48" s="2"/>
      <c r="C48" s="2"/>
      <c r="D48" s="2"/>
      <c r="E48" s="2"/>
      <c r="F48" s="2"/>
    </row>
  </sheetData>
  <customSheetViews>
    <customSheetView guid="{FC3B3501-CA52-40D7-B049-0E027A15B235}">
      <selection activeCell="K42" sqref="K42"/>
      <pageMargins left="0.5" right="0.5" top="0.5" bottom="0.25" header="0" footer="0"/>
      <printOptions horizontalCentered="1" gridLines="1"/>
      <pageSetup scale="95" orientation="portrait" horizontalDpi="360" verticalDpi="360" r:id="rId1"/>
      <headerFooter alignWithMargins="0"/>
    </customSheetView>
  </customSheetViews>
  <mergeCells count="2">
    <mergeCell ref="A44:F44"/>
    <mergeCell ref="A46:F46"/>
  </mergeCells>
  <phoneticPr fontId="0" type="noConversion"/>
  <printOptions horizontalCentered="1" gridLines="1"/>
  <pageMargins left="0.5" right="0.5" top="0.5" bottom="0.25" header="0" footer="0"/>
  <pageSetup scale="95"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2.75"/>
  <sheetData>
    <row r="1" spans="1:11" ht="60">
      <c r="A1" s="1432" t="s">
        <v>93</v>
      </c>
      <c r="B1" s="1433"/>
      <c r="C1" s="1433"/>
      <c r="D1" s="1433"/>
      <c r="E1" s="1433"/>
      <c r="F1" s="1433"/>
      <c r="G1" s="1433"/>
      <c r="H1" s="1433"/>
      <c r="I1" s="1433"/>
      <c r="J1" s="1433"/>
      <c r="K1" s="1433"/>
    </row>
    <row r="2" spans="1:11">
      <c r="A2" s="2"/>
      <c r="B2" s="2"/>
      <c r="C2" s="2"/>
      <c r="D2" s="2"/>
      <c r="E2" s="2"/>
      <c r="F2" s="2"/>
      <c r="G2" s="2"/>
      <c r="H2" s="2"/>
      <c r="I2" s="2"/>
      <c r="J2" s="2"/>
      <c r="K2" s="2"/>
    </row>
    <row r="3" spans="1:11">
      <c r="A3" s="2"/>
      <c r="B3" s="2"/>
      <c r="C3" s="2"/>
      <c r="D3" s="2"/>
      <c r="E3" s="2"/>
      <c r="F3" s="2"/>
      <c r="G3" s="2"/>
      <c r="H3" s="2"/>
      <c r="I3" s="2"/>
      <c r="J3" s="2"/>
      <c r="K3" s="2"/>
    </row>
    <row r="4" spans="1:11" ht="60">
      <c r="A4" s="1432" t="s">
        <v>991</v>
      </c>
      <c r="B4" s="1434"/>
      <c r="C4" s="1434"/>
      <c r="D4" s="1434"/>
      <c r="E4" s="1434"/>
      <c r="F4" s="1434"/>
      <c r="G4" s="1434"/>
      <c r="H4" s="1434"/>
      <c r="I4" s="1434"/>
      <c r="J4" s="1434"/>
      <c r="K4" s="1434"/>
    </row>
    <row r="5" spans="1:11">
      <c r="A5" s="2"/>
      <c r="B5" s="2"/>
      <c r="C5" s="2"/>
      <c r="D5" s="2"/>
      <c r="E5" s="2"/>
      <c r="F5" s="2"/>
      <c r="G5" s="2"/>
      <c r="H5" s="2"/>
      <c r="I5" s="2"/>
      <c r="J5" s="2"/>
      <c r="K5" s="2"/>
    </row>
    <row r="6" spans="1:11">
      <c r="A6" s="2"/>
      <c r="B6" s="2"/>
      <c r="C6" s="2"/>
      <c r="D6" s="2"/>
      <c r="E6" s="2"/>
      <c r="F6" s="2"/>
      <c r="G6" s="2"/>
      <c r="H6" s="2"/>
      <c r="I6" s="2"/>
      <c r="J6" s="2"/>
      <c r="K6" s="2"/>
    </row>
    <row r="7" spans="1:11">
      <c r="A7" s="2"/>
      <c r="B7" s="2"/>
      <c r="C7" s="2"/>
      <c r="D7" s="2"/>
      <c r="E7" s="2"/>
      <c r="F7" s="2"/>
      <c r="G7" s="2"/>
      <c r="H7" s="2"/>
      <c r="I7" s="2"/>
      <c r="J7" s="2"/>
      <c r="K7" s="2"/>
    </row>
    <row r="8" spans="1:11" ht="60">
      <c r="A8" s="1432" t="s">
        <v>63</v>
      </c>
      <c r="B8" s="1434"/>
      <c r="C8" s="1434"/>
      <c r="D8" s="1434"/>
      <c r="E8" s="1434"/>
      <c r="F8" s="1434"/>
      <c r="G8" s="1434"/>
      <c r="H8" s="1434"/>
      <c r="I8" s="1434"/>
      <c r="J8" s="1434"/>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2.75"/>
  <sheetData>
    <row r="2" spans="1:10" ht="60">
      <c r="A2" s="1432" t="s">
        <v>987</v>
      </c>
      <c r="B2" s="1434"/>
      <c r="C2" s="1434"/>
      <c r="D2" s="1434"/>
      <c r="E2" s="1434"/>
      <c r="F2" s="1434"/>
      <c r="G2" s="1434"/>
      <c r="H2" s="1434"/>
      <c r="I2" s="1434"/>
      <c r="J2" s="1434"/>
    </row>
    <row r="7" spans="1:10" ht="60">
      <c r="A7" s="1432" t="s">
        <v>985</v>
      </c>
      <c r="B7" s="1433"/>
      <c r="C7" s="1433"/>
      <c r="D7" s="1433"/>
      <c r="E7" s="1433"/>
      <c r="F7" s="1433"/>
      <c r="G7" s="1433"/>
      <c r="H7" s="1433"/>
      <c r="I7" s="1433"/>
      <c r="J7" s="1433"/>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topLeftCell="A16" workbookViewId="0">
      <selection activeCell="D12" sqref="D12"/>
    </sheetView>
  </sheetViews>
  <sheetFormatPr defaultRowHeight="12.75"/>
  <cols>
    <col min="1" max="2" width="15.7109375" customWidth="1"/>
  </cols>
  <sheetData>
    <row r="1" spans="1:11" ht="13.5" thickBot="1"/>
    <row r="2" spans="1:11" ht="18">
      <c r="A2" s="102" t="s">
        <v>64</v>
      </c>
      <c r="B2" s="67"/>
      <c r="C2" s="67"/>
      <c r="D2" s="67"/>
      <c r="E2" s="67"/>
      <c r="F2" s="67"/>
      <c r="G2" s="67"/>
      <c r="H2" s="67"/>
      <c r="I2" s="67"/>
      <c r="J2" s="67"/>
      <c r="K2" s="73"/>
    </row>
    <row r="3" spans="1:11" ht="13.5" thickBot="1">
      <c r="A3" s="99" t="s">
        <v>2624</v>
      </c>
      <c r="B3" s="11"/>
      <c r="C3" s="11"/>
      <c r="D3" s="11"/>
      <c r="E3" s="11"/>
      <c r="F3" s="11"/>
      <c r="G3" s="11"/>
      <c r="H3" s="11"/>
      <c r="I3" s="11"/>
      <c r="J3" s="11"/>
      <c r="K3" s="104"/>
    </row>
    <row r="4" spans="1:11" ht="20.100000000000001" customHeight="1">
      <c r="A4" s="107" t="s">
        <v>135</v>
      </c>
      <c r="B4" s="40"/>
      <c r="C4" s="40"/>
      <c r="D4" s="1318" t="s">
        <v>3726</v>
      </c>
      <c r="E4" s="61"/>
      <c r="F4" s="61"/>
      <c r="G4" s="61"/>
      <c r="H4" s="61"/>
      <c r="I4" s="61"/>
      <c r="J4" s="61"/>
      <c r="K4" s="62"/>
    </row>
    <row r="5" spans="1:11" ht="20.100000000000001" customHeight="1">
      <c r="A5" s="36" t="s">
        <v>136</v>
      </c>
      <c r="B5" s="34"/>
      <c r="C5" s="34"/>
      <c r="D5" s="166">
        <v>1946</v>
      </c>
      <c r="E5" s="52"/>
      <c r="F5" s="52"/>
      <c r="G5" s="52"/>
      <c r="H5" s="52"/>
      <c r="I5" s="52"/>
      <c r="J5" s="52"/>
      <c r="K5" s="167"/>
    </row>
    <row r="6" spans="1:11" ht="20.100000000000001" customHeight="1">
      <c r="A6" s="36" t="s">
        <v>137</v>
      </c>
      <c r="B6" s="34"/>
      <c r="C6" s="34"/>
      <c r="D6" s="1319" t="s">
        <v>3727</v>
      </c>
      <c r="E6" s="52"/>
      <c r="F6" s="52"/>
      <c r="G6" s="52"/>
      <c r="H6" s="52"/>
      <c r="I6" s="52"/>
      <c r="J6" s="52"/>
      <c r="K6" s="167"/>
    </row>
    <row r="7" spans="1:11" ht="20.100000000000001" customHeight="1">
      <c r="A7" s="36" t="s">
        <v>138</v>
      </c>
      <c r="B7" s="34"/>
      <c r="C7" s="34"/>
      <c r="D7" s="1319" t="s">
        <v>3728</v>
      </c>
      <c r="E7" s="52"/>
      <c r="F7" s="52"/>
      <c r="G7" s="52"/>
      <c r="H7" s="52"/>
      <c r="I7" s="52"/>
      <c r="J7" s="52"/>
      <c r="K7" s="167"/>
    </row>
    <row r="8" spans="1:11" ht="20.100000000000001" customHeight="1">
      <c r="A8" s="36" t="s">
        <v>139</v>
      </c>
      <c r="B8" s="34"/>
      <c r="C8" s="34"/>
      <c r="D8" s="165">
        <v>488</v>
      </c>
      <c r="E8" s="52"/>
      <c r="F8" s="52"/>
      <c r="G8" s="52"/>
      <c r="H8" s="52"/>
      <c r="I8" s="52"/>
      <c r="J8" s="52"/>
      <c r="K8" s="167"/>
    </row>
    <row r="9" spans="1:11" ht="20.100000000000001" customHeight="1">
      <c r="A9" s="36" t="s">
        <v>140</v>
      </c>
      <c r="B9" s="34"/>
      <c r="C9" s="34"/>
      <c r="D9" s="166"/>
      <c r="E9" s="52"/>
      <c r="F9" s="52"/>
      <c r="G9" s="52"/>
      <c r="H9" s="52"/>
      <c r="I9" s="52"/>
      <c r="J9" s="52"/>
      <c r="K9" s="167"/>
    </row>
    <row r="10" spans="1:11" ht="20.100000000000001" customHeight="1">
      <c r="A10" s="36" t="s">
        <v>141</v>
      </c>
      <c r="B10" s="34"/>
      <c r="C10" s="34"/>
      <c r="D10" s="166">
        <v>9.016</v>
      </c>
      <c r="E10" s="52"/>
      <c r="F10" s="52"/>
      <c r="G10" s="52"/>
      <c r="H10" s="52"/>
      <c r="I10" s="52"/>
      <c r="J10" s="52"/>
      <c r="K10" s="167"/>
    </row>
    <row r="11" spans="1:11" ht="20.100000000000001" customHeight="1">
      <c r="A11" s="36" t="s">
        <v>142</v>
      </c>
      <c r="B11" s="34"/>
      <c r="C11" s="34"/>
      <c r="D11" s="165">
        <v>452045</v>
      </c>
      <c r="E11" s="52"/>
      <c r="F11" s="52"/>
      <c r="G11" s="52"/>
      <c r="H11" s="52"/>
      <c r="I11" s="52"/>
      <c r="J11" s="52"/>
      <c r="K11" s="167"/>
    </row>
    <row r="12" spans="1:11" ht="20.100000000000001" customHeight="1">
      <c r="A12" s="36" t="s">
        <v>143</v>
      </c>
      <c r="B12" s="34"/>
      <c r="C12" s="34"/>
      <c r="D12" s="166"/>
      <c r="E12" s="52"/>
      <c r="F12" s="52"/>
      <c r="G12" s="52"/>
      <c r="H12" s="52"/>
      <c r="I12" s="52"/>
      <c r="J12" s="52"/>
      <c r="K12" s="167"/>
    </row>
    <row r="13" spans="1:11" ht="20.100000000000001" customHeight="1">
      <c r="A13" s="36" t="s">
        <v>144</v>
      </c>
      <c r="B13" s="34"/>
      <c r="C13" s="34"/>
      <c r="D13" s="166">
        <v>336</v>
      </c>
      <c r="E13" s="52"/>
      <c r="F13" s="52"/>
      <c r="G13" s="52"/>
      <c r="H13" s="52"/>
      <c r="I13" s="52"/>
      <c r="J13" s="52"/>
      <c r="K13" s="167"/>
    </row>
    <row r="14" spans="1:11" ht="20.100000000000001" customHeight="1">
      <c r="A14" s="36" t="s">
        <v>145</v>
      </c>
      <c r="B14" s="34"/>
      <c r="C14" s="34"/>
      <c r="D14" s="166"/>
      <c r="E14" s="52"/>
      <c r="F14" s="52"/>
      <c r="G14" s="52"/>
      <c r="H14" s="52"/>
      <c r="I14" s="52"/>
      <c r="J14" s="52"/>
      <c r="K14" s="167"/>
    </row>
    <row r="15" spans="1:11" ht="20.100000000000001" customHeight="1">
      <c r="A15" s="36" t="s">
        <v>146</v>
      </c>
      <c r="B15" s="34"/>
      <c r="C15" s="34"/>
      <c r="D15" s="166"/>
      <c r="E15" s="52"/>
      <c r="F15" s="52"/>
      <c r="G15" s="52"/>
      <c r="H15" s="52"/>
      <c r="I15" s="52"/>
      <c r="J15" s="52"/>
      <c r="K15" s="167"/>
    </row>
    <row r="16" spans="1:11" ht="20.100000000000001" customHeight="1">
      <c r="A16" s="36" t="s">
        <v>147</v>
      </c>
      <c r="B16" s="34"/>
      <c r="C16" s="34"/>
      <c r="D16" s="166">
        <v>383</v>
      </c>
      <c r="E16" s="52"/>
      <c r="F16" s="52"/>
      <c r="G16" s="52"/>
      <c r="H16" s="52"/>
      <c r="I16" s="52"/>
      <c r="J16" s="52"/>
      <c r="K16" s="167"/>
    </row>
    <row r="17" spans="1:11" ht="20.100000000000001" customHeight="1">
      <c r="A17" s="36" t="s">
        <v>148</v>
      </c>
      <c r="B17" s="34"/>
      <c r="C17" s="34"/>
      <c r="D17" s="166"/>
      <c r="E17" s="52"/>
      <c r="F17" s="52"/>
      <c r="G17" s="52"/>
      <c r="H17" s="52"/>
      <c r="I17" s="52"/>
      <c r="J17" s="52"/>
      <c r="K17" s="167"/>
    </row>
    <row r="18" spans="1:11" ht="20.100000000000001" customHeight="1">
      <c r="A18" s="57" t="s">
        <v>149</v>
      </c>
      <c r="B18" s="32"/>
      <c r="C18" s="32"/>
      <c r="D18" s="168">
        <v>4</v>
      </c>
      <c r="E18" s="169"/>
      <c r="F18" s="169"/>
      <c r="G18" s="169"/>
      <c r="H18" s="169"/>
      <c r="I18" s="169"/>
      <c r="J18" s="169"/>
      <c r="K18" s="164"/>
    </row>
    <row r="19" spans="1:11" ht="18">
      <c r="A19" s="79" t="s">
        <v>150</v>
      </c>
      <c r="B19" s="13"/>
      <c r="C19" s="13"/>
      <c r="D19" s="13"/>
      <c r="E19" s="13"/>
      <c r="F19" s="13"/>
      <c r="G19" s="13"/>
      <c r="H19" s="13"/>
      <c r="I19" s="13"/>
      <c r="J19" s="13"/>
      <c r="K19" s="103"/>
    </row>
    <row r="20" spans="1:11" ht="13.5" thickBot="1">
      <c r="A20" s="99" t="s">
        <v>151</v>
      </c>
      <c r="B20" s="11"/>
      <c r="C20" s="11"/>
      <c r="D20" s="11"/>
      <c r="E20" s="11"/>
      <c r="F20" s="11"/>
      <c r="G20" s="11"/>
      <c r="H20" s="11"/>
      <c r="I20" s="11"/>
      <c r="J20" s="11"/>
      <c r="K20" s="104"/>
    </row>
    <row r="21" spans="1:11">
      <c r="A21" s="56" t="s">
        <v>1080</v>
      </c>
      <c r="B21" s="13"/>
      <c r="C21" s="13"/>
      <c r="D21" s="13"/>
      <c r="E21" s="13"/>
      <c r="F21" s="13"/>
      <c r="G21" s="13"/>
      <c r="H21" s="71" t="s">
        <v>1081</v>
      </c>
      <c r="I21" s="46"/>
      <c r="J21" s="46"/>
      <c r="K21" s="58"/>
    </row>
    <row r="22" spans="1:11" ht="13.5" thickBot="1">
      <c r="A22" s="105"/>
      <c r="B22" s="11"/>
      <c r="C22" s="11"/>
      <c r="D22" s="11"/>
      <c r="E22" s="11"/>
      <c r="F22" s="11"/>
      <c r="G22" s="11"/>
      <c r="H22" s="99"/>
      <c r="I22" s="14"/>
      <c r="J22" s="14"/>
      <c r="K22" s="106"/>
    </row>
    <row r="23" spans="1:11" ht="15.95" customHeight="1">
      <c r="A23" s="185" t="s">
        <v>93</v>
      </c>
      <c r="B23" s="186"/>
      <c r="C23" s="186"/>
      <c r="D23" s="186"/>
      <c r="E23" s="186"/>
      <c r="F23" s="186"/>
      <c r="G23" s="186"/>
      <c r="H23" s="170">
        <v>119.34</v>
      </c>
      <c r="I23" s="171"/>
      <c r="J23" s="171"/>
      <c r="K23" s="172"/>
    </row>
    <row r="24" spans="1:11" ht="15.95" customHeight="1">
      <c r="A24" s="187" t="s">
        <v>3729</v>
      </c>
      <c r="B24" s="188"/>
      <c r="C24" s="188"/>
      <c r="D24" s="188"/>
      <c r="E24" s="188"/>
      <c r="F24" s="188"/>
      <c r="G24" s="188"/>
      <c r="H24" s="173">
        <v>15</v>
      </c>
      <c r="I24" s="174"/>
      <c r="J24" s="174"/>
      <c r="K24" s="175"/>
    </row>
    <row r="25" spans="1:11" ht="15.95" customHeight="1">
      <c r="A25" s="187" t="s">
        <v>3688</v>
      </c>
      <c r="B25" s="188"/>
      <c r="C25" s="188"/>
      <c r="D25" s="188"/>
      <c r="E25" s="188"/>
      <c r="F25" s="188"/>
      <c r="G25" s="188"/>
      <c r="H25" s="173">
        <v>10</v>
      </c>
      <c r="I25" s="174"/>
      <c r="J25" s="174"/>
      <c r="K25" s="175"/>
    </row>
    <row r="26" spans="1:11" ht="15.95" customHeight="1">
      <c r="A26" s="187"/>
      <c r="B26" s="188"/>
      <c r="C26" s="188"/>
      <c r="D26" s="188"/>
      <c r="E26" s="188"/>
      <c r="F26" s="188"/>
      <c r="G26" s="188"/>
      <c r="H26" s="173"/>
      <c r="I26" s="174"/>
      <c r="J26" s="174"/>
      <c r="K26" s="175"/>
    </row>
    <row r="27" spans="1:11" ht="15.95" customHeight="1">
      <c r="A27" s="187"/>
      <c r="B27" s="188"/>
      <c r="C27" s="188"/>
      <c r="D27" s="188"/>
      <c r="E27" s="188"/>
      <c r="F27" s="188"/>
      <c r="G27" s="188"/>
      <c r="H27" s="173"/>
      <c r="I27" s="174"/>
      <c r="J27" s="174"/>
      <c r="K27" s="175"/>
    </row>
    <row r="28" spans="1:11" ht="15.95" customHeight="1">
      <c r="A28" s="187"/>
      <c r="B28" s="188"/>
      <c r="C28" s="188"/>
      <c r="D28" s="188"/>
      <c r="E28" s="188"/>
      <c r="F28" s="188"/>
      <c r="G28" s="188"/>
      <c r="H28" s="173"/>
      <c r="I28" s="174"/>
      <c r="J28" s="174"/>
      <c r="K28" s="175"/>
    </row>
    <row r="29" spans="1:11" ht="15.95" customHeight="1">
      <c r="A29" s="187"/>
      <c r="B29" s="188"/>
      <c r="C29" s="188"/>
      <c r="D29" s="188"/>
      <c r="E29" s="188"/>
      <c r="F29" s="188"/>
      <c r="G29" s="188"/>
      <c r="H29" s="173"/>
      <c r="I29" s="174"/>
      <c r="J29" s="174"/>
      <c r="K29" s="175"/>
    </row>
    <row r="30" spans="1:11" ht="15.95" customHeight="1">
      <c r="A30" s="187"/>
      <c r="B30" s="188"/>
      <c r="C30" s="188"/>
      <c r="D30" s="188"/>
      <c r="E30" s="188"/>
      <c r="F30" s="188"/>
      <c r="G30" s="188"/>
      <c r="H30" s="173"/>
      <c r="I30" s="174"/>
      <c r="J30" s="174"/>
      <c r="K30" s="175"/>
    </row>
    <row r="31" spans="1:11" ht="15.95" customHeight="1">
      <c r="A31" s="187"/>
      <c r="B31" s="188"/>
      <c r="C31" s="188"/>
      <c r="D31" s="188"/>
      <c r="E31" s="188"/>
      <c r="F31" s="188"/>
      <c r="G31" s="188"/>
      <c r="H31" s="173"/>
      <c r="I31" s="174"/>
      <c r="J31" s="174"/>
      <c r="K31" s="175"/>
    </row>
    <row r="32" spans="1:11" ht="15.95" customHeight="1">
      <c r="A32" s="187"/>
      <c r="B32" s="188"/>
      <c r="C32" s="188"/>
      <c r="D32" s="188"/>
      <c r="E32" s="188"/>
      <c r="F32" s="188"/>
      <c r="G32" s="188"/>
      <c r="H32" s="173"/>
      <c r="I32" s="174"/>
      <c r="J32" s="174"/>
      <c r="K32" s="175"/>
    </row>
    <row r="33" spans="1:11" ht="15.95" customHeight="1">
      <c r="A33" s="187"/>
      <c r="B33" s="188"/>
      <c r="C33" s="188"/>
      <c r="D33" s="188"/>
      <c r="E33" s="188"/>
      <c r="F33" s="188"/>
      <c r="G33" s="188"/>
      <c r="H33" s="173"/>
      <c r="I33" s="174"/>
      <c r="J33" s="174"/>
      <c r="K33" s="175"/>
    </row>
    <row r="34" spans="1:11" ht="15.95" customHeight="1">
      <c r="A34" s="187"/>
      <c r="B34" s="188"/>
      <c r="C34" s="188"/>
      <c r="D34" s="188"/>
      <c r="E34" s="188"/>
      <c r="F34" s="188"/>
      <c r="G34" s="188"/>
      <c r="H34" s="173"/>
      <c r="I34" s="174"/>
      <c r="J34" s="174"/>
      <c r="K34" s="175"/>
    </row>
    <row r="35" spans="1:11" ht="15.95" customHeight="1">
      <c r="A35" s="187"/>
      <c r="B35" s="188"/>
      <c r="C35" s="188"/>
      <c r="D35" s="188"/>
      <c r="E35" s="188"/>
      <c r="F35" s="188"/>
      <c r="G35" s="188"/>
      <c r="H35" s="173"/>
      <c r="I35" s="174"/>
      <c r="J35" s="174"/>
      <c r="K35" s="175"/>
    </row>
    <row r="36" spans="1:11" ht="15.95" customHeight="1">
      <c r="A36" s="187"/>
      <c r="B36" s="188"/>
      <c r="C36" s="188"/>
      <c r="D36" s="188"/>
      <c r="E36" s="188"/>
      <c r="F36" s="188"/>
      <c r="G36" s="188"/>
      <c r="H36" s="173"/>
      <c r="I36" s="174"/>
      <c r="J36" s="174"/>
      <c r="K36" s="175"/>
    </row>
    <row r="37" spans="1:11" ht="15.95" customHeight="1">
      <c r="A37" s="187"/>
      <c r="B37" s="188"/>
      <c r="C37" s="188"/>
      <c r="D37" s="188"/>
      <c r="E37" s="188"/>
      <c r="F37" s="188"/>
      <c r="G37" s="188"/>
      <c r="H37" s="173"/>
      <c r="I37" s="174"/>
      <c r="J37" s="174"/>
      <c r="K37" s="175"/>
    </row>
    <row r="38" spans="1:11" ht="15.95" customHeight="1">
      <c r="A38" s="187"/>
      <c r="B38" s="188"/>
      <c r="C38" s="188"/>
      <c r="D38" s="188"/>
      <c r="E38" s="188"/>
      <c r="F38" s="188"/>
      <c r="G38" s="188"/>
      <c r="H38" s="173"/>
      <c r="I38" s="174"/>
      <c r="J38" s="174"/>
      <c r="K38" s="175"/>
    </row>
    <row r="39" spans="1:11" ht="15.95" customHeight="1">
      <c r="A39" s="187"/>
      <c r="B39" s="188"/>
      <c r="C39" s="188"/>
      <c r="D39" s="188"/>
      <c r="E39" s="188"/>
      <c r="F39" s="188"/>
      <c r="G39" s="188"/>
      <c r="H39" s="173"/>
      <c r="I39" s="174"/>
      <c r="J39" s="174"/>
      <c r="K39" s="175"/>
    </row>
    <row r="40" spans="1:11" ht="15.95" customHeight="1">
      <c r="A40" s="187"/>
      <c r="B40" s="188"/>
      <c r="C40" s="188"/>
      <c r="D40" s="188"/>
      <c r="E40" s="188"/>
      <c r="F40" s="188"/>
      <c r="G40" s="188"/>
      <c r="H40" s="173"/>
      <c r="I40" s="174"/>
      <c r="J40" s="174"/>
      <c r="K40" s="175"/>
    </row>
    <row r="41" spans="1:11" ht="15.95" customHeight="1">
      <c r="A41" s="187"/>
      <c r="B41" s="188"/>
      <c r="C41" s="188"/>
      <c r="D41" s="188"/>
      <c r="E41" s="188"/>
      <c r="F41" s="188"/>
      <c r="G41" s="188"/>
      <c r="H41" s="173"/>
      <c r="I41" s="174"/>
      <c r="J41" s="174"/>
      <c r="K41" s="175"/>
    </row>
    <row r="42" spans="1:11" ht="15.95" customHeight="1">
      <c r="A42" s="187"/>
      <c r="B42" s="188"/>
      <c r="C42" s="188"/>
      <c r="D42" s="188"/>
      <c r="E42" s="188"/>
      <c r="F42" s="188"/>
      <c r="G42" s="188"/>
      <c r="H42" s="173"/>
      <c r="I42" s="174"/>
      <c r="J42" s="174"/>
      <c r="K42" s="175"/>
    </row>
    <row r="43" spans="1:11" ht="15.95" customHeight="1" thickBot="1">
      <c r="A43" s="189"/>
      <c r="B43" s="190"/>
      <c r="C43" s="190"/>
      <c r="D43" s="190"/>
      <c r="E43" s="190"/>
      <c r="F43" s="190"/>
      <c r="G43" s="190"/>
      <c r="H43" s="176"/>
      <c r="I43" s="177"/>
      <c r="J43" s="177"/>
      <c r="K43" s="178"/>
    </row>
    <row r="44" spans="1:11" ht="15.95" customHeight="1">
      <c r="A44" s="35"/>
      <c r="B44" s="29"/>
      <c r="C44" s="29"/>
      <c r="D44" s="29"/>
      <c r="E44" s="29"/>
      <c r="F44" s="29"/>
      <c r="G44" s="29"/>
      <c r="H44" s="179"/>
      <c r="I44" s="180"/>
      <c r="J44" s="180"/>
      <c r="K44" s="181"/>
    </row>
    <row r="45" spans="1:11" ht="15.95" customHeight="1">
      <c r="A45" s="55"/>
      <c r="B45" s="29"/>
      <c r="C45" s="83" t="s">
        <v>1082</v>
      </c>
      <c r="D45" s="29"/>
      <c r="E45" s="29"/>
      <c r="F45" s="29"/>
      <c r="G45" s="29"/>
      <c r="H45" s="179">
        <f>SUM(H23:H43)</f>
        <v>144.34</v>
      </c>
      <c r="I45" s="180"/>
      <c r="J45" s="180"/>
      <c r="K45" s="181"/>
    </row>
    <row r="46" spans="1:11" ht="15.95" customHeight="1" thickBot="1">
      <c r="A46" s="37"/>
      <c r="B46" s="1"/>
      <c r="C46" s="1"/>
      <c r="D46" s="1"/>
      <c r="E46" s="1"/>
      <c r="F46" s="1"/>
      <c r="G46" s="1"/>
      <c r="H46" s="182"/>
      <c r="I46" s="183"/>
      <c r="J46" s="183"/>
      <c r="K46" s="184"/>
    </row>
    <row r="48" spans="1:11" ht="15.75">
      <c r="A48" s="123" t="s">
        <v>3144</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8" tint="0.39997558519241921"/>
  </sheetPr>
  <dimension ref="A12:F18"/>
  <sheetViews>
    <sheetView workbookViewId="0">
      <selection activeCell="D22" sqref="D22"/>
    </sheetView>
  </sheetViews>
  <sheetFormatPr defaultRowHeight="12.75"/>
  <sheetData>
    <row r="12" spans="1:6" ht="90">
      <c r="A12" s="675" t="s">
        <v>1959</v>
      </c>
      <c r="E12" s="657"/>
    </row>
    <row r="13" spans="1:6" ht="90">
      <c r="A13" s="675" t="s">
        <v>1911</v>
      </c>
      <c r="E13" s="674"/>
    </row>
    <row r="15" spans="1:6">
      <c r="A15" s="787"/>
    </row>
    <row r="16" spans="1:6" ht="33">
      <c r="F16" s="658"/>
    </row>
    <row r="17" spans="1:1">
      <c r="A17" s="787" t="s">
        <v>2638</v>
      </c>
    </row>
    <row r="18" spans="1:1">
      <c r="A18" s="787" t="s">
        <v>3056</v>
      </c>
    </row>
  </sheetData>
  <customSheetViews>
    <customSheetView guid="{FC3B3501-CA52-40D7-B049-0E027A15B235}">
      <selection activeCell="A18" sqref="A18"/>
      <pageMargins left="0.7" right="0.7" top="0.75" bottom="0.75" header="0.3" footer="0.3"/>
      <pageSetup orientation="portrait" r:id="rId1"/>
    </customSheetView>
  </customSheetViews>
  <pageMargins left="0.7" right="0.7" top="0.75" bottom="0.75" header="0.3" footer="0.3"/>
  <pageSetup orientation="portrait"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71"/>
  <sheetViews>
    <sheetView zoomScaleNormal="100" workbookViewId="0">
      <pane xSplit="3" ySplit="8" topLeftCell="D53" activePane="bottomRight" state="frozen"/>
      <selection activeCell="A53" sqref="A53:K53"/>
      <selection pane="topRight" activeCell="A53" sqref="A53:K53"/>
      <selection pane="bottomLeft" activeCell="A53" sqref="A53:K53"/>
      <selection pane="bottomRight" activeCell="E51" sqref="E51"/>
    </sheetView>
  </sheetViews>
  <sheetFormatPr defaultColWidth="8.85546875" defaultRowHeight="12.75"/>
  <cols>
    <col min="1" max="1" width="10.7109375" style="261" customWidth="1"/>
    <col min="2" max="2" width="44.28515625" style="261" customWidth="1"/>
    <col min="3" max="3" width="18.42578125" style="261" customWidth="1"/>
    <col min="4" max="4" width="14.5703125" style="261" customWidth="1"/>
    <col min="5" max="13" width="16.7109375" style="261" customWidth="1"/>
    <col min="14" max="16384" width="8.85546875" style="261"/>
  </cols>
  <sheetData>
    <row r="1" spans="1:13" ht="18">
      <c r="A1" s="259" t="str">
        <f>+'GW-STATEMENT NET POSITION(13)'!A1</f>
        <v>TOWN OF BROADUS</v>
      </c>
      <c r="B1" s="276"/>
      <c r="C1" s="276"/>
      <c r="D1" s="276"/>
      <c r="E1" s="276"/>
      <c r="F1" s="276"/>
      <c r="G1" s="276"/>
      <c r="H1" s="276"/>
      <c r="I1" s="276"/>
      <c r="J1" s="276"/>
      <c r="K1" s="276"/>
      <c r="L1" s="276"/>
      <c r="M1" s="276"/>
    </row>
    <row r="2" spans="1:13" ht="18">
      <c r="A2" s="259" t="s">
        <v>809</v>
      </c>
      <c r="B2" s="276"/>
      <c r="C2" s="276"/>
      <c r="D2" s="276"/>
      <c r="E2" s="276"/>
      <c r="F2" s="276"/>
      <c r="G2" s="276"/>
      <c r="H2" s="276"/>
      <c r="I2" s="276"/>
      <c r="J2" s="276"/>
      <c r="K2" s="276"/>
      <c r="L2" s="276"/>
      <c r="M2" s="276"/>
    </row>
    <row r="3" spans="1:13" ht="18">
      <c r="A3" s="259" t="s">
        <v>1818</v>
      </c>
      <c r="B3" s="276"/>
      <c r="C3" s="276"/>
      <c r="D3" s="276"/>
      <c r="E3" s="276"/>
      <c r="F3" s="276"/>
      <c r="G3" s="276"/>
      <c r="H3" s="276"/>
      <c r="I3" s="276"/>
      <c r="J3" s="276"/>
      <c r="K3" s="276"/>
      <c r="L3" s="276"/>
      <c r="M3" s="276"/>
    </row>
    <row r="4" spans="1:13" ht="18">
      <c r="A4" s="259" t="str">
        <f>+'GW-STATEMENT OF ACTIVITIES(14)'!B3</f>
        <v>FISCAL YEAR ENDING JUNE 30, 2017</v>
      </c>
      <c r="B4" s="276"/>
      <c r="C4" s="276"/>
      <c r="D4" s="276"/>
      <c r="E4" s="276"/>
      <c r="F4" s="276"/>
      <c r="G4" s="276"/>
      <c r="H4" s="276"/>
      <c r="I4" s="276"/>
      <c r="J4" s="276"/>
      <c r="K4" s="276"/>
      <c r="L4" s="276"/>
      <c r="M4" s="276"/>
    </row>
    <row r="5" spans="1:13" ht="6.75" customHeight="1">
      <c r="A5" s="276"/>
      <c r="B5" s="276"/>
      <c r="C5" s="276"/>
      <c r="D5" s="276"/>
      <c r="E5" s="276"/>
      <c r="F5" s="276"/>
      <c r="G5" s="276"/>
      <c r="H5" s="276"/>
      <c r="I5" s="276"/>
      <c r="J5" s="276"/>
      <c r="K5" s="276"/>
      <c r="L5" s="276"/>
      <c r="M5" s="276"/>
    </row>
    <row r="6" spans="1:13" ht="9" customHeight="1"/>
    <row r="7" spans="1:13" ht="165" customHeight="1">
      <c r="C7" s="453" t="s">
        <v>810</v>
      </c>
      <c r="D7" s="1113" t="s">
        <v>3527</v>
      </c>
      <c r="E7" s="1025" t="s">
        <v>3528</v>
      </c>
      <c r="F7" s="453" t="s">
        <v>1178</v>
      </c>
      <c r="G7" s="453" t="s">
        <v>3492</v>
      </c>
      <c r="H7" s="453" t="s">
        <v>1179</v>
      </c>
      <c r="I7" s="453" t="s">
        <v>777</v>
      </c>
      <c r="J7" s="453" t="s">
        <v>253</v>
      </c>
      <c r="K7" s="453" t="s">
        <v>1817</v>
      </c>
      <c r="L7" s="453" t="s">
        <v>642</v>
      </c>
      <c r="M7" s="453" t="s">
        <v>778</v>
      </c>
    </row>
    <row r="8" spans="1:13">
      <c r="B8" s="336" t="s">
        <v>1060</v>
      </c>
      <c r="C8" s="302"/>
      <c r="D8" s="302"/>
      <c r="E8" s="302"/>
      <c r="F8" s="302"/>
      <c r="G8" s="302"/>
      <c r="H8" s="302"/>
      <c r="I8" s="302"/>
      <c r="J8" s="302"/>
      <c r="K8" s="302"/>
      <c r="L8" s="302"/>
      <c r="M8" s="327"/>
    </row>
    <row r="9" spans="1:13">
      <c r="A9" s="261">
        <v>101000</v>
      </c>
      <c r="B9" s="261" t="s">
        <v>1061</v>
      </c>
      <c r="C9" s="327">
        <f>+'GOVERNMENTAL FUNDS - BS(15)'!M11</f>
        <v>223287.40999999997</v>
      </c>
      <c r="D9" s="661"/>
      <c r="E9" s="454"/>
      <c r="F9" s="454"/>
      <c r="G9" s="454"/>
      <c r="H9" s="454"/>
      <c r="I9" s="454"/>
      <c r="J9" s="454"/>
      <c r="K9" s="302"/>
      <c r="L9" s="302"/>
      <c r="M9" s="327">
        <f>SUM(C9:L9)</f>
        <v>223287.40999999997</v>
      </c>
    </row>
    <row r="10" spans="1:13">
      <c r="A10" s="261">
        <v>103000</v>
      </c>
      <c r="B10" s="261" t="s">
        <v>1205</v>
      </c>
      <c r="C10" s="327">
        <f>+'GOVERNMENTAL FUNDS - BS(15)'!M12</f>
        <v>100</v>
      </c>
      <c r="D10" s="661"/>
      <c r="E10" s="454"/>
      <c r="F10" s="454"/>
      <c r="G10" s="454"/>
      <c r="H10" s="454"/>
      <c r="I10" s="454"/>
      <c r="J10" s="454"/>
      <c r="K10" s="302"/>
      <c r="L10" s="302"/>
      <c r="M10" s="327">
        <f>SUM(C10:L10)</f>
        <v>100</v>
      </c>
    </row>
    <row r="11" spans="1:13">
      <c r="A11" s="261">
        <v>101100</v>
      </c>
      <c r="B11" s="261" t="s">
        <v>1062</v>
      </c>
      <c r="C11" s="327">
        <f>+'GOVERNMENTAL FUNDS - BS(15)'!M13</f>
        <v>0</v>
      </c>
      <c r="D11" s="661"/>
      <c r="E11" s="454"/>
      <c r="F11" s="454"/>
      <c r="G11" s="454"/>
      <c r="H11" s="454"/>
      <c r="I11" s="454"/>
      <c r="J11" s="454"/>
      <c r="K11" s="302"/>
      <c r="L11" s="302"/>
      <c r="M11" s="327">
        <f>SUM(C11:L11)</f>
        <v>0</v>
      </c>
    </row>
    <row r="12" spans="1:13">
      <c r="B12" s="336" t="s">
        <v>1066</v>
      </c>
      <c r="C12" s="327"/>
      <c r="D12" s="661"/>
      <c r="E12" s="454"/>
      <c r="F12" s="454"/>
      <c r="G12" s="454"/>
      <c r="H12" s="454"/>
      <c r="I12" s="454"/>
      <c r="J12" s="454"/>
      <c r="K12" s="302"/>
      <c r="L12" s="302"/>
      <c r="M12" s="327"/>
    </row>
    <row r="13" spans="1:13">
      <c r="A13" s="261">
        <v>102200</v>
      </c>
      <c r="B13" s="261" t="s">
        <v>1206</v>
      </c>
      <c r="C13" s="327">
        <f>+'GOVERNMENTAL FUNDS - BS(15)'!M15</f>
        <v>0</v>
      </c>
      <c r="D13" s="661"/>
      <c r="E13" s="454"/>
      <c r="F13" s="454"/>
      <c r="G13" s="454"/>
      <c r="H13" s="454"/>
      <c r="I13" s="454"/>
      <c r="J13" s="454"/>
      <c r="K13" s="302"/>
      <c r="L13" s="302"/>
      <c r="M13" s="327">
        <f t="shared" ref="M13:M24" si="0">SUM(C13:L13)</f>
        <v>0</v>
      </c>
    </row>
    <row r="14" spans="1:13">
      <c r="A14" s="261">
        <v>102300</v>
      </c>
      <c r="B14" s="261" t="s">
        <v>1207</v>
      </c>
      <c r="C14" s="327">
        <f>+'GOVERNMENTAL FUNDS - BS(15)'!M16</f>
        <v>0</v>
      </c>
      <c r="D14" s="661"/>
      <c r="E14" s="454"/>
      <c r="F14" s="454"/>
      <c r="G14" s="454"/>
      <c r="H14" s="454"/>
      <c r="I14" s="454"/>
      <c r="J14" s="454"/>
      <c r="K14" s="302"/>
      <c r="L14" s="302"/>
      <c r="M14" s="327">
        <f t="shared" si="0"/>
        <v>0</v>
      </c>
    </row>
    <row r="15" spans="1:13">
      <c r="A15" s="261">
        <v>106000</v>
      </c>
      <c r="B15" s="392" t="s">
        <v>1020</v>
      </c>
      <c r="C15" s="327">
        <f>+'GOVERNMENTAL FUNDS - BS(15)'!M17</f>
        <v>0</v>
      </c>
      <c r="D15" s="661"/>
      <c r="E15" s="454"/>
      <c r="F15" s="454"/>
      <c r="G15" s="454"/>
      <c r="H15" s="454"/>
      <c r="I15" s="454"/>
      <c r="J15" s="454"/>
      <c r="K15" s="302"/>
      <c r="L15" s="302"/>
      <c r="M15" s="327">
        <f t="shared" si="0"/>
        <v>0</v>
      </c>
    </row>
    <row r="16" spans="1:13" ht="25.5">
      <c r="A16" s="261">
        <v>110000</v>
      </c>
      <c r="B16" s="455" t="s">
        <v>1208</v>
      </c>
      <c r="C16" s="327">
        <f>+'GOVERNMENTAL FUNDS - BS(15)'!M18</f>
        <v>11819.19</v>
      </c>
      <c r="D16" s="661"/>
      <c r="E16" s="454"/>
      <c r="F16" s="454"/>
      <c r="G16" s="454"/>
      <c r="H16" s="454"/>
      <c r="I16" s="454"/>
      <c r="J16" s="454"/>
      <c r="K16" s="302"/>
      <c r="L16" s="302"/>
      <c r="M16" s="327">
        <f t="shared" si="0"/>
        <v>11819.19</v>
      </c>
    </row>
    <row r="17" spans="1:13" ht="25.5" customHeight="1">
      <c r="A17" s="261">
        <v>120000</v>
      </c>
      <c r="B17" s="456" t="s">
        <v>665</v>
      </c>
      <c r="C17" s="327">
        <f>+'GOVERNMENTAL FUNDS - BS(15)'!M19</f>
        <v>0</v>
      </c>
      <c r="D17" s="661"/>
      <c r="E17" s="454"/>
      <c r="F17" s="454"/>
      <c r="G17" s="454"/>
      <c r="H17" s="454"/>
      <c r="I17" s="454"/>
      <c r="J17" s="454"/>
      <c r="K17" s="302"/>
      <c r="L17" s="302"/>
      <c r="M17" s="327">
        <f t="shared" si="0"/>
        <v>0</v>
      </c>
    </row>
    <row r="18" spans="1:13">
      <c r="A18" s="261">
        <v>131000</v>
      </c>
      <c r="B18" s="261" t="s">
        <v>249</v>
      </c>
      <c r="C18" s="327">
        <f>+'GOVERNMENTAL FUNDS - BS(15)'!M20</f>
        <v>0</v>
      </c>
      <c r="D18" s="661"/>
      <c r="E18" s="454"/>
      <c r="F18" s="454"/>
      <c r="G18" s="454"/>
      <c r="H18" s="454"/>
      <c r="I18" s="454"/>
      <c r="J18" s="457"/>
      <c r="K18" s="302"/>
      <c r="L18" s="302"/>
      <c r="M18" s="327">
        <f t="shared" si="0"/>
        <v>0</v>
      </c>
    </row>
    <row r="19" spans="1:13">
      <c r="A19" s="261">
        <v>132000</v>
      </c>
      <c r="B19" s="261" t="s">
        <v>250</v>
      </c>
      <c r="C19" s="327">
        <f>+'GOVERNMENTAL FUNDS - BS(15)'!M21</f>
        <v>0</v>
      </c>
      <c r="D19" s="661"/>
      <c r="E19" s="454"/>
      <c r="F19" s="454"/>
      <c r="G19" s="454"/>
      <c r="H19" s="454"/>
      <c r="I19" s="454"/>
      <c r="J19" s="454"/>
      <c r="K19" s="302"/>
      <c r="L19" s="302"/>
      <c r="M19" s="327">
        <f t="shared" si="0"/>
        <v>0</v>
      </c>
    </row>
    <row r="20" spans="1:13">
      <c r="A20" s="261">
        <v>133000</v>
      </c>
      <c r="B20" s="261" t="s">
        <v>1209</v>
      </c>
      <c r="C20" s="327">
        <f>+'GOVERNMENTAL FUNDS - BS(15)'!M22</f>
        <v>0</v>
      </c>
      <c r="D20" s="661"/>
      <c r="E20" s="454"/>
      <c r="F20" s="454"/>
      <c r="G20" s="454"/>
      <c r="H20" s="454"/>
      <c r="I20" s="454"/>
      <c r="J20" s="457"/>
      <c r="K20" s="302"/>
      <c r="L20" s="302"/>
      <c r="M20" s="327">
        <f t="shared" si="0"/>
        <v>0</v>
      </c>
    </row>
    <row r="21" spans="1:13">
      <c r="A21" s="261">
        <v>140000</v>
      </c>
      <c r="B21" s="261" t="s">
        <v>1064</v>
      </c>
      <c r="C21" s="327">
        <f>+'GOVERNMENTAL FUNDS - BS(15)'!M23</f>
        <v>0</v>
      </c>
      <c r="D21" s="661"/>
      <c r="E21" s="454"/>
      <c r="F21" s="454"/>
      <c r="G21" s="454"/>
      <c r="H21" s="454"/>
      <c r="I21" s="454"/>
      <c r="J21" s="454"/>
      <c r="K21" s="302"/>
      <c r="L21" s="302"/>
      <c r="M21" s="327">
        <f t="shared" si="0"/>
        <v>0</v>
      </c>
    </row>
    <row r="22" spans="1:13">
      <c r="A22" s="261">
        <v>150000</v>
      </c>
      <c r="B22" s="261" t="s">
        <v>1065</v>
      </c>
      <c r="C22" s="327">
        <f>+'GOVERNMENTAL FUNDS - BS(15)'!M24</f>
        <v>0</v>
      </c>
      <c r="D22" s="661"/>
      <c r="E22" s="454"/>
      <c r="F22" s="454"/>
      <c r="G22" s="454"/>
      <c r="H22" s="454"/>
      <c r="I22" s="454"/>
      <c r="J22" s="454"/>
      <c r="K22" s="302"/>
      <c r="L22" s="302"/>
      <c r="M22" s="327">
        <f t="shared" si="0"/>
        <v>0</v>
      </c>
    </row>
    <row r="23" spans="1:13">
      <c r="A23" s="261">
        <v>170000</v>
      </c>
      <c r="B23" s="261" t="s">
        <v>180</v>
      </c>
      <c r="C23" s="327">
        <f>+'GOVERNMENTAL FUNDS - BS(15)'!M25</f>
        <v>0</v>
      </c>
      <c r="D23" s="661"/>
      <c r="E23" s="454"/>
      <c r="F23" s="454"/>
      <c r="G23" s="454"/>
      <c r="H23" s="454"/>
      <c r="I23" s="454"/>
      <c r="J23" s="454"/>
      <c r="K23" s="302"/>
      <c r="L23" s="302"/>
      <c r="M23" s="327">
        <f t="shared" si="0"/>
        <v>0</v>
      </c>
    </row>
    <row r="24" spans="1:13">
      <c r="A24" s="261">
        <v>180000</v>
      </c>
      <c r="B24" s="261" t="s">
        <v>1560</v>
      </c>
      <c r="C24" s="327"/>
      <c r="D24" s="661"/>
      <c r="E24" s="454"/>
      <c r="F24" s="454"/>
      <c r="G24" s="454"/>
      <c r="H24" s="327">
        <f>+'GOV CAP ASSETS-9000(GCAAG)'!H11+'GOV CAP ASSETS-9000(GCAAG)'!H12+'GOV CAP ASSETS-9000(GCAAG)'!H13+'GOV CAP ASSETS-9000(GCAAG)'!H19+'GOV CAP ASSETS-9000(GCAAG)'!H22+'GOV CAP ASSETS-9000(GCAAG)'!H25+'GOV CAP ASSETS-9000(GCAAG)'!H16</f>
        <v>549926.65</v>
      </c>
      <c r="I24" s="327">
        <f>+'GOV CAP ASSETS-9000(GCAAG)'!H14+'GOV CAP ASSETS-9000(GCAAG)'!H20+'GOV CAP ASSETS-9000(GCAAG)'!H23+'GOV CAP ASSETS-9000(GCAAG)'!H26+'GOV CAP ASSETS-9000(GCAAG)'!H17</f>
        <v>-381229.93999999994</v>
      </c>
      <c r="J24" s="454"/>
      <c r="K24" s="302"/>
      <c r="L24" s="302"/>
      <c r="M24" s="327">
        <f t="shared" si="0"/>
        <v>168696.71000000008</v>
      </c>
    </row>
    <row r="25" spans="1:13" ht="13.5" thickBot="1">
      <c r="A25" s="308"/>
      <c r="B25" s="308"/>
      <c r="C25" s="459"/>
      <c r="D25" s="459"/>
      <c r="E25" s="459"/>
      <c r="F25" s="459"/>
      <c r="G25" s="459"/>
      <c r="H25" s="459"/>
      <c r="I25" s="459"/>
      <c r="J25" s="459"/>
      <c r="K25" s="459"/>
      <c r="L25" s="459"/>
      <c r="M25" s="459"/>
    </row>
    <row r="26" spans="1:13">
      <c r="B26" s="336" t="s">
        <v>1069</v>
      </c>
      <c r="C26" s="327">
        <f t="shared" ref="C26:M26" si="1">SUM(C8:C25)</f>
        <v>235206.59999999998</v>
      </c>
      <c r="D26" s="327"/>
      <c r="E26" s="327">
        <f t="shared" si="1"/>
        <v>0</v>
      </c>
      <c r="F26" s="327">
        <f t="shared" si="1"/>
        <v>0</v>
      </c>
      <c r="G26" s="327">
        <f t="shared" si="1"/>
        <v>0</v>
      </c>
      <c r="H26" s="327">
        <f t="shared" si="1"/>
        <v>549926.65</v>
      </c>
      <c r="I26" s="327">
        <f t="shared" si="1"/>
        <v>-381229.93999999994</v>
      </c>
      <c r="J26" s="327">
        <f t="shared" si="1"/>
        <v>0</v>
      </c>
      <c r="K26" s="327">
        <f t="shared" si="1"/>
        <v>0</v>
      </c>
      <c r="L26" s="327">
        <f t="shared" si="1"/>
        <v>0</v>
      </c>
      <c r="M26" s="327">
        <f t="shared" si="1"/>
        <v>403903.31000000006</v>
      </c>
    </row>
    <row r="27" spans="1:13">
      <c r="B27" s="336"/>
      <c r="C27" s="327"/>
      <c r="D27" s="327"/>
      <c r="E27" s="327"/>
      <c r="F27" s="327"/>
      <c r="G27" s="327"/>
      <c r="H27" s="327"/>
      <c r="I27" s="327"/>
      <c r="J27" s="327"/>
      <c r="K27" s="327"/>
      <c r="L27" s="327"/>
      <c r="M27" s="327"/>
    </row>
    <row r="28" spans="1:13">
      <c r="A28" s="261">
        <v>190000</v>
      </c>
      <c r="B28" s="392" t="s">
        <v>3493</v>
      </c>
      <c r="C28" s="327">
        <f>'GOVERNMENTAL FUNDS - BS(15)'!M29</f>
        <v>0</v>
      </c>
      <c r="D28" s="1024">
        <v>1518.63</v>
      </c>
      <c r="E28" s="1024">
        <v>23882.92</v>
      </c>
      <c r="F28" s="327"/>
      <c r="G28" s="327"/>
      <c r="H28" s="327"/>
      <c r="I28" s="327"/>
      <c r="J28" s="327"/>
      <c r="K28" s="302"/>
      <c r="L28" s="302"/>
      <c r="M28" s="327">
        <f t="shared" ref="M28:M29" si="2">SUM(C28:L28)</f>
        <v>25401.55</v>
      </c>
    </row>
    <row r="29" spans="1:13" ht="13.5" thickBot="1">
      <c r="A29" s="575" t="s">
        <v>1915</v>
      </c>
      <c r="B29" s="392" t="s">
        <v>1914</v>
      </c>
      <c r="C29" s="459">
        <f>'GOVERNMENTAL FUNDS - BS(15)'!M30</f>
        <v>0</v>
      </c>
      <c r="D29" s="459"/>
      <c r="E29" s="459"/>
      <c r="F29" s="459"/>
      <c r="G29" s="459"/>
      <c r="H29" s="459"/>
      <c r="I29" s="459"/>
      <c r="J29" s="459"/>
      <c r="K29" s="458"/>
      <c r="L29" s="458"/>
      <c r="M29" s="459">
        <f t="shared" si="2"/>
        <v>0</v>
      </c>
    </row>
    <row r="30" spans="1:13">
      <c r="B30" s="336" t="s">
        <v>1905</v>
      </c>
      <c r="C30" s="327">
        <f>SUM(C28:C29)</f>
        <v>0</v>
      </c>
      <c r="D30" s="327"/>
      <c r="E30" s="327">
        <f>SUM(E28:E29)</f>
        <v>23882.92</v>
      </c>
      <c r="F30" s="327">
        <f t="shared" ref="F30:L30" si="3">SUM(F28:F29)</f>
        <v>0</v>
      </c>
      <c r="G30" s="327">
        <f t="shared" si="3"/>
        <v>0</v>
      </c>
      <c r="H30" s="327">
        <f t="shared" si="3"/>
        <v>0</v>
      </c>
      <c r="I30" s="327">
        <f t="shared" si="3"/>
        <v>0</v>
      </c>
      <c r="J30" s="327">
        <f t="shared" si="3"/>
        <v>0</v>
      </c>
      <c r="K30" s="327">
        <f t="shared" si="3"/>
        <v>0</v>
      </c>
      <c r="L30" s="327">
        <f t="shared" si="3"/>
        <v>0</v>
      </c>
      <c r="M30" s="327">
        <f>SUM(M28:M29)</f>
        <v>25401.55</v>
      </c>
    </row>
    <row r="31" spans="1:13">
      <c r="A31" s="308"/>
      <c r="B31" s="308"/>
      <c r="C31" s="327"/>
      <c r="D31" s="327"/>
      <c r="E31" s="327"/>
      <c r="F31" s="327"/>
      <c r="G31" s="327"/>
      <c r="H31" s="327"/>
      <c r="I31" s="327"/>
      <c r="J31" s="327"/>
      <c r="K31" s="327"/>
      <c r="L31" s="327"/>
      <c r="M31" s="327"/>
    </row>
    <row r="32" spans="1:13">
      <c r="A32" s="308"/>
      <c r="B32" s="546" t="s">
        <v>1210</v>
      </c>
      <c r="C32" s="327"/>
      <c r="D32" s="327"/>
      <c r="E32" s="327"/>
      <c r="F32" s="327"/>
      <c r="G32" s="327"/>
      <c r="H32" s="327"/>
      <c r="I32" s="327"/>
      <c r="J32" s="327"/>
      <c r="K32" s="327"/>
      <c r="L32" s="327"/>
      <c r="M32" s="327"/>
    </row>
    <row r="33" spans="1:13">
      <c r="A33" s="308"/>
      <c r="B33" s="546" t="s">
        <v>1211</v>
      </c>
      <c r="C33" s="327"/>
      <c r="D33" s="327"/>
      <c r="E33" s="327"/>
      <c r="F33" s="327"/>
      <c r="G33" s="327"/>
      <c r="H33" s="327"/>
      <c r="I33" s="327"/>
      <c r="J33" s="327"/>
      <c r="K33" s="327"/>
      <c r="L33" s="327"/>
      <c r="M33" s="327"/>
    </row>
    <row r="34" spans="1:13">
      <c r="A34" s="261">
        <v>201000</v>
      </c>
      <c r="B34" s="392" t="s">
        <v>997</v>
      </c>
      <c r="C34" s="327">
        <f>+'GOVERNMENTAL FUNDS - BS(15)'!M34</f>
        <v>0</v>
      </c>
      <c r="D34" s="327"/>
      <c r="E34" s="302"/>
      <c r="F34" s="302"/>
      <c r="G34" s="302"/>
      <c r="H34" s="302"/>
      <c r="I34" s="302"/>
      <c r="J34" s="302"/>
      <c r="K34" s="302"/>
      <c r="L34" s="302"/>
      <c r="M34" s="327">
        <f t="shared" ref="M34:M46" si="4">SUM(C34:L34)</f>
        <v>0</v>
      </c>
    </row>
    <row r="35" spans="1:13">
      <c r="A35" s="261">
        <v>202100</v>
      </c>
      <c r="B35" s="261" t="s">
        <v>1212</v>
      </c>
      <c r="C35" s="327">
        <f>+'GOVERNMENTAL FUNDS - BS(15)'!M35</f>
        <v>0</v>
      </c>
      <c r="D35" s="661"/>
      <c r="E35" s="454"/>
      <c r="F35" s="454"/>
      <c r="G35" s="454"/>
      <c r="H35" s="454"/>
      <c r="I35" s="454"/>
      <c r="J35" s="454"/>
      <c r="K35" s="302"/>
      <c r="L35" s="302"/>
      <c r="M35" s="327">
        <f t="shared" si="4"/>
        <v>0</v>
      </c>
    </row>
    <row r="36" spans="1:13">
      <c r="A36" s="261">
        <v>204000</v>
      </c>
      <c r="B36" s="261" t="s">
        <v>22</v>
      </c>
      <c r="C36" s="327">
        <f>+'GOVERNMENTAL FUNDS - BS(15)'!M37</f>
        <v>0</v>
      </c>
      <c r="D36" s="661"/>
      <c r="E36" s="454"/>
      <c r="F36" s="454"/>
      <c r="G36" s="454"/>
      <c r="H36" s="454"/>
      <c r="I36" s="454"/>
      <c r="J36" s="454"/>
      <c r="K36" s="302"/>
      <c r="L36" s="302"/>
      <c r="M36" s="327">
        <f t="shared" si="4"/>
        <v>0</v>
      </c>
    </row>
    <row r="37" spans="1:13">
      <c r="A37" s="261">
        <v>211000</v>
      </c>
      <c r="B37" s="261" t="s">
        <v>252</v>
      </c>
      <c r="C37" s="327">
        <f>+'GOVERNMENTAL FUNDS - BS(15)'!M40</f>
        <v>0</v>
      </c>
      <c r="D37" s="661"/>
      <c r="E37" s="454"/>
      <c r="F37" s="454"/>
      <c r="G37" s="454"/>
      <c r="H37" s="454"/>
      <c r="I37" s="454"/>
      <c r="J37" s="457"/>
      <c r="K37" s="302"/>
      <c r="L37" s="302"/>
      <c r="M37" s="327">
        <f t="shared" si="4"/>
        <v>0</v>
      </c>
    </row>
    <row r="38" spans="1:13">
      <c r="A38" s="261">
        <v>212000</v>
      </c>
      <c r="B38" s="261" t="s">
        <v>251</v>
      </c>
      <c r="C38" s="327">
        <f>+'GOVERNMENTAL FUNDS - BS(15)'!M41</f>
        <v>0</v>
      </c>
      <c r="D38" s="661"/>
      <c r="E38" s="454"/>
      <c r="F38" s="454"/>
      <c r="G38" s="454"/>
      <c r="H38" s="454"/>
      <c r="I38" s="454"/>
      <c r="J38" s="454"/>
      <c r="K38" s="302"/>
      <c r="L38" s="302"/>
      <c r="M38" s="327">
        <f t="shared" si="4"/>
        <v>0</v>
      </c>
    </row>
    <row r="39" spans="1:13">
      <c r="A39" s="261">
        <v>216000</v>
      </c>
      <c r="B39" s="392" t="s">
        <v>2034</v>
      </c>
      <c r="C39" s="327">
        <f>'GOVERNMENTAL FUNDS - BS(15)'!M43</f>
        <v>0</v>
      </c>
      <c r="D39" s="661"/>
      <c r="E39" s="454"/>
      <c r="F39" s="454"/>
      <c r="G39" s="454"/>
      <c r="H39" s="454"/>
      <c r="I39" s="454"/>
      <c r="J39" s="454"/>
      <c r="K39" s="302"/>
      <c r="L39" s="302"/>
      <c r="M39" s="327">
        <f t="shared" si="4"/>
        <v>0</v>
      </c>
    </row>
    <row r="40" spans="1:13">
      <c r="A40" s="261">
        <v>205200</v>
      </c>
      <c r="B40" s="261" t="s">
        <v>1213</v>
      </c>
      <c r="C40" s="327">
        <f>+'GOVERNMENTAL FUNDS - BS(15)'!M38</f>
        <v>0</v>
      </c>
      <c r="D40" s="661"/>
      <c r="E40" s="454"/>
      <c r="F40" s="454"/>
      <c r="G40" s="454"/>
      <c r="H40" s="454"/>
      <c r="I40" s="454"/>
      <c r="J40" s="454"/>
      <c r="K40" s="302"/>
      <c r="L40" s="302"/>
      <c r="M40" s="327">
        <f t="shared" si="4"/>
        <v>0</v>
      </c>
    </row>
    <row r="41" spans="1:13">
      <c r="A41" s="261">
        <v>206100</v>
      </c>
      <c r="B41" s="261" t="s">
        <v>267</v>
      </c>
      <c r="C41" s="327">
        <f>+'GOVERNMENTAL FUNDS - BS(15)'!M39+'GOVERNMENTAL FUNDS - BS(15)'!M42+'GOVERNMENTAL FUNDS - BS(15)'!M36</f>
        <v>-122.75999999999999</v>
      </c>
      <c r="D41" s="661"/>
      <c r="E41" s="454"/>
      <c r="F41" s="454"/>
      <c r="G41" s="454"/>
      <c r="H41" s="454"/>
      <c r="I41" s="454"/>
      <c r="J41" s="454"/>
      <c r="K41" s="302"/>
      <c r="L41" s="302"/>
      <c r="M41" s="327">
        <f t="shared" si="4"/>
        <v>-122.75999999999999</v>
      </c>
    </row>
    <row r="42" spans="1:13">
      <c r="A42" s="261">
        <v>233000</v>
      </c>
      <c r="B42" s="261" t="s">
        <v>181</v>
      </c>
      <c r="C42" s="327">
        <f>+'GOVERNMENTAL FUNDS - BS(15)'!M44</f>
        <v>0</v>
      </c>
      <c r="D42" s="661"/>
      <c r="E42" s="454"/>
      <c r="F42" s="454"/>
      <c r="G42" s="454"/>
      <c r="H42" s="454"/>
      <c r="I42" s="454"/>
      <c r="J42" s="457"/>
      <c r="K42" s="302"/>
      <c r="L42" s="302"/>
      <c r="M42" s="327">
        <f t="shared" si="4"/>
        <v>0</v>
      </c>
    </row>
    <row r="43" spans="1:13">
      <c r="B43" s="261" t="s">
        <v>1072</v>
      </c>
      <c r="C43" s="327"/>
      <c r="D43" s="661"/>
      <c r="E43" s="462"/>
      <c r="F43" s="462"/>
      <c r="G43" s="462"/>
      <c r="H43" s="462"/>
      <c r="I43" s="462"/>
      <c r="J43" s="462"/>
      <c r="K43" s="302"/>
      <c r="L43" s="302"/>
      <c r="M43" s="327"/>
    </row>
    <row r="44" spans="1:13">
      <c r="B44" s="261" t="s">
        <v>651</v>
      </c>
      <c r="C44" s="327"/>
      <c r="D44" s="661"/>
      <c r="E44" s="454"/>
      <c r="F44" s="454"/>
      <c r="G44" s="454"/>
      <c r="H44" s="454"/>
      <c r="I44" s="454"/>
      <c r="J44" s="454"/>
      <c r="K44" s="302"/>
      <c r="L44" s="302"/>
      <c r="M44" s="327">
        <f t="shared" si="4"/>
        <v>0</v>
      </c>
    </row>
    <row r="45" spans="1:13">
      <c r="B45" s="261" t="s">
        <v>1073</v>
      </c>
      <c r="C45" s="327"/>
      <c r="D45" s="661"/>
      <c r="E45" s="454"/>
      <c r="F45" s="327">
        <f>+'GOV DEBT-9500(GLTDAG)'!F42-'GOV DEBT-9500(GLTDAG)'!F40-'GOV DEBT-9500(GLTDAG)'!F39-'GOV DEBT-9500(GLTDAG)'!F38</f>
        <v>13854.339999999997</v>
      </c>
      <c r="G45" s="327">
        <f>+'GOV DEBT-9500(GLTDAG)'!F40+'GOV DEBT-9500(GLTDAG)'!F39</f>
        <v>2843.53</v>
      </c>
      <c r="H45" s="454"/>
      <c r="I45" s="454"/>
      <c r="J45" s="454"/>
      <c r="K45" s="302"/>
      <c r="L45" s="302"/>
      <c r="M45" s="327">
        <f t="shared" si="4"/>
        <v>16697.869999999995</v>
      </c>
    </row>
    <row r="46" spans="1:13" ht="13.5" thickBot="1">
      <c r="A46" s="308">
        <v>237000</v>
      </c>
      <c r="B46" s="392" t="s">
        <v>3479</v>
      </c>
      <c r="C46" s="459"/>
      <c r="D46" s="459"/>
      <c r="E46" s="459"/>
      <c r="F46" s="459"/>
      <c r="G46" s="459">
        <f>'GOV DEBT-9500(GLTDAG)'!F38</f>
        <v>137899.75</v>
      </c>
      <c r="H46" s="459"/>
      <c r="I46" s="459"/>
      <c r="J46" s="459"/>
      <c r="K46" s="459"/>
      <c r="L46" s="459"/>
      <c r="M46" s="459">
        <f t="shared" si="4"/>
        <v>137899.75</v>
      </c>
    </row>
    <row r="47" spans="1:13">
      <c r="B47" s="336" t="s">
        <v>1074</v>
      </c>
      <c r="C47" s="327">
        <f t="shared" ref="C47:M47" si="5">SUM(C33:C46)</f>
        <v>-122.75999999999999</v>
      </c>
      <c r="D47" s="327"/>
      <c r="E47" s="327">
        <f t="shared" si="5"/>
        <v>0</v>
      </c>
      <c r="F47" s="327">
        <f t="shared" si="5"/>
        <v>13854.339999999997</v>
      </c>
      <c r="G47" s="327">
        <f t="shared" si="5"/>
        <v>140743.28</v>
      </c>
      <c r="H47" s="327">
        <f t="shared" si="5"/>
        <v>0</v>
      </c>
      <c r="I47" s="327">
        <f t="shared" si="5"/>
        <v>0</v>
      </c>
      <c r="J47" s="327">
        <f t="shared" si="5"/>
        <v>0</v>
      </c>
      <c r="K47" s="327">
        <f t="shared" si="5"/>
        <v>0</v>
      </c>
      <c r="L47" s="327">
        <f t="shared" si="5"/>
        <v>0</v>
      </c>
      <c r="M47" s="327">
        <f t="shared" si="5"/>
        <v>154474.85999999999</v>
      </c>
    </row>
    <row r="48" spans="1:13">
      <c r="B48" s="336"/>
      <c r="C48" s="327"/>
      <c r="D48" s="327"/>
      <c r="E48" s="327"/>
      <c r="F48" s="327"/>
      <c r="G48" s="327"/>
      <c r="H48" s="327"/>
      <c r="I48" s="327"/>
      <c r="J48" s="327"/>
      <c r="K48" s="327"/>
      <c r="L48" s="327"/>
      <c r="M48" s="327"/>
    </row>
    <row r="49" spans="1:13">
      <c r="A49" s="261">
        <v>220000</v>
      </c>
      <c r="B49" s="392" t="s">
        <v>3494</v>
      </c>
      <c r="C49" s="327">
        <f>'GOVERNMENTAL FUNDS - BS(15)'!M48</f>
        <v>0</v>
      </c>
      <c r="D49" s="1024">
        <v>12252.93</v>
      </c>
      <c r="E49" s="1024">
        <v>-11796.46</v>
      </c>
      <c r="F49" s="661"/>
      <c r="G49" s="661"/>
      <c r="H49" s="661"/>
      <c r="I49" s="661"/>
      <c r="J49" s="661"/>
      <c r="K49" s="302"/>
      <c r="L49" s="302"/>
      <c r="M49" s="327">
        <f t="shared" ref="M49:M50" si="6">SUM(C49:L49)</f>
        <v>456.47000000000116</v>
      </c>
    </row>
    <row r="50" spans="1:13" ht="13.5" thickBot="1">
      <c r="A50" s="261">
        <v>223000</v>
      </c>
      <c r="B50" s="392" t="s">
        <v>1916</v>
      </c>
      <c r="C50" s="459">
        <f>'GOVERNMENTAL FUNDS - BS(15)'!M49</f>
        <v>11819.210000000001</v>
      </c>
      <c r="D50" s="459"/>
      <c r="E50" s="842">
        <v>-11819.21</v>
      </c>
      <c r="F50" s="660"/>
      <c r="G50" s="660"/>
      <c r="H50" s="660"/>
      <c r="I50" s="660"/>
      <c r="J50" s="660"/>
      <c r="K50" s="458"/>
      <c r="L50" s="458"/>
      <c r="M50" s="459">
        <f t="shared" si="6"/>
        <v>0</v>
      </c>
    </row>
    <row r="51" spans="1:13">
      <c r="B51" s="336"/>
      <c r="C51" s="327">
        <f>SUM(C49:C50)</f>
        <v>11819.210000000001</v>
      </c>
      <c r="D51" s="327"/>
      <c r="E51" s="327">
        <f>SUM(E49:E50)</f>
        <v>-23615.67</v>
      </c>
      <c r="F51" s="327">
        <f t="shared" ref="F51:L51" si="7">SUM(F49:F50)</f>
        <v>0</v>
      </c>
      <c r="G51" s="327">
        <f t="shared" si="7"/>
        <v>0</v>
      </c>
      <c r="H51" s="327">
        <f t="shared" si="7"/>
        <v>0</v>
      </c>
      <c r="I51" s="327">
        <f t="shared" si="7"/>
        <v>0</v>
      </c>
      <c r="J51" s="327">
        <f t="shared" si="7"/>
        <v>0</v>
      </c>
      <c r="K51" s="327">
        <f t="shared" si="7"/>
        <v>0</v>
      </c>
      <c r="L51" s="327">
        <f t="shared" si="7"/>
        <v>0</v>
      </c>
      <c r="M51" s="327">
        <f>SUM(M49:M50)</f>
        <v>456.47000000000116</v>
      </c>
    </row>
    <row r="52" spans="1:13">
      <c r="C52" s="327"/>
      <c r="D52" s="327"/>
      <c r="E52" s="302"/>
      <c r="F52" s="302"/>
      <c r="G52" s="302"/>
      <c r="H52" s="302"/>
      <c r="I52" s="302"/>
      <c r="J52" s="302"/>
      <c r="K52" s="302"/>
      <c r="L52" s="302"/>
      <c r="M52" s="327"/>
    </row>
    <row r="53" spans="1:13">
      <c r="B53" s="336" t="s">
        <v>1816</v>
      </c>
      <c r="C53" s="327"/>
      <c r="D53" s="327"/>
      <c r="E53" s="302"/>
      <c r="F53" s="302"/>
      <c r="G53" s="302"/>
      <c r="H53" s="302"/>
      <c r="I53" s="302"/>
      <c r="J53" s="302"/>
      <c r="K53" s="302"/>
      <c r="L53" s="302"/>
      <c r="M53" s="327"/>
    </row>
    <row r="54" spans="1:13">
      <c r="B54" s="392" t="s">
        <v>1859</v>
      </c>
      <c r="C54" s="327"/>
      <c r="D54" s="661"/>
      <c r="E54" s="454"/>
      <c r="F54" s="327">
        <f>-F45</f>
        <v>-13854.339999999997</v>
      </c>
      <c r="G54" s="462"/>
      <c r="H54" s="327">
        <f>+H24</f>
        <v>549926.65</v>
      </c>
      <c r="I54" s="327">
        <f>+I24</f>
        <v>-381229.93999999994</v>
      </c>
      <c r="J54" s="454"/>
      <c r="K54" s="302"/>
      <c r="L54" s="302"/>
      <c r="M54" s="327">
        <f>SUM(C54:L54)</f>
        <v>154842.37000000011</v>
      </c>
    </row>
    <row r="55" spans="1:13">
      <c r="B55" s="308"/>
      <c r="C55" s="327"/>
      <c r="D55" s="661"/>
      <c r="E55" s="462"/>
      <c r="F55" s="462"/>
      <c r="G55" s="462"/>
      <c r="H55" s="462"/>
      <c r="I55" s="462"/>
      <c r="J55" s="462"/>
      <c r="K55" s="302"/>
      <c r="L55" s="302"/>
      <c r="M55" s="327"/>
    </row>
    <row r="56" spans="1:13">
      <c r="B56" s="308"/>
      <c r="C56" s="327"/>
      <c r="D56" s="661"/>
      <c r="E56" s="462"/>
      <c r="F56" s="462"/>
      <c r="G56" s="462"/>
      <c r="H56" s="462"/>
      <c r="I56" s="462"/>
      <c r="J56" s="462"/>
      <c r="K56" s="302"/>
      <c r="L56" s="302"/>
      <c r="M56" s="327"/>
    </row>
    <row r="57" spans="1:13">
      <c r="B57" s="546" t="s">
        <v>779</v>
      </c>
      <c r="C57" s="327"/>
      <c r="D57" s="661"/>
      <c r="E57" s="462"/>
      <c r="F57" s="462"/>
      <c r="G57" s="462"/>
      <c r="H57" s="462"/>
      <c r="I57" s="462"/>
      <c r="J57" s="462"/>
      <c r="K57" s="302"/>
      <c r="L57" s="302"/>
      <c r="M57" s="327"/>
    </row>
    <row r="58" spans="1:13">
      <c r="A58" s="575">
        <v>250100</v>
      </c>
      <c r="B58" s="392" t="s">
        <v>1639</v>
      </c>
      <c r="C58" s="327">
        <f>'GOVERNMENTAL FUNDS - BS(15)'!M53+'GOVERNMENTAL FUNDS - BS(15)'!M54</f>
        <v>0</v>
      </c>
      <c r="D58" s="661"/>
      <c r="E58" s="454"/>
      <c r="F58" s="454"/>
      <c r="G58" s="454"/>
      <c r="H58" s="454"/>
      <c r="I58" s="454"/>
      <c r="J58" s="454"/>
      <c r="K58" s="302"/>
      <c r="L58" s="302"/>
      <c r="M58" s="327">
        <f>SUM(C58:L58)</f>
        <v>0</v>
      </c>
    </row>
    <row r="59" spans="1:13">
      <c r="A59" s="261">
        <v>250200</v>
      </c>
      <c r="B59" s="392" t="s">
        <v>1640</v>
      </c>
      <c r="C59" s="327">
        <f>'GOVERNMENTAL FUNDS - BS(15)'!M55+'GOVERNMENTAL FUNDS - BS(15)'!M56+'GOVERNMENTAL FUNDS - BS(15)'!M58+'GOVERNMENTAL FUNDS - BS(15)'!M59+'GOVERNMENTAL FUNDS - BS(15)'!M60+'GOVERNMENTAL FUNDS - BS(15)'!M57</f>
        <v>0</v>
      </c>
      <c r="D59" s="661"/>
      <c r="E59" s="457"/>
      <c r="F59" s="454"/>
      <c r="G59" s="454"/>
      <c r="H59" s="454"/>
      <c r="I59" s="454"/>
      <c r="J59" s="454"/>
      <c r="K59" s="302"/>
      <c r="L59" s="302"/>
      <c r="M59" s="327">
        <f>SUM(C59:L59)</f>
        <v>0</v>
      </c>
    </row>
    <row r="60" spans="1:13">
      <c r="B60" s="392"/>
      <c r="C60" s="327"/>
      <c r="D60" s="661"/>
      <c r="E60" s="454"/>
      <c r="F60" s="454"/>
      <c r="G60" s="454"/>
      <c r="H60" s="454"/>
      <c r="I60" s="454"/>
      <c r="J60" s="454"/>
      <c r="K60" s="302"/>
      <c r="L60" s="302"/>
      <c r="M60" s="327">
        <f>SUM(C60:L60)</f>
        <v>0</v>
      </c>
    </row>
    <row r="61" spans="1:13">
      <c r="B61" s="392"/>
      <c r="C61" s="327"/>
      <c r="D61" s="661"/>
      <c r="E61" s="454"/>
      <c r="F61" s="454"/>
      <c r="G61" s="454"/>
      <c r="H61" s="454"/>
      <c r="I61" s="454"/>
      <c r="J61" s="454"/>
      <c r="K61" s="302"/>
      <c r="L61" s="302"/>
      <c r="M61" s="327">
        <f>SUM(C61:L61)</f>
        <v>0</v>
      </c>
    </row>
    <row r="62" spans="1:13">
      <c r="B62" s="546"/>
      <c r="C62" s="327"/>
      <c r="D62" s="661"/>
      <c r="E62" s="462"/>
      <c r="F62" s="462"/>
      <c r="G62" s="462"/>
      <c r="H62" s="462"/>
      <c r="I62" s="462"/>
      <c r="J62" s="462"/>
      <c r="K62" s="302"/>
      <c r="L62" s="302"/>
      <c r="M62" s="327"/>
    </row>
    <row r="63" spans="1:13">
      <c r="A63" s="578" t="s">
        <v>1718</v>
      </c>
      <c r="B63" s="546" t="s">
        <v>1637</v>
      </c>
      <c r="C63" s="327"/>
      <c r="D63" s="661"/>
      <c r="E63" s="454"/>
      <c r="F63" s="454"/>
      <c r="G63" s="454"/>
      <c r="H63" s="454"/>
      <c r="I63" s="454"/>
      <c r="J63" s="454"/>
      <c r="K63" s="302"/>
      <c r="L63" s="302"/>
      <c r="M63" s="327">
        <f>SUM(C63:L63)</f>
        <v>0</v>
      </c>
    </row>
    <row r="64" spans="1:13">
      <c r="A64" s="261">
        <v>271000</v>
      </c>
      <c r="B64" s="392" t="s">
        <v>1638</v>
      </c>
      <c r="C64" s="327">
        <f>'GOVERNMENTAL FUNDS - BS(15)'!M61+'GOVERNMENTAL FUNDS - BS(15)'!M62+'GOVERNMENTAL FUNDS - BS(15)'!M63+'GOVERNMENTAL FUNDS - BS(15)'!M64+'GOVERNMENTAL FUNDS - BS(15)'!M65+'GOVERNMENTAL FUNDS - BS(15)'!M66+'GOVERNMENTAL FUNDS - BS(15)'!M67+'GOVERNMENTAL FUNDS - BS(15)'!M68+'GOVERNMENTAL FUNDS - BS(15)'!M69+'GOVERNMENTAL FUNDS - BS(15)'!M70+'GOVERNMENTAL FUNDS - BS(15)'!M71</f>
        <v>223510.15</v>
      </c>
      <c r="D64" s="327">
        <f>D28-D49</f>
        <v>-10734.3</v>
      </c>
      <c r="E64" s="327">
        <f>-E51+E30</f>
        <v>47498.59</v>
      </c>
      <c r="F64" s="462"/>
      <c r="G64" s="327">
        <f>-G45-G46</f>
        <v>-140743.28</v>
      </c>
      <c r="H64" s="454"/>
      <c r="I64" s="454"/>
      <c r="J64" s="454"/>
      <c r="K64" s="302"/>
      <c r="L64" s="302"/>
      <c r="M64" s="327">
        <f>SUM(C64:L64)</f>
        <v>119531.16</v>
      </c>
    </row>
    <row r="65" spans="1:13">
      <c r="C65" s="327"/>
      <c r="D65" s="661"/>
      <c r="E65" s="454"/>
      <c r="F65" s="454"/>
      <c r="G65" s="454"/>
      <c r="H65" s="454"/>
      <c r="I65" s="454"/>
      <c r="J65" s="454"/>
      <c r="K65" s="302"/>
      <c r="L65" s="302"/>
      <c r="M65" s="327">
        <f>SUM(C65:L65)</f>
        <v>0</v>
      </c>
    </row>
    <row r="66" spans="1:13">
      <c r="C66" s="327"/>
      <c r="D66" s="661"/>
      <c r="E66" s="454"/>
      <c r="F66" s="454"/>
      <c r="G66" s="454"/>
      <c r="H66" s="454"/>
      <c r="I66" s="454"/>
      <c r="J66" s="454"/>
      <c r="K66" s="302"/>
      <c r="L66" s="302"/>
      <c r="M66" s="327">
        <f>SUM(C66:L66)</f>
        <v>0</v>
      </c>
    </row>
    <row r="67" spans="1:13" ht="13.5" thickBot="1">
      <c r="A67" s="308"/>
      <c r="B67" s="308"/>
      <c r="C67" s="459"/>
      <c r="D67" s="459"/>
      <c r="E67" s="459"/>
      <c r="F67" s="459"/>
      <c r="G67" s="459"/>
      <c r="H67" s="459"/>
      <c r="I67" s="459"/>
      <c r="J67" s="459"/>
      <c r="K67" s="458"/>
      <c r="L67" s="458"/>
      <c r="M67" s="459"/>
    </row>
    <row r="68" spans="1:13" ht="13.5" thickBot="1">
      <c r="B68" s="336" t="s">
        <v>1214</v>
      </c>
      <c r="C68" s="460">
        <f>SUM(C53:C67)</f>
        <v>223510.15</v>
      </c>
      <c r="D68" s="460">
        <f>D64</f>
        <v>-10734.3</v>
      </c>
      <c r="E68" s="460">
        <f t="shared" ref="E68:M68" si="8">SUM(E53:E67)</f>
        <v>47498.59</v>
      </c>
      <c r="F68" s="460">
        <f t="shared" si="8"/>
        <v>-13854.339999999997</v>
      </c>
      <c r="G68" s="460">
        <f t="shared" si="8"/>
        <v>-140743.28</v>
      </c>
      <c r="H68" s="460">
        <f t="shared" si="8"/>
        <v>549926.65</v>
      </c>
      <c r="I68" s="460">
        <f t="shared" si="8"/>
        <v>-381229.93999999994</v>
      </c>
      <c r="J68" s="460">
        <f t="shared" si="8"/>
        <v>0</v>
      </c>
      <c r="K68" s="460">
        <f t="shared" si="8"/>
        <v>0</v>
      </c>
      <c r="L68" s="460">
        <f t="shared" si="8"/>
        <v>0</v>
      </c>
      <c r="M68" s="460">
        <f t="shared" si="8"/>
        <v>274373.53000000014</v>
      </c>
    </row>
    <row r="69" spans="1:13" ht="27.75" customHeight="1" thickBot="1">
      <c r="A69" s="455"/>
      <c r="B69" s="469" t="s">
        <v>1917</v>
      </c>
      <c r="C69" s="461">
        <f t="shared" ref="C69:M69" si="9">+C47+C68+C51</f>
        <v>235206.59999999998</v>
      </c>
      <c r="D69" s="461">
        <f>D68</f>
        <v>-10734.3</v>
      </c>
      <c r="E69" s="461">
        <f t="shared" si="9"/>
        <v>23882.92</v>
      </c>
      <c r="F69" s="461">
        <f t="shared" si="9"/>
        <v>0</v>
      </c>
      <c r="G69" s="461">
        <f t="shared" si="9"/>
        <v>0</v>
      </c>
      <c r="H69" s="461">
        <f t="shared" si="9"/>
        <v>549926.65</v>
      </c>
      <c r="I69" s="461">
        <f t="shared" si="9"/>
        <v>-381229.93999999994</v>
      </c>
      <c r="J69" s="461">
        <f t="shared" si="9"/>
        <v>0</v>
      </c>
      <c r="K69" s="461">
        <f t="shared" si="9"/>
        <v>0</v>
      </c>
      <c r="L69" s="461">
        <f t="shared" si="9"/>
        <v>0</v>
      </c>
      <c r="M69" s="461">
        <f t="shared" si="9"/>
        <v>429304.8600000001</v>
      </c>
    </row>
    <row r="70" spans="1:13" ht="13.5" thickTop="1"/>
    <row r="71" spans="1:13">
      <c r="M71" s="302"/>
    </row>
  </sheetData>
  <sheetProtection sheet="1" scenarios="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5" footer="0.5"/>
  <pageSetup scale="54" orientation="landscape"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64"/>
  <sheetViews>
    <sheetView zoomScale="80" zoomScaleNormal="80" workbookViewId="0">
      <pane xSplit="2" ySplit="9" topLeftCell="C43" activePane="bottomRight" state="frozen"/>
      <selection activeCell="A53" sqref="A53:K53"/>
      <selection pane="topRight" activeCell="A53" sqref="A53:K53"/>
      <selection pane="bottomLeft" activeCell="A53" sqref="A53:K53"/>
      <selection pane="bottomRight" activeCell="D54" sqref="D54"/>
    </sheetView>
  </sheetViews>
  <sheetFormatPr defaultColWidth="8.85546875" defaultRowHeight="12.75"/>
  <cols>
    <col min="1" max="1" width="12" style="261" customWidth="1"/>
    <col min="2" max="2" width="40.42578125" style="261" customWidth="1"/>
    <col min="3" max="3" width="16.5703125" style="261" customWidth="1"/>
    <col min="4" max="16" width="15.7109375" style="261" customWidth="1"/>
    <col min="17" max="17" width="16.28515625" style="261" customWidth="1"/>
    <col min="18" max="19" width="15.7109375" style="261" customWidth="1"/>
    <col min="20" max="16384" width="8.85546875" style="261"/>
  </cols>
  <sheetData>
    <row r="1" spans="1:17" ht="18">
      <c r="A1" s="866" t="str">
        <f>+'GW-STATEMENT NET POSITION(13)'!A1</f>
        <v>TOWN OF BROADUS</v>
      </c>
      <c r="B1" s="276"/>
      <c r="C1" s="276"/>
      <c r="D1" s="276"/>
      <c r="E1" s="276"/>
      <c r="F1" s="276"/>
      <c r="G1" s="276"/>
      <c r="H1" s="276"/>
      <c r="I1" s="276"/>
      <c r="J1" s="276"/>
      <c r="K1" s="276"/>
      <c r="L1" s="276"/>
      <c r="M1" s="276"/>
      <c r="N1" s="276"/>
      <c r="O1" s="276"/>
      <c r="P1" s="276"/>
      <c r="Q1" s="276"/>
    </row>
    <row r="2" spans="1:17" ht="18">
      <c r="A2" s="259" t="s">
        <v>809</v>
      </c>
      <c r="B2" s="276"/>
      <c r="C2" s="276"/>
      <c r="D2" s="276"/>
      <c r="E2" s="276"/>
      <c r="F2" s="276"/>
      <c r="G2" s="276"/>
      <c r="H2" s="276"/>
      <c r="I2" s="276"/>
      <c r="J2" s="276"/>
      <c r="K2" s="276"/>
      <c r="L2" s="276"/>
      <c r="M2" s="276"/>
      <c r="N2" s="276"/>
      <c r="O2" s="276"/>
      <c r="P2" s="276"/>
      <c r="Q2" s="276"/>
    </row>
    <row r="3" spans="1:17" ht="18">
      <c r="A3" s="259" t="s">
        <v>661</v>
      </c>
      <c r="B3" s="276"/>
      <c r="C3" s="276"/>
      <c r="D3" s="276"/>
      <c r="E3" s="276"/>
      <c r="F3" s="276"/>
      <c r="G3" s="276"/>
      <c r="H3" s="276"/>
      <c r="I3" s="276"/>
      <c r="J3" s="276"/>
      <c r="K3" s="276"/>
      <c r="L3" s="276"/>
      <c r="M3" s="276"/>
      <c r="N3" s="276"/>
      <c r="O3" s="276"/>
      <c r="P3" s="276"/>
      <c r="Q3" s="276"/>
    </row>
    <row r="4" spans="1:17" ht="18">
      <c r="A4" s="259" t="str">
        <f>+'GW-STATEMENT OF ACTIVITIES(14)'!B3</f>
        <v>FISCAL YEAR ENDING JUNE 30, 2017</v>
      </c>
      <c r="B4" s="276"/>
      <c r="C4" s="276"/>
      <c r="D4" s="276"/>
      <c r="E4" s="276"/>
      <c r="F4" s="276"/>
      <c r="G4" s="276"/>
      <c r="H4" s="276"/>
      <c r="I4" s="276"/>
      <c r="J4" s="276"/>
      <c r="K4" s="276"/>
      <c r="L4" s="276"/>
      <c r="M4" s="276"/>
      <c r="N4" s="276"/>
      <c r="O4" s="276"/>
      <c r="P4" s="276"/>
      <c r="Q4" s="276"/>
    </row>
    <row r="8" spans="1:17" ht="9" customHeight="1">
      <c r="A8" s="266"/>
      <c r="B8" s="263"/>
    </row>
    <row r="9" spans="1:17" ht="216.75" customHeight="1" thickBot="1">
      <c r="A9" s="463" t="s">
        <v>359</v>
      </c>
      <c r="B9" s="267" t="s">
        <v>179</v>
      </c>
      <c r="C9" s="464" t="s">
        <v>360</v>
      </c>
      <c r="D9" s="464" t="s">
        <v>2719</v>
      </c>
      <c r="E9" s="464" t="s">
        <v>2720</v>
      </c>
      <c r="F9" s="464" t="s">
        <v>3529</v>
      </c>
      <c r="G9" s="464" t="s">
        <v>896</v>
      </c>
      <c r="H9" s="464" t="s">
        <v>361</v>
      </c>
      <c r="I9" s="464" t="s">
        <v>362</v>
      </c>
      <c r="J9" s="464" t="s">
        <v>114</v>
      </c>
      <c r="K9" s="464" t="s">
        <v>900</v>
      </c>
      <c r="L9" s="464" t="s">
        <v>115</v>
      </c>
      <c r="M9" s="464" t="s">
        <v>901</v>
      </c>
      <c r="N9" s="464" t="s">
        <v>1084</v>
      </c>
      <c r="O9" s="464" t="s">
        <v>345</v>
      </c>
      <c r="P9" s="464" t="s">
        <v>1855</v>
      </c>
      <c r="Q9" s="464" t="s">
        <v>902</v>
      </c>
    </row>
    <row r="10" spans="1:17" ht="15.75">
      <c r="A10" s="411"/>
      <c r="B10" s="431" t="s">
        <v>208</v>
      </c>
      <c r="C10" s="308"/>
      <c r="D10" s="308"/>
      <c r="E10" s="308"/>
      <c r="F10" s="308"/>
      <c r="G10" s="308"/>
      <c r="H10" s="308"/>
      <c r="I10" s="308"/>
      <c r="J10" s="308"/>
      <c r="K10" s="308"/>
      <c r="L10" s="308"/>
      <c r="M10" s="308"/>
      <c r="N10" s="308"/>
      <c r="O10" s="308"/>
      <c r="P10" s="308"/>
      <c r="Q10" s="308"/>
    </row>
    <row r="11" spans="1:17" ht="30" customHeight="1">
      <c r="A11" s="310" t="s">
        <v>182</v>
      </c>
      <c r="B11" s="263" t="s">
        <v>210</v>
      </c>
      <c r="C11" s="327">
        <f>+'GOVERMENTAL FUNDS-OPERATING(16)'!M11</f>
        <v>150954.12</v>
      </c>
      <c r="D11" s="327">
        <f>'BS Conversion'!C50</f>
        <v>11819.210000000001</v>
      </c>
      <c r="E11" s="843">
        <v>-9696.33</v>
      </c>
      <c r="F11" s="454"/>
      <c r="G11" s="454"/>
      <c r="H11" s="454"/>
      <c r="I11" s="454"/>
      <c r="J11" s="454"/>
      <c r="K11" s="454"/>
      <c r="L11" s="454"/>
      <c r="M11" s="454"/>
      <c r="N11" s="454"/>
      <c r="O11" s="454"/>
      <c r="P11" s="454"/>
      <c r="Q11" s="327">
        <f>SUM(C11:P11)</f>
        <v>153077</v>
      </c>
    </row>
    <row r="12" spans="1:17" ht="15">
      <c r="A12" s="301">
        <v>320000</v>
      </c>
      <c r="B12" s="263" t="s">
        <v>209</v>
      </c>
      <c r="C12" s="327">
        <f>+'GOVERMENTAL FUNDS-OPERATING(16)'!M12</f>
        <v>1410</v>
      </c>
      <c r="D12" s="454"/>
      <c r="E12" s="454"/>
      <c r="F12" s="454"/>
      <c r="G12" s="454"/>
      <c r="H12" s="454"/>
      <c r="I12" s="454"/>
      <c r="J12" s="454"/>
      <c r="K12" s="454"/>
      <c r="L12" s="454"/>
      <c r="M12" s="454"/>
      <c r="N12" s="454"/>
      <c r="O12" s="454"/>
      <c r="P12" s="454"/>
      <c r="Q12" s="327">
        <f t="shared" ref="Q12:Q17" si="0">SUM(C12:P12)</f>
        <v>1410</v>
      </c>
    </row>
    <row r="13" spans="1:17" ht="15">
      <c r="A13" s="301">
        <v>330000</v>
      </c>
      <c r="B13" s="263" t="s">
        <v>211</v>
      </c>
      <c r="C13" s="327">
        <f>+'GOVERMENTAL FUNDS-OPERATING(16)'!M13</f>
        <v>133039.45000000001</v>
      </c>
      <c r="D13" s="457"/>
      <c r="E13" s="457"/>
      <c r="F13" s="1024">
        <v>2556.9</v>
      </c>
      <c r="G13" s="454"/>
      <c r="H13" s="454"/>
      <c r="I13" s="454"/>
      <c r="J13" s="454"/>
      <c r="K13" s="454"/>
      <c r="L13" s="454"/>
      <c r="M13" s="454"/>
      <c r="N13" s="454"/>
      <c r="O13" s="454"/>
      <c r="P13" s="454"/>
      <c r="Q13" s="327">
        <f t="shared" si="0"/>
        <v>135596.35</v>
      </c>
    </row>
    <row r="14" spans="1:17" ht="15">
      <c r="A14" s="301">
        <v>340000</v>
      </c>
      <c r="B14" s="263" t="s">
        <v>212</v>
      </c>
      <c r="C14" s="327">
        <f>+'GOVERMENTAL FUNDS-OPERATING(16)'!M14</f>
        <v>727.89</v>
      </c>
      <c r="D14" s="454"/>
      <c r="E14" s="454"/>
      <c r="F14" s="454"/>
      <c r="G14" s="454"/>
      <c r="H14" s="454"/>
      <c r="I14" s="454"/>
      <c r="J14" s="454"/>
      <c r="K14" s="454"/>
      <c r="L14" s="454"/>
      <c r="M14" s="454"/>
      <c r="N14" s="454"/>
      <c r="O14" s="454"/>
      <c r="P14" s="454"/>
      <c r="Q14" s="327">
        <f t="shared" si="0"/>
        <v>727.89</v>
      </c>
    </row>
    <row r="15" spans="1:17" ht="15">
      <c r="A15" s="301">
        <v>350000</v>
      </c>
      <c r="B15" s="263" t="s">
        <v>213</v>
      </c>
      <c r="C15" s="327">
        <f>+'GOVERMENTAL FUNDS-OPERATING(16)'!M15</f>
        <v>110</v>
      </c>
      <c r="D15" s="454"/>
      <c r="E15" s="454"/>
      <c r="F15" s="454"/>
      <c r="G15" s="454"/>
      <c r="H15" s="454"/>
      <c r="I15" s="454"/>
      <c r="J15" s="454"/>
      <c r="K15" s="454"/>
      <c r="L15" s="454"/>
      <c r="M15" s="454"/>
      <c r="N15" s="454"/>
      <c r="O15" s="454"/>
      <c r="P15" s="454"/>
      <c r="Q15" s="327">
        <f t="shared" si="0"/>
        <v>110</v>
      </c>
    </row>
    <row r="16" spans="1:17" ht="15">
      <c r="A16" s="301">
        <v>360000</v>
      </c>
      <c r="B16" s="263" t="s">
        <v>214</v>
      </c>
      <c r="C16" s="327">
        <f>+'GOVERMENTAL FUNDS-OPERATING(16)'!M16</f>
        <v>0</v>
      </c>
      <c r="D16" s="454"/>
      <c r="E16" s="454"/>
      <c r="F16" s="454"/>
      <c r="G16" s="454"/>
      <c r="H16" s="454"/>
      <c r="I16" s="454"/>
      <c r="J16" s="454"/>
      <c r="K16" s="454"/>
      <c r="L16" s="454"/>
      <c r="M16" s="454"/>
      <c r="N16" s="454"/>
      <c r="O16" s="454"/>
      <c r="P16" s="454"/>
      <c r="Q16" s="327">
        <f t="shared" si="0"/>
        <v>0</v>
      </c>
    </row>
    <row r="17" spans="1:17" ht="15">
      <c r="A17" s="301">
        <v>370000</v>
      </c>
      <c r="B17" s="263" t="s">
        <v>215</v>
      </c>
      <c r="C17" s="327">
        <f>+'GOVERMENTAL FUNDS-OPERATING(16)'!M17</f>
        <v>411.29000000000008</v>
      </c>
      <c r="D17" s="457"/>
      <c r="E17" s="457"/>
      <c r="F17" s="454"/>
      <c r="G17" s="454"/>
      <c r="H17" s="454"/>
      <c r="I17" s="454"/>
      <c r="J17" s="454"/>
      <c r="K17" s="454"/>
      <c r="L17" s="454"/>
      <c r="M17" s="454"/>
      <c r="N17" s="454"/>
      <c r="O17" s="454"/>
      <c r="P17" s="454"/>
      <c r="Q17" s="327">
        <f t="shared" si="0"/>
        <v>411.29000000000008</v>
      </c>
    </row>
    <row r="18" spans="1:17" ht="15.75" thickBot="1">
      <c r="A18" s="301"/>
      <c r="B18" s="427" t="s">
        <v>3229</v>
      </c>
      <c r="C18" s="458"/>
      <c r="D18" s="458"/>
      <c r="E18" s="458"/>
      <c r="F18" s="458"/>
      <c r="G18" s="458"/>
      <c r="H18" s="458"/>
      <c r="I18" s="458"/>
      <c r="J18" s="458"/>
      <c r="K18" s="458"/>
      <c r="L18" s="458"/>
      <c r="M18" s="458"/>
      <c r="N18" s="458"/>
      <c r="O18" s="458"/>
      <c r="P18" s="458"/>
      <c r="Q18" s="459">
        <f>SUM(C18:P18)</f>
        <v>0</v>
      </c>
    </row>
    <row r="19" spans="1:17" ht="15.75">
      <c r="A19" s="301"/>
      <c r="B19" s="844" t="s">
        <v>216</v>
      </c>
      <c r="C19" s="327">
        <f>SUM(C11:C18)</f>
        <v>286652.75</v>
      </c>
      <c r="D19" s="327">
        <f t="shared" ref="D19:P19" si="1">SUM(D11:D18)</f>
        <v>11819.210000000001</v>
      </c>
      <c r="E19" s="327">
        <f t="shared" si="1"/>
        <v>-9696.33</v>
      </c>
      <c r="F19" s="327">
        <f t="shared" si="1"/>
        <v>2556.9</v>
      </c>
      <c r="G19" s="327">
        <f t="shared" si="1"/>
        <v>0</v>
      </c>
      <c r="H19" s="327">
        <f t="shared" si="1"/>
        <v>0</v>
      </c>
      <c r="I19" s="327">
        <f t="shared" si="1"/>
        <v>0</v>
      </c>
      <c r="J19" s="327">
        <f t="shared" si="1"/>
        <v>0</v>
      </c>
      <c r="K19" s="327">
        <f t="shared" si="1"/>
        <v>0</v>
      </c>
      <c r="L19" s="327">
        <f t="shared" si="1"/>
        <v>0</v>
      </c>
      <c r="M19" s="327">
        <f t="shared" si="1"/>
        <v>0</v>
      </c>
      <c r="N19" s="327">
        <f t="shared" si="1"/>
        <v>0</v>
      </c>
      <c r="O19" s="327">
        <f t="shared" si="1"/>
        <v>0</v>
      </c>
      <c r="P19" s="327">
        <f t="shared" si="1"/>
        <v>0</v>
      </c>
      <c r="Q19" s="327">
        <f>SUM(Q11:Q18)</f>
        <v>291332.52999999997</v>
      </c>
    </row>
    <row r="20" spans="1:17" ht="15">
      <c r="A20" s="429"/>
      <c r="B20" s="411"/>
      <c r="C20" s="327"/>
      <c r="D20" s="327"/>
      <c r="E20" s="327"/>
      <c r="F20" s="327"/>
      <c r="G20" s="327"/>
      <c r="H20" s="327"/>
      <c r="I20" s="327"/>
      <c r="J20" s="327"/>
      <c r="K20" s="327"/>
      <c r="L20" s="327"/>
      <c r="M20" s="327"/>
      <c r="N20" s="327"/>
      <c r="O20" s="327"/>
      <c r="P20" s="327"/>
      <c r="Q20" s="327"/>
    </row>
    <row r="21" spans="1:17" ht="15.75">
      <c r="A21" s="429"/>
      <c r="B21" s="431" t="s">
        <v>217</v>
      </c>
      <c r="C21" s="327"/>
      <c r="D21" s="327"/>
      <c r="E21" s="327"/>
      <c r="F21" s="327"/>
      <c r="G21" s="327"/>
      <c r="H21" s="327"/>
      <c r="I21" s="327"/>
      <c r="J21" s="327"/>
      <c r="K21" s="327"/>
      <c r="L21" s="327"/>
      <c r="M21" s="327"/>
      <c r="N21" s="327"/>
      <c r="O21" s="327"/>
      <c r="P21" s="327"/>
      <c r="Q21" s="327"/>
    </row>
    <row r="22" spans="1:17" ht="15">
      <c r="A22" s="429"/>
      <c r="B22" s="411" t="s">
        <v>218</v>
      </c>
      <c r="C22" s="327"/>
      <c r="D22" s="327"/>
      <c r="E22" s="327"/>
      <c r="F22" s="327"/>
      <c r="G22" s="327"/>
      <c r="H22" s="327"/>
      <c r="I22" s="327"/>
      <c r="J22" s="327"/>
      <c r="K22" s="327"/>
      <c r="L22" s="327"/>
      <c r="M22" s="327"/>
      <c r="N22" s="327"/>
      <c r="O22" s="327"/>
      <c r="P22" s="327"/>
      <c r="Q22" s="327"/>
    </row>
    <row r="23" spans="1:17" ht="15">
      <c r="A23" s="301">
        <v>410000</v>
      </c>
      <c r="B23" s="263" t="s">
        <v>494</v>
      </c>
      <c r="C23" s="327">
        <f>+'GOVERMENTAL FUNDS-OPERATING(16)'!M23</f>
        <v>69868.59</v>
      </c>
      <c r="D23" s="454"/>
      <c r="E23" s="454"/>
      <c r="F23" s="1024"/>
      <c r="G23" s="454"/>
      <c r="H23" s="454"/>
      <c r="I23" s="454"/>
      <c r="J23" s="454"/>
      <c r="K23" s="327">
        <f>+'GOV CAP ASSETS-9000(GCAAG)'!E31</f>
        <v>0</v>
      </c>
      <c r="L23" s="454"/>
      <c r="M23" s="302"/>
      <c r="N23" s="454"/>
      <c r="O23" s="454"/>
      <c r="P23" s="454"/>
      <c r="Q23" s="327">
        <f t="shared" ref="Q23:Q30" si="2">SUM(C23:P23)</f>
        <v>69868.59</v>
      </c>
    </row>
    <row r="24" spans="1:17" ht="15">
      <c r="A24" s="301">
        <v>420000</v>
      </c>
      <c r="B24" s="263" t="s">
        <v>219</v>
      </c>
      <c r="C24" s="327">
        <f>+'GOVERMENTAL FUNDS-OPERATING(16)'!M24</f>
        <v>24507.93</v>
      </c>
      <c r="D24" s="454"/>
      <c r="E24" s="454"/>
      <c r="F24" s="1024"/>
      <c r="G24" s="454"/>
      <c r="H24" s="454"/>
      <c r="I24" s="454"/>
      <c r="J24" s="454"/>
      <c r="K24" s="327">
        <f>+'GOV CAP ASSETS-9000(GCAAG)'!E32</f>
        <v>0</v>
      </c>
      <c r="L24" s="454"/>
      <c r="M24" s="302"/>
      <c r="N24" s="454"/>
      <c r="O24" s="454"/>
      <c r="P24" s="454"/>
      <c r="Q24" s="327">
        <f t="shared" si="2"/>
        <v>24507.93</v>
      </c>
    </row>
    <row r="25" spans="1:17" ht="15">
      <c r="A25" s="301">
        <v>430000</v>
      </c>
      <c r="B25" s="263" t="s">
        <v>220</v>
      </c>
      <c r="C25" s="327">
        <f>+'GOVERMENTAL FUNDS-OPERATING(16)'!M25</f>
        <v>147343.34000000003</v>
      </c>
      <c r="D25" s="454"/>
      <c r="E25" s="454"/>
      <c r="F25" s="1024">
        <v>-6876.08</v>
      </c>
      <c r="G25" s="454"/>
      <c r="H25" s="454"/>
      <c r="I25" s="454"/>
      <c r="J25" s="454"/>
      <c r="K25" s="327">
        <f>+'GOV CAP ASSETS-9000(GCAAG)'!E33</f>
        <v>25874.79</v>
      </c>
      <c r="L25" s="454"/>
      <c r="M25" s="302">
        <v>-456.45</v>
      </c>
      <c r="N25" s="454"/>
      <c r="O25" s="454"/>
      <c r="P25" s="454"/>
      <c r="Q25" s="327">
        <f t="shared" si="2"/>
        <v>165885.60000000003</v>
      </c>
    </row>
    <row r="26" spans="1:17" ht="15">
      <c r="A26" s="301">
        <v>440000</v>
      </c>
      <c r="B26" s="263" t="s">
        <v>221</v>
      </c>
      <c r="C26" s="327">
        <f>+'GOVERMENTAL FUNDS-OPERATING(16)'!M26</f>
        <v>44.29</v>
      </c>
      <c r="D26" s="454"/>
      <c r="E26" s="454"/>
      <c r="F26" s="1024"/>
      <c r="G26" s="454"/>
      <c r="H26" s="454"/>
      <c r="I26" s="454"/>
      <c r="J26" s="454"/>
      <c r="K26" s="327">
        <f>+'GOV CAP ASSETS-9000(GCAAG)'!E34</f>
        <v>0</v>
      </c>
      <c r="L26" s="454"/>
      <c r="M26" s="302"/>
      <c r="N26" s="454"/>
      <c r="O26" s="454"/>
      <c r="P26" s="454"/>
      <c r="Q26" s="327">
        <f t="shared" si="2"/>
        <v>44.29</v>
      </c>
    </row>
    <row r="27" spans="1:17" ht="15">
      <c r="A27" s="301">
        <v>450000</v>
      </c>
      <c r="B27" s="263" t="s">
        <v>222</v>
      </c>
      <c r="C27" s="327">
        <f>+'GOVERMENTAL FUNDS-OPERATING(16)'!M27</f>
        <v>0</v>
      </c>
      <c r="D27" s="454"/>
      <c r="E27" s="454"/>
      <c r="F27" s="1024"/>
      <c r="G27" s="454"/>
      <c r="H27" s="454"/>
      <c r="I27" s="454"/>
      <c r="J27" s="454"/>
      <c r="K27" s="327">
        <f>+'GOV CAP ASSETS-9000(GCAAG)'!E35</f>
        <v>0</v>
      </c>
      <c r="L27" s="454"/>
      <c r="M27" s="302"/>
      <c r="N27" s="454"/>
      <c r="O27" s="454"/>
      <c r="P27" s="454"/>
      <c r="Q27" s="327">
        <f t="shared" si="2"/>
        <v>0</v>
      </c>
    </row>
    <row r="28" spans="1:17" ht="15">
      <c r="A28" s="301">
        <v>460000</v>
      </c>
      <c r="B28" s="263" t="s">
        <v>223</v>
      </c>
      <c r="C28" s="327">
        <f>+'GOVERMENTAL FUNDS-OPERATING(16)'!M28</f>
        <v>25559.629999999997</v>
      </c>
      <c r="D28" s="454"/>
      <c r="E28" s="454"/>
      <c r="F28" s="1024"/>
      <c r="G28" s="454"/>
      <c r="H28" s="454"/>
      <c r="I28" s="454"/>
      <c r="J28" s="454"/>
      <c r="K28" s="327">
        <f>+'GOV CAP ASSETS-9000(GCAAG)'!E36</f>
        <v>0</v>
      </c>
      <c r="L28" s="454"/>
      <c r="M28" s="302"/>
      <c r="N28" s="454"/>
      <c r="O28" s="454"/>
      <c r="P28" s="454"/>
      <c r="Q28" s="327">
        <f t="shared" si="2"/>
        <v>25559.629999999997</v>
      </c>
    </row>
    <row r="29" spans="1:17" ht="15">
      <c r="A29" s="301">
        <v>470000</v>
      </c>
      <c r="B29" s="263" t="s">
        <v>224</v>
      </c>
      <c r="C29" s="327">
        <f>+'GOVERMENTAL FUNDS-OPERATING(16)'!M29</f>
        <v>0</v>
      </c>
      <c r="D29" s="454"/>
      <c r="E29" s="454"/>
      <c r="F29" s="1024"/>
      <c r="G29" s="454"/>
      <c r="H29" s="454"/>
      <c r="I29" s="454"/>
      <c r="J29" s="454"/>
      <c r="K29" s="327">
        <f>+'GOV CAP ASSETS-9000(GCAAG)'!E37</f>
        <v>0</v>
      </c>
      <c r="L29" s="454"/>
      <c r="M29" s="302"/>
      <c r="N29" s="454"/>
      <c r="O29" s="454"/>
      <c r="P29" s="454"/>
      <c r="Q29" s="327">
        <f t="shared" si="2"/>
        <v>0</v>
      </c>
    </row>
    <row r="30" spans="1:17" ht="15">
      <c r="A30" s="301">
        <v>480000</v>
      </c>
      <c r="B30" s="263" t="s">
        <v>225</v>
      </c>
      <c r="C30" s="327">
        <f>+'GOVERMENTAL FUNDS-OPERATING(16)'!M30</f>
        <v>0</v>
      </c>
      <c r="D30" s="454"/>
      <c r="E30" s="454"/>
      <c r="F30" s="1024"/>
      <c r="G30" s="454"/>
      <c r="H30" s="454"/>
      <c r="I30" s="454"/>
      <c r="J30" s="454"/>
      <c r="K30" s="327">
        <f>+'GOV CAP ASSETS-9000(GCAAG)'!E38</f>
        <v>0</v>
      </c>
      <c r="L30" s="454"/>
      <c r="M30" s="302"/>
      <c r="N30" s="454"/>
      <c r="O30" s="454"/>
      <c r="P30" s="454"/>
      <c r="Q30" s="327">
        <f t="shared" si="2"/>
        <v>0</v>
      </c>
    </row>
    <row r="31" spans="1:17" ht="15">
      <c r="A31" s="301">
        <v>490000</v>
      </c>
      <c r="B31" s="263" t="s">
        <v>226</v>
      </c>
      <c r="C31" s="327"/>
      <c r="D31" s="454"/>
      <c r="E31" s="454"/>
      <c r="F31" s="454"/>
      <c r="G31" s="454"/>
      <c r="H31" s="454"/>
      <c r="I31" s="454"/>
      <c r="J31" s="454"/>
      <c r="K31" s="462"/>
      <c r="L31" s="454"/>
      <c r="M31" s="454"/>
      <c r="N31" s="454"/>
      <c r="O31" s="454"/>
      <c r="P31" s="454"/>
      <c r="Q31" s="327"/>
    </row>
    <row r="32" spans="1:17" ht="15">
      <c r="A32" s="301"/>
      <c r="B32" s="263" t="s">
        <v>227</v>
      </c>
      <c r="C32" s="327">
        <f>+'GOVERMENTAL FUNDS-OPERATING(16)'!M32</f>
        <v>6927.17</v>
      </c>
      <c r="D32" s="454"/>
      <c r="E32" s="454"/>
      <c r="F32" s="454"/>
      <c r="G32" s="454"/>
      <c r="H32" s="327">
        <f>-'GOV DEBT-9500(GLTDAG)'!D20-'GOV DEBT-9500(GLTDAG)'!D22-'GOV DEBT-9500(GLTDAG)'!D24-'GOV DEBT-9500(GLTDAG)'!D25-'GOV DEBT-9500(GLTDAG)'!D26-'GOV DEBT-9500(GLTDAG)'!D27-'GOV DEBT-9500(GLTDAG)'!D29-'GOV DEBT-9500(GLTDAG)'!D31-'GOV DEBT-9500(GLTDAG)'!D33-'GOV DEBT-9500(GLTDAG)'!D35-'GOV DEBT-9500(GLTDAG)'!D37</f>
        <v>-6927.17</v>
      </c>
      <c r="I32" s="454"/>
      <c r="J32" s="454"/>
      <c r="K32" s="462"/>
      <c r="L32" s="454"/>
      <c r="M32" s="454"/>
      <c r="N32" s="454"/>
      <c r="O32" s="454"/>
      <c r="P32" s="454"/>
      <c r="Q32" s="327">
        <f t="shared" ref="Q32:Q37" si="3">SUM(C32:P32)</f>
        <v>0</v>
      </c>
    </row>
    <row r="33" spans="1:17" ht="15">
      <c r="A33" s="301"/>
      <c r="B33" s="263" t="s">
        <v>228</v>
      </c>
      <c r="C33" s="327">
        <f>+'GOVERMENTAL FUNDS-OPERATING(16)'!M33</f>
        <v>0</v>
      </c>
      <c r="D33" s="454"/>
      <c r="E33" s="454"/>
      <c r="F33" s="454"/>
      <c r="G33" s="454"/>
      <c r="H33" s="454"/>
      <c r="I33" s="454"/>
      <c r="J33" s="454"/>
      <c r="K33" s="462"/>
      <c r="L33" s="454"/>
      <c r="M33" s="454"/>
      <c r="N33" s="454"/>
      <c r="O33" s="454"/>
      <c r="P33" s="454"/>
      <c r="Q33" s="327">
        <f t="shared" si="3"/>
        <v>0</v>
      </c>
    </row>
    <row r="34" spans="1:17" ht="15" customHeight="1">
      <c r="A34" s="301"/>
      <c r="B34" s="263" t="s">
        <v>1220</v>
      </c>
      <c r="C34" s="327"/>
      <c r="D34" s="454"/>
      <c r="E34" s="454"/>
      <c r="F34" s="1024"/>
      <c r="G34" s="454"/>
      <c r="H34" s="454"/>
      <c r="I34" s="454"/>
      <c r="J34" s="454"/>
      <c r="K34" s="467">
        <f>+'GOV CAP ASSETS-9000(GCAAG)'!E39</f>
        <v>0</v>
      </c>
      <c r="L34" s="454"/>
      <c r="M34" s="457"/>
      <c r="N34" s="454"/>
      <c r="O34" s="454"/>
      <c r="P34" s="454"/>
      <c r="Q34" s="327">
        <f t="shared" si="3"/>
        <v>0</v>
      </c>
    </row>
    <row r="35" spans="1:17" ht="15">
      <c r="A35" s="301"/>
      <c r="B35" s="263" t="s">
        <v>183</v>
      </c>
      <c r="C35" s="327">
        <f>+'GOVERMENTAL FUNDS-OPERATING(16)'!M35</f>
        <v>70261.59</v>
      </c>
      <c r="D35" s="454"/>
      <c r="E35" s="454"/>
      <c r="F35" s="454"/>
      <c r="G35" s="454"/>
      <c r="H35" s="454"/>
      <c r="I35" s="302">
        <v>-70261.59</v>
      </c>
      <c r="J35" s="454"/>
      <c r="K35" s="454"/>
      <c r="L35" s="454"/>
      <c r="M35" s="454"/>
      <c r="N35" s="454"/>
      <c r="O35" s="454"/>
      <c r="P35" s="454"/>
      <c r="Q35" s="327">
        <f t="shared" si="3"/>
        <v>0</v>
      </c>
    </row>
    <row r="36" spans="1:17" ht="15">
      <c r="A36" s="301">
        <v>500000</v>
      </c>
      <c r="B36" s="263" t="s">
        <v>184</v>
      </c>
      <c r="C36" s="327">
        <f>+'GOVERMENTAL FUNDS-OPERATING(16)'!M36</f>
        <v>0</v>
      </c>
      <c r="D36" s="454"/>
      <c r="E36" s="454"/>
      <c r="F36" s="1024"/>
      <c r="G36" s="454"/>
      <c r="H36" s="454"/>
      <c r="I36" s="454"/>
      <c r="J36" s="454"/>
      <c r="K36" s="457"/>
      <c r="L36" s="454"/>
      <c r="M36" s="454"/>
      <c r="N36" s="454"/>
      <c r="O36" s="454"/>
      <c r="P36" s="454"/>
      <c r="Q36" s="327">
        <f t="shared" si="3"/>
        <v>0</v>
      </c>
    </row>
    <row r="37" spans="1:17" ht="15.75" thickBot="1">
      <c r="A37" s="301">
        <v>510000</v>
      </c>
      <c r="B37" s="263" t="s">
        <v>185</v>
      </c>
      <c r="C37" s="459">
        <f>+'GOVERMENTAL FUNDS-OPERATING(16)'!M37</f>
        <v>22052.74</v>
      </c>
      <c r="D37" s="465"/>
      <c r="E37" s="465"/>
      <c r="F37" s="1024"/>
      <c r="G37" s="465"/>
      <c r="H37" s="465"/>
      <c r="I37" s="465"/>
      <c r="J37" s="465"/>
      <c r="K37" s="466"/>
      <c r="L37" s="465"/>
      <c r="M37" s="465"/>
      <c r="N37" s="465"/>
      <c r="O37" s="465"/>
      <c r="P37" s="465"/>
      <c r="Q37" s="459">
        <f t="shared" si="3"/>
        <v>22052.74</v>
      </c>
    </row>
    <row r="38" spans="1:17" ht="15.75">
      <c r="A38" s="301"/>
      <c r="B38" s="266" t="s">
        <v>229</v>
      </c>
      <c r="C38" s="327">
        <f>SUM(C22:C37)</f>
        <v>366565.28</v>
      </c>
      <c r="D38" s="327">
        <f t="shared" ref="D38:P38" si="4">SUM(D22:D37)</f>
        <v>0</v>
      </c>
      <c r="E38" s="327">
        <f t="shared" si="4"/>
        <v>0</v>
      </c>
      <c r="F38" s="327">
        <f t="shared" si="4"/>
        <v>-6876.08</v>
      </c>
      <c r="G38" s="327">
        <f t="shared" si="4"/>
        <v>0</v>
      </c>
      <c r="H38" s="327">
        <f t="shared" si="4"/>
        <v>-6927.17</v>
      </c>
      <c r="I38" s="327">
        <f t="shared" si="4"/>
        <v>-70261.59</v>
      </c>
      <c r="J38" s="327">
        <f t="shared" si="4"/>
        <v>0</v>
      </c>
      <c r="K38" s="327">
        <f t="shared" si="4"/>
        <v>25874.79</v>
      </c>
      <c r="L38" s="327">
        <f t="shared" si="4"/>
        <v>0</v>
      </c>
      <c r="M38" s="327">
        <f t="shared" si="4"/>
        <v>-456.45</v>
      </c>
      <c r="N38" s="327">
        <f t="shared" si="4"/>
        <v>0</v>
      </c>
      <c r="O38" s="327">
        <f t="shared" si="4"/>
        <v>0</v>
      </c>
      <c r="P38" s="327">
        <f t="shared" si="4"/>
        <v>0</v>
      </c>
      <c r="Q38" s="327">
        <f>SUM(Q22:Q37)</f>
        <v>307918.78000000003</v>
      </c>
    </row>
    <row r="39" spans="1:17" ht="15" customHeight="1">
      <c r="A39" s="301"/>
      <c r="B39" s="312" t="s">
        <v>844</v>
      </c>
      <c r="C39" s="327">
        <f>+C19-C38</f>
        <v>-79912.530000000028</v>
      </c>
      <c r="D39" s="327">
        <f t="shared" ref="D39:P39" si="5">+D19-D38</f>
        <v>11819.210000000001</v>
      </c>
      <c r="E39" s="327">
        <f t="shared" si="5"/>
        <v>-9696.33</v>
      </c>
      <c r="F39" s="327">
        <f t="shared" si="5"/>
        <v>9432.98</v>
      </c>
      <c r="G39" s="327">
        <f t="shared" si="5"/>
        <v>0</v>
      </c>
      <c r="H39" s="327">
        <f t="shared" si="5"/>
        <v>6927.17</v>
      </c>
      <c r="I39" s="327">
        <f t="shared" si="5"/>
        <v>70261.59</v>
      </c>
      <c r="J39" s="327">
        <f t="shared" si="5"/>
        <v>0</v>
      </c>
      <c r="K39" s="327">
        <f t="shared" si="5"/>
        <v>-25874.79</v>
      </c>
      <c r="L39" s="327">
        <f t="shared" si="5"/>
        <v>0</v>
      </c>
      <c r="M39" s="327">
        <f t="shared" si="5"/>
        <v>456.45</v>
      </c>
      <c r="N39" s="327">
        <f t="shared" si="5"/>
        <v>0</v>
      </c>
      <c r="O39" s="327">
        <f t="shared" si="5"/>
        <v>0</v>
      </c>
      <c r="P39" s="327">
        <f t="shared" si="5"/>
        <v>0</v>
      </c>
      <c r="Q39" s="327">
        <f>+Q19-Q38</f>
        <v>-16586.250000000058</v>
      </c>
    </row>
    <row r="40" spans="1:17" ht="15.75">
      <c r="A40" s="301"/>
      <c r="B40" s="268" t="s">
        <v>230</v>
      </c>
      <c r="C40" s="327"/>
      <c r="D40" s="327"/>
      <c r="E40" s="327"/>
      <c r="F40" s="327"/>
      <c r="G40" s="327"/>
      <c r="H40" s="327"/>
      <c r="I40" s="327"/>
      <c r="J40" s="327"/>
      <c r="K40" s="327"/>
      <c r="L40" s="327"/>
      <c r="M40" s="327"/>
      <c r="N40" s="327"/>
      <c r="O40" s="327"/>
      <c r="P40" s="327"/>
      <c r="Q40" s="327"/>
    </row>
    <row r="41" spans="1:17" ht="15">
      <c r="A41" s="301" t="s">
        <v>186</v>
      </c>
      <c r="B41" s="263" t="s">
        <v>477</v>
      </c>
      <c r="C41" s="327">
        <f>+'GOVERMENTAL FUNDS-OPERATING(16)'!M41</f>
        <v>0</v>
      </c>
      <c r="D41" s="454"/>
      <c r="E41" s="454"/>
      <c r="F41" s="454"/>
      <c r="G41" s="457"/>
      <c r="H41" s="454"/>
      <c r="I41" s="454"/>
      <c r="J41" s="454"/>
      <c r="K41" s="454"/>
      <c r="L41" s="454"/>
      <c r="M41" s="454"/>
      <c r="N41" s="454"/>
      <c r="O41" s="454"/>
      <c r="P41" s="454"/>
      <c r="Q41" s="327">
        <f t="shared" ref="Q41:Q51" si="6">SUM(C41:P41)</f>
        <v>0</v>
      </c>
    </row>
    <row r="42" spans="1:17" ht="15">
      <c r="A42" s="301" t="s">
        <v>186</v>
      </c>
      <c r="B42" s="263" t="s">
        <v>478</v>
      </c>
      <c r="C42" s="327">
        <f>+'GOVERMENTAL FUNDS-OPERATING(16)'!M42</f>
        <v>0</v>
      </c>
      <c r="D42" s="454"/>
      <c r="E42" s="454"/>
      <c r="F42" s="454"/>
      <c r="G42" s="457"/>
      <c r="H42" s="454"/>
      <c r="I42" s="454"/>
      <c r="J42" s="454"/>
      <c r="K42" s="454"/>
      <c r="L42" s="454"/>
      <c r="M42" s="454"/>
      <c r="N42" s="454"/>
      <c r="O42" s="454"/>
      <c r="P42" s="454"/>
      <c r="Q42" s="327">
        <f t="shared" si="6"/>
        <v>0</v>
      </c>
    </row>
    <row r="43" spans="1:17" ht="15">
      <c r="A43" s="301">
        <v>381050</v>
      </c>
      <c r="B43" s="263" t="s">
        <v>233</v>
      </c>
      <c r="C43" s="327">
        <f>+'GOVERMENTAL FUNDS-OPERATING(16)'!M43</f>
        <v>0</v>
      </c>
      <c r="D43" s="454"/>
      <c r="E43" s="454"/>
      <c r="F43" s="454"/>
      <c r="G43" s="457"/>
      <c r="H43" s="454"/>
      <c r="I43" s="454"/>
      <c r="J43" s="454"/>
      <c r="K43" s="454"/>
      <c r="L43" s="454"/>
      <c r="M43" s="454"/>
      <c r="N43" s="454"/>
      <c r="O43" s="454"/>
      <c r="P43" s="454"/>
      <c r="Q43" s="327">
        <f t="shared" si="6"/>
        <v>0</v>
      </c>
    </row>
    <row r="44" spans="1:17" ht="15">
      <c r="A44" s="301">
        <v>381070</v>
      </c>
      <c r="B44" s="263" t="s">
        <v>548</v>
      </c>
      <c r="C44" s="327">
        <f>+'GOVERMENTAL FUNDS-OPERATING(16)'!M44</f>
        <v>0</v>
      </c>
      <c r="D44" s="454"/>
      <c r="E44" s="454"/>
      <c r="F44" s="454"/>
      <c r="G44" s="457"/>
      <c r="H44" s="454"/>
      <c r="I44" s="454"/>
      <c r="J44" s="454"/>
      <c r="K44" s="454"/>
      <c r="L44" s="454"/>
      <c r="M44" s="454"/>
      <c r="N44" s="454"/>
      <c r="O44" s="454"/>
      <c r="P44" s="454"/>
      <c r="Q44" s="327">
        <f t="shared" si="6"/>
        <v>0</v>
      </c>
    </row>
    <row r="45" spans="1:17" ht="15">
      <c r="A45" s="301">
        <v>382010</v>
      </c>
      <c r="B45" s="263" t="s">
        <v>1154</v>
      </c>
      <c r="C45" s="327">
        <f>+'GOVERMENTAL FUNDS-OPERATING(16)'!M45</f>
        <v>0</v>
      </c>
      <c r="D45" s="454"/>
      <c r="E45" s="454"/>
      <c r="F45" s="454"/>
      <c r="G45" s="457"/>
      <c r="H45" s="454"/>
      <c r="I45" s="454"/>
      <c r="J45" s="454"/>
      <c r="K45" s="454"/>
      <c r="L45" s="454"/>
      <c r="M45" s="454"/>
      <c r="N45" s="302"/>
      <c r="O45" s="302"/>
      <c r="P45" s="302"/>
      <c r="Q45" s="327">
        <f t="shared" si="6"/>
        <v>0</v>
      </c>
    </row>
    <row r="46" spans="1:17" ht="15">
      <c r="A46" s="301">
        <v>383000</v>
      </c>
      <c r="B46" s="263" t="s">
        <v>231</v>
      </c>
      <c r="C46" s="327">
        <f>+'GOVERMENTAL FUNDS-OPERATING(16)'!M46</f>
        <v>2400</v>
      </c>
      <c r="D46" s="454"/>
      <c r="E46" s="454"/>
      <c r="F46" s="454"/>
      <c r="G46" s="457"/>
      <c r="H46" s="454"/>
      <c r="I46" s="454"/>
      <c r="J46" s="454"/>
      <c r="K46" s="454"/>
      <c r="L46" s="454"/>
      <c r="M46" s="454"/>
      <c r="N46" s="454"/>
      <c r="O46" s="454"/>
      <c r="P46" s="454"/>
      <c r="Q46" s="327">
        <f t="shared" si="6"/>
        <v>2400</v>
      </c>
    </row>
    <row r="47" spans="1:17" ht="15">
      <c r="A47" s="301">
        <v>521000</v>
      </c>
      <c r="B47" s="263" t="s">
        <v>232</v>
      </c>
      <c r="C47" s="327">
        <f>+'GOVERMENTAL FUNDS-OPERATING(16)'!M47</f>
        <v>-2400</v>
      </c>
      <c r="D47" s="454"/>
      <c r="E47" s="454"/>
      <c r="F47" s="454"/>
      <c r="G47" s="457"/>
      <c r="H47" s="454"/>
      <c r="I47" s="454"/>
      <c r="J47" s="454"/>
      <c r="K47" s="454"/>
      <c r="L47" s="454"/>
      <c r="M47" s="454"/>
      <c r="N47" s="454"/>
      <c r="O47" s="454"/>
      <c r="P47" s="454"/>
      <c r="Q47" s="327">
        <f t="shared" si="6"/>
        <v>-2400</v>
      </c>
    </row>
    <row r="48" spans="1:17" ht="15">
      <c r="A48" s="301">
        <v>384000</v>
      </c>
      <c r="B48" s="263" t="s">
        <v>1752</v>
      </c>
      <c r="C48" s="327">
        <f>+'GOVERMENTAL FUNDS-OPERATING(16)'!M48</f>
        <v>0</v>
      </c>
      <c r="D48" s="454"/>
      <c r="E48" s="454"/>
      <c r="F48" s="454"/>
      <c r="G48" s="457"/>
      <c r="H48" s="454"/>
      <c r="I48" s="454"/>
      <c r="J48" s="454"/>
      <c r="K48" s="454"/>
      <c r="L48" s="454"/>
      <c r="M48" s="454"/>
      <c r="N48" s="454"/>
      <c r="O48" s="454"/>
      <c r="P48" s="454"/>
      <c r="Q48" s="327">
        <f t="shared" si="6"/>
        <v>0</v>
      </c>
    </row>
    <row r="49" spans="1:17" ht="15">
      <c r="A49" s="301">
        <v>385000</v>
      </c>
      <c r="B49" s="263" t="s">
        <v>1751</v>
      </c>
      <c r="C49" s="327">
        <f>+'GOVERMENTAL FUNDS-OPERATING(16)'!M49</f>
        <v>0</v>
      </c>
      <c r="D49" s="454"/>
      <c r="E49" s="454"/>
      <c r="F49" s="454"/>
      <c r="G49" s="457"/>
      <c r="H49" s="454"/>
      <c r="I49" s="454"/>
      <c r="J49" s="454"/>
      <c r="K49" s="454"/>
      <c r="L49" s="454"/>
      <c r="M49" s="454"/>
      <c r="N49" s="454"/>
      <c r="O49" s="454"/>
      <c r="P49" s="454"/>
      <c r="Q49" s="327">
        <f t="shared" si="6"/>
        <v>0</v>
      </c>
    </row>
    <row r="50" spans="1:17" ht="15">
      <c r="A50" s="301">
        <v>524000</v>
      </c>
      <c r="B50" s="263" t="s">
        <v>1754</v>
      </c>
      <c r="C50" s="327">
        <f>+'GOVERMENTAL FUNDS-OPERATING(16)'!M50</f>
        <v>0</v>
      </c>
      <c r="D50" s="454"/>
      <c r="E50" s="454"/>
      <c r="F50" s="454"/>
      <c r="G50" s="457"/>
      <c r="H50" s="454"/>
      <c r="I50" s="454"/>
      <c r="J50" s="454"/>
      <c r="K50" s="454"/>
      <c r="L50" s="454"/>
      <c r="M50" s="454"/>
      <c r="N50" s="454"/>
      <c r="O50" s="454"/>
      <c r="P50" s="454"/>
      <c r="Q50" s="327">
        <f t="shared" si="6"/>
        <v>0</v>
      </c>
    </row>
    <row r="51" spans="1:17" ht="15.75" thickBot="1">
      <c r="A51" s="428">
        <v>525000</v>
      </c>
      <c r="B51" s="411" t="s">
        <v>1753</v>
      </c>
      <c r="C51" s="327">
        <f>+'GOVERMENTAL FUNDS-OPERATING(16)'!M51</f>
        <v>0</v>
      </c>
      <c r="D51" s="454"/>
      <c r="E51" s="454"/>
      <c r="F51" s="454"/>
      <c r="G51" s="458"/>
      <c r="H51" s="454"/>
      <c r="I51" s="454"/>
      <c r="J51" s="454"/>
      <c r="K51" s="454"/>
      <c r="L51" s="454"/>
      <c r="M51" s="454"/>
      <c r="N51" s="454"/>
      <c r="O51" s="454"/>
      <c r="P51" s="454"/>
      <c r="Q51" s="327">
        <f t="shared" si="6"/>
        <v>0</v>
      </c>
    </row>
    <row r="52" spans="1:17" ht="16.5" thickBot="1">
      <c r="A52" s="300"/>
      <c r="B52" s="266" t="s">
        <v>237</v>
      </c>
      <c r="C52" s="460">
        <f>SUM(C41:C51)</f>
        <v>0</v>
      </c>
      <c r="D52" s="460">
        <f t="shared" ref="D52:P52" si="7">SUM(D41:D51)</f>
        <v>0</v>
      </c>
      <c r="E52" s="460">
        <f t="shared" si="7"/>
        <v>0</v>
      </c>
      <c r="F52" s="460">
        <f t="shared" si="7"/>
        <v>0</v>
      </c>
      <c r="G52" s="460">
        <f t="shared" si="7"/>
        <v>0</v>
      </c>
      <c r="H52" s="460">
        <f t="shared" si="7"/>
        <v>0</v>
      </c>
      <c r="I52" s="460">
        <f t="shared" si="7"/>
        <v>0</v>
      </c>
      <c r="J52" s="460">
        <f t="shared" si="7"/>
        <v>0</v>
      </c>
      <c r="K52" s="460">
        <f t="shared" si="7"/>
        <v>0</v>
      </c>
      <c r="L52" s="460">
        <f t="shared" si="7"/>
        <v>0</v>
      </c>
      <c r="M52" s="460">
        <f t="shared" si="7"/>
        <v>0</v>
      </c>
      <c r="N52" s="460">
        <f t="shared" si="7"/>
        <v>0</v>
      </c>
      <c r="O52" s="460">
        <f t="shared" si="7"/>
        <v>0</v>
      </c>
      <c r="P52" s="460">
        <f t="shared" si="7"/>
        <v>0</v>
      </c>
      <c r="Q52" s="460">
        <f>SUM(Q41:Q51)</f>
        <v>0</v>
      </c>
    </row>
    <row r="53" spans="1:17" ht="15.75">
      <c r="A53" s="300"/>
      <c r="B53" s="266" t="s">
        <v>238</v>
      </c>
      <c r="C53" s="327">
        <f t="shared" ref="C53:Q53" si="8">+C39+C52</f>
        <v>-79912.530000000028</v>
      </c>
      <c r="D53" s="327">
        <f t="shared" si="8"/>
        <v>11819.210000000001</v>
      </c>
      <c r="E53" s="327">
        <f t="shared" si="8"/>
        <v>-9696.33</v>
      </c>
      <c r="F53" s="327">
        <f t="shared" si="8"/>
        <v>9432.98</v>
      </c>
      <c r="G53" s="327">
        <f t="shared" si="8"/>
        <v>0</v>
      </c>
      <c r="H53" s="327">
        <f t="shared" si="8"/>
        <v>6927.17</v>
      </c>
      <c r="I53" s="327">
        <f t="shared" si="8"/>
        <v>70261.59</v>
      </c>
      <c r="J53" s="327">
        <f t="shared" si="8"/>
        <v>0</v>
      </c>
      <c r="K53" s="327">
        <f t="shared" si="8"/>
        <v>-25874.79</v>
      </c>
      <c r="L53" s="327">
        <f t="shared" si="8"/>
        <v>0</v>
      </c>
      <c r="M53" s="327">
        <f t="shared" si="8"/>
        <v>456.45</v>
      </c>
      <c r="N53" s="327">
        <f t="shared" si="8"/>
        <v>0</v>
      </c>
      <c r="O53" s="327">
        <f t="shared" si="8"/>
        <v>0</v>
      </c>
      <c r="P53" s="327">
        <f t="shared" si="8"/>
        <v>0</v>
      </c>
      <c r="Q53" s="327">
        <f t="shared" si="8"/>
        <v>-16586.250000000058</v>
      </c>
    </row>
    <row r="54" spans="1:17" ht="31.5">
      <c r="A54" s="300"/>
      <c r="B54" s="312" t="str">
        <f>+'GENERAL FUND-OPERATING(48-53)'!B295</f>
        <v>Fund balances - July 1, 2016 as previously reported</v>
      </c>
      <c r="C54" s="327">
        <f>+'GOVERMENTAL FUNDS-OPERATING(16)'!M54</f>
        <v>303422.68000000005</v>
      </c>
      <c r="D54" s="1114">
        <f>'BS Conversion'!D68</f>
        <v>-10734.3</v>
      </c>
      <c r="E54" s="327">
        <f>-E19</f>
        <v>9696.33</v>
      </c>
      <c r="F54" s="327">
        <f>-'GOV DEBT-9500(GLTDAG)'!C42</f>
        <v>-135734.84000000003</v>
      </c>
      <c r="G54" s="302"/>
      <c r="H54" s="302"/>
      <c r="I54" s="302"/>
      <c r="J54" s="327">
        <f>+'GOV CAP ASSETS-9000(GCAAG)'!D28</f>
        <v>124309.91000000006</v>
      </c>
      <c r="K54" s="327">
        <v>0</v>
      </c>
      <c r="L54" s="302"/>
      <c r="M54" s="302"/>
      <c r="N54" s="302"/>
      <c r="O54" s="302"/>
      <c r="P54" s="302"/>
      <c r="Q54" s="327">
        <f>SUM(C54:P54)</f>
        <v>290959.78000000014</v>
      </c>
    </row>
    <row r="55" spans="1:17" ht="15.75">
      <c r="A55" s="300"/>
      <c r="B55" s="268" t="s">
        <v>699</v>
      </c>
      <c r="C55" s="327">
        <f>+'GOVERMENTAL FUNDS-OPERATING(16)'!M55</f>
        <v>0</v>
      </c>
      <c r="D55" s="302"/>
      <c r="E55" s="302"/>
      <c r="F55" s="1029"/>
      <c r="G55" s="302"/>
      <c r="H55" s="302"/>
      <c r="I55" s="302"/>
      <c r="J55" s="302"/>
      <c r="K55" s="302"/>
      <c r="L55" s="302"/>
      <c r="M55" s="302"/>
      <c r="N55" s="302"/>
      <c r="O55" s="302"/>
      <c r="P55" s="302"/>
      <c r="Q55" s="327">
        <f>SUM(C55:P55)</f>
        <v>0</v>
      </c>
    </row>
    <row r="56" spans="1:17" ht="30" customHeight="1" thickBot="1">
      <c r="A56" s="300"/>
      <c r="B56" s="324" t="str">
        <f>+'GENERAL FUND-OPERATING(48-53)'!B297</f>
        <v>Fund balances - July 1, 2016 as restated</v>
      </c>
      <c r="C56" s="459">
        <f>+C54+C55</f>
        <v>303422.68000000005</v>
      </c>
      <c r="D56" s="459">
        <f t="shared" ref="D56:P56" si="9">+D54+D55</f>
        <v>-10734.3</v>
      </c>
      <c r="E56" s="459">
        <f t="shared" si="9"/>
        <v>9696.33</v>
      </c>
      <c r="F56" s="459">
        <f t="shared" si="9"/>
        <v>-135734.84000000003</v>
      </c>
      <c r="G56" s="459">
        <f t="shared" si="9"/>
        <v>0</v>
      </c>
      <c r="H56" s="459">
        <f t="shared" si="9"/>
        <v>0</v>
      </c>
      <c r="I56" s="459">
        <f t="shared" si="9"/>
        <v>0</v>
      </c>
      <c r="J56" s="459">
        <f t="shared" si="9"/>
        <v>124309.91000000006</v>
      </c>
      <c r="K56" s="459">
        <f t="shared" si="9"/>
        <v>0</v>
      </c>
      <c r="L56" s="459">
        <f t="shared" si="9"/>
        <v>0</v>
      </c>
      <c r="M56" s="459">
        <f t="shared" si="9"/>
        <v>0</v>
      </c>
      <c r="N56" s="459">
        <f t="shared" si="9"/>
        <v>0</v>
      </c>
      <c r="O56" s="459">
        <f t="shared" si="9"/>
        <v>0</v>
      </c>
      <c r="P56" s="459">
        <f t="shared" si="9"/>
        <v>0</v>
      </c>
      <c r="Q56" s="459">
        <f>+Q54+Q55</f>
        <v>290959.78000000014</v>
      </c>
    </row>
    <row r="57" spans="1:17" ht="16.5" thickBot="1">
      <c r="A57" s="300"/>
      <c r="B57" s="268" t="str">
        <f>+'GENERAL FUND-OPERATING(48-53)'!B298</f>
        <v>Fund balances - June 30, 2017</v>
      </c>
      <c r="C57" s="461">
        <f>+C53+C56</f>
        <v>223510.15000000002</v>
      </c>
      <c r="D57" s="461">
        <f t="shared" ref="D57:P57" si="10">+D53+D56</f>
        <v>1084.9100000000017</v>
      </c>
      <c r="E57" s="461">
        <f t="shared" si="10"/>
        <v>0</v>
      </c>
      <c r="F57" s="461">
        <f t="shared" si="10"/>
        <v>-126301.86000000003</v>
      </c>
      <c r="G57" s="461">
        <f t="shared" si="10"/>
        <v>0</v>
      </c>
      <c r="H57" s="461">
        <f t="shared" si="10"/>
        <v>6927.17</v>
      </c>
      <c r="I57" s="461">
        <f t="shared" si="10"/>
        <v>70261.59</v>
      </c>
      <c r="J57" s="461">
        <f t="shared" si="10"/>
        <v>124309.91000000006</v>
      </c>
      <c r="K57" s="461">
        <f t="shared" si="10"/>
        <v>-25874.79</v>
      </c>
      <c r="L57" s="461">
        <f t="shared" si="10"/>
        <v>0</v>
      </c>
      <c r="M57" s="461">
        <f t="shared" si="10"/>
        <v>456.45</v>
      </c>
      <c r="N57" s="461">
        <f t="shared" si="10"/>
        <v>0</v>
      </c>
      <c r="O57" s="461">
        <f t="shared" si="10"/>
        <v>0</v>
      </c>
      <c r="P57" s="461">
        <f t="shared" si="10"/>
        <v>0</v>
      </c>
      <c r="Q57" s="461">
        <f>+Q53+Q56</f>
        <v>274373.53000000009</v>
      </c>
    </row>
    <row r="58" spans="1:17" ht="13.5" thickTop="1">
      <c r="D58" s="308"/>
      <c r="E58" s="308"/>
      <c r="F58" s="308"/>
      <c r="G58" s="308"/>
      <c r="H58" s="308"/>
      <c r="I58" s="308"/>
      <c r="J58" s="308"/>
      <c r="K58" s="308"/>
      <c r="L58" s="308"/>
      <c r="M58" s="308"/>
      <c r="N58" s="308"/>
      <c r="O58" s="308"/>
      <c r="P58" s="308"/>
      <c r="Q58" s="308"/>
    </row>
    <row r="59" spans="1:17">
      <c r="D59" s="308"/>
      <c r="E59" s="308"/>
      <c r="F59" s="308"/>
      <c r="G59" s="308"/>
      <c r="H59" s="308"/>
      <c r="I59" s="308"/>
      <c r="J59" s="308"/>
      <c r="K59" s="308"/>
      <c r="L59" s="308"/>
      <c r="M59" s="308"/>
      <c r="N59" s="308"/>
      <c r="O59" s="308"/>
      <c r="P59" s="1215" t="s">
        <v>1142</v>
      </c>
      <c r="Q59" s="1216">
        <f>+'BS Conversion'!M68-Q57</f>
        <v>0</v>
      </c>
    </row>
    <row r="64" spans="1:17">
      <c r="F64" s="1026"/>
    </row>
  </sheetData>
  <sheetProtection sheet="1" scenarios="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7" orientation="landscape" r:id="rId2"/>
  <headerFooter alignWithMargins="0"/>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27" activePane="bottomRight" state="frozen"/>
      <selection activeCell="A53" sqref="A53:K53"/>
      <selection pane="topRight" activeCell="A53" sqref="A53:K53"/>
      <selection pane="bottomLeft" activeCell="A53" sqref="A53:K53"/>
      <selection pane="bottomRight" activeCell="B13" sqref="B13"/>
    </sheetView>
  </sheetViews>
  <sheetFormatPr defaultColWidth="8.85546875" defaultRowHeight="12.75"/>
  <cols>
    <col min="1" max="1" width="33.28515625" style="261" customWidth="1"/>
    <col min="2" max="2" width="13.85546875" style="261" customWidth="1"/>
    <col min="3" max="3" width="9.85546875" style="261" customWidth="1"/>
    <col min="4" max="4" width="15.28515625" style="261" customWidth="1"/>
    <col min="5" max="6" width="13.7109375" style="261" customWidth="1"/>
    <col min="7" max="7" width="11" style="261" customWidth="1"/>
    <col min="8" max="8" width="10.5703125" style="261" customWidth="1"/>
    <col min="9" max="9" width="14.140625" style="261" customWidth="1"/>
    <col min="10" max="11" width="10.85546875" style="261" customWidth="1"/>
    <col min="12" max="13" width="11.42578125" style="261" customWidth="1"/>
    <col min="14" max="14" width="12.5703125" style="261" customWidth="1"/>
    <col min="15" max="16384" width="8.85546875" style="261"/>
  </cols>
  <sheetData>
    <row r="1" spans="1:15" ht="18">
      <c r="A1" s="259" t="str">
        <f>+'GW-STATEMENT NET POSITION(13)'!A1</f>
        <v>TOWN OF BROADUS</v>
      </c>
      <c r="B1" s="276"/>
      <c r="C1" s="276"/>
      <c r="D1" s="276"/>
      <c r="E1" s="276"/>
      <c r="F1" s="276"/>
      <c r="G1" s="276"/>
      <c r="H1" s="276"/>
      <c r="I1" s="276"/>
      <c r="J1" s="276"/>
      <c r="K1" s="276"/>
      <c r="L1" s="276"/>
      <c r="M1" s="276"/>
      <c r="N1" s="276"/>
    </row>
    <row r="2" spans="1:15" ht="18">
      <c r="A2" s="259" t="s">
        <v>809</v>
      </c>
      <c r="B2" s="276"/>
      <c r="C2" s="276"/>
      <c r="D2" s="276"/>
      <c r="E2" s="276"/>
      <c r="F2" s="276"/>
      <c r="G2" s="276"/>
      <c r="H2" s="276"/>
      <c r="I2" s="276"/>
      <c r="J2" s="276"/>
      <c r="K2" s="276"/>
      <c r="L2" s="276"/>
      <c r="M2" s="276"/>
      <c r="N2" s="276"/>
    </row>
    <row r="3" spans="1:15" ht="18">
      <c r="A3" s="259" t="s">
        <v>353</v>
      </c>
      <c r="B3" s="276"/>
      <c r="C3" s="276"/>
      <c r="D3" s="276"/>
      <c r="E3" s="276"/>
      <c r="F3" s="276"/>
      <c r="G3" s="276"/>
      <c r="H3" s="276"/>
      <c r="I3" s="276"/>
      <c r="J3" s="276"/>
      <c r="K3" s="276"/>
      <c r="L3" s="276"/>
      <c r="M3" s="276"/>
      <c r="N3" s="276"/>
    </row>
    <row r="4" spans="1:15" ht="18">
      <c r="A4" s="259" t="str">
        <f>+'GW-STATEMENT OF ACTIVITIES(14)'!B3</f>
        <v>FISCAL YEAR ENDING JUNE 30, 2017</v>
      </c>
      <c r="B4" s="276"/>
      <c r="C4" s="276"/>
      <c r="D4" s="276"/>
      <c r="E4" s="276"/>
      <c r="F4" s="276"/>
      <c r="G4" s="276"/>
      <c r="H4" s="276"/>
      <c r="I4" s="276"/>
      <c r="J4" s="276"/>
      <c r="K4" s="276"/>
      <c r="L4" s="276"/>
      <c r="M4" s="276"/>
      <c r="N4" s="276"/>
    </row>
    <row r="5" spans="1:15">
      <c r="A5" s="276"/>
      <c r="B5" s="276"/>
      <c r="C5" s="276"/>
      <c r="D5" s="276"/>
      <c r="E5" s="276"/>
      <c r="F5" s="276"/>
      <c r="G5" s="276"/>
      <c r="H5" s="276"/>
      <c r="I5" s="276"/>
      <c r="J5" s="276"/>
      <c r="K5" s="276"/>
      <c r="L5" s="276"/>
      <c r="M5" s="276"/>
      <c r="N5" s="276"/>
    </row>
    <row r="6" spans="1:15" ht="13.5" thickBot="1">
      <c r="A6" s="276"/>
      <c r="B6" s="276"/>
      <c r="C6" s="276"/>
      <c r="D6" s="1748" t="s">
        <v>297</v>
      </c>
      <c r="E6" s="1748"/>
      <c r="F6" s="1749"/>
      <c r="G6" s="276"/>
      <c r="H6" s="276"/>
      <c r="I6" s="276"/>
      <c r="J6" s="276"/>
      <c r="K6" s="276"/>
      <c r="L6" s="276"/>
      <c r="M6" s="276"/>
      <c r="N6" s="276"/>
    </row>
    <row r="7" spans="1:15" ht="64.5" thickBot="1">
      <c r="A7" s="468" t="s">
        <v>1141</v>
      </c>
      <c r="B7" s="468" t="s">
        <v>300</v>
      </c>
      <c r="C7" s="468" t="s">
        <v>296</v>
      </c>
      <c r="D7" s="468" t="s">
        <v>311</v>
      </c>
      <c r="E7" s="468" t="s">
        <v>312</v>
      </c>
      <c r="F7" s="468" t="s">
        <v>263</v>
      </c>
      <c r="G7" s="468" t="s">
        <v>298</v>
      </c>
      <c r="H7" s="468" t="s">
        <v>301</v>
      </c>
      <c r="I7" s="468" t="s">
        <v>214</v>
      </c>
      <c r="J7" s="468" t="s">
        <v>299</v>
      </c>
      <c r="K7" s="468" t="s">
        <v>236</v>
      </c>
      <c r="L7" s="468" t="s">
        <v>116</v>
      </c>
      <c r="M7" s="468" t="s">
        <v>1764</v>
      </c>
      <c r="N7" s="468" t="s">
        <v>1030</v>
      </c>
      <c r="O7" s="469"/>
    </row>
    <row r="8" spans="1:15" ht="13.5" thickBot="1">
      <c r="A8" s="546" t="s">
        <v>264</v>
      </c>
      <c r="B8" s="461">
        <f>+'OP Conversion'!Q11</f>
        <v>153077</v>
      </c>
      <c r="C8" s="461">
        <f>+'OP Conversion'!Q12</f>
        <v>1410</v>
      </c>
      <c r="D8" s="473"/>
      <c r="E8" s="461">
        <f>+'OP Conversion'!Q13</f>
        <v>135596.35</v>
      </c>
      <c r="F8" s="473"/>
      <c r="G8" s="461">
        <f>+'OP Conversion'!Q14</f>
        <v>727.89</v>
      </c>
      <c r="H8" s="461">
        <f>+'OP Conversion'!Q15</f>
        <v>110</v>
      </c>
      <c r="I8" s="461">
        <f>+'OP Conversion'!Q16</f>
        <v>0</v>
      </c>
      <c r="J8" s="461">
        <f>+'OP Conversion'!Q17</f>
        <v>411.29000000000008</v>
      </c>
      <c r="K8" s="461">
        <f>+'OP Conversion'!Q18</f>
        <v>0</v>
      </c>
      <c r="L8" s="461">
        <f>+'OP Conversion'!Q46+'OP Conversion'!Q47</f>
        <v>0</v>
      </c>
      <c r="M8" s="461">
        <f>'OP Conversion'!Q48+'OP Conversion'!Q49+'OP Conversion'!Q50+'OP Conversion'!Q51</f>
        <v>0</v>
      </c>
      <c r="N8" s="461">
        <f>SUM(B8:M8)</f>
        <v>291332.52999999997</v>
      </c>
      <c r="O8" s="469"/>
    </row>
    <row r="9" spans="1:15" ht="13.5" thickTop="1">
      <c r="A9" s="479"/>
      <c r="B9" s="479"/>
      <c r="C9" s="479"/>
      <c r="D9" s="479"/>
      <c r="E9" s="479"/>
      <c r="F9" s="479"/>
      <c r="G9" s="479"/>
      <c r="H9" s="479"/>
      <c r="I9" s="479"/>
      <c r="J9" s="479"/>
      <c r="K9" s="479"/>
      <c r="L9" s="479"/>
      <c r="M9" s="479"/>
      <c r="N9" s="479"/>
      <c r="O9" s="469"/>
    </row>
    <row r="10" spans="1:15" ht="15.75">
      <c r="A10" s="547" t="s">
        <v>307</v>
      </c>
      <c r="B10" s="327"/>
      <c r="C10" s="327"/>
      <c r="D10" s="327"/>
      <c r="E10" s="327"/>
      <c r="F10" s="327"/>
      <c r="G10" s="327"/>
      <c r="H10" s="327"/>
      <c r="I10" s="327"/>
      <c r="J10" s="327"/>
      <c r="K10" s="327"/>
      <c r="L10" s="327"/>
      <c r="M10" s="327"/>
      <c r="N10" s="327"/>
    </row>
    <row r="11" spans="1:15">
      <c r="A11" s="470" t="s">
        <v>302</v>
      </c>
      <c r="B11" s="454"/>
      <c r="C11" s="457"/>
      <c r="D11" s="302"/>
      <c r="E11" s="302"/>
      <c r="F11" s="457"/>
      <c r="G11" s="302"/>
      <c r="H11" s="302"/>
      <c r="I11" s="302"/>
      <c r="J11" s="302"/>
      <c r="K11" s="454"/>
      <c r="L11" s="454"/>
      <c r="M11" s="454"/>
      <c r="N11" s="584">
        <f t="shared" ref="N11:N20" si="0">SUM(B11:M11)</f>
        <v>0</v>
      </c>
    </row>
    <row r="12" spans="1:15">
      <c r="A12" s="470" t="s">
        <v>1039</v>
      </c>
      <c r="B12" s="454"/>
      <c r="C12" s="457"/>
      <c r="D12" s="302"/>
      <c r="E12" s="302"/>
      <c r="F12" s="457"/>
      <c r="G12" s="302"/>
      <c r="H12" s="302"/>
      <c r="I12" s="302"/>
      <c r="J12" s="302"/>
      <c r="K12" s="454"/>
      <c r="L12" s="454"/>
      <c r="M12" s="454"/>
      <c r="N12" s="584">
        <f t="shared" si="0"/>
        <v>0</v>
      </c>
    </row>
    <row r="13" spans="1:15">
      <c r="A13" s="470" t="s">
        <v>1040</v>
      </c>
      <c r="B13" s="457"/>
      <c r="C13" s="457"/>
      <c r="D13" s="302"/>
      <c r="E13" s="302"/>
      <c r="F13" s="457"/>
      <c r="G13" s="302">
        <v>727.89</v>
      </c>
      <c r="H13" s="302">
        <v>110</v>
      </c>
      <c r="I13" s="302"/>
      <c r="J13" s="302"/>
      <c r="K13" s="454"/>
      <c r="L13" s="454"/>
      <c r="M13" s="454"/>
      <c r="N13" s="584">
        <f t="shared" si="0"/>
        <v>837.89</v>
      </c>
    </row>
    <row r="14" spans="1:15">
      <c r="A14" s="470" t="s">
        <v>1041</v>
      </c>
      <c r="B14" s="454"/>
      <c r="C14" s="457"/>
      <c r="D14" s="302"/>
      <c r="E14" s="302"/>
      <c r="F14" s="457"/>
      <c r="G14" s="302"/>
      <c r="H14" s="302"/>
      <c r="I14" s="302"/>
      <c r="J14" s="302"/>
      <c r="K14" s="454"/>
      <c r="L14" s="454"/>
      <c r="M14" s="454"/>
      <c r="N14" s="584">
        <f t="shared" si="0"/>
        <v>0</v>
      </c>
    </row>
    <row r="15" spans="1:15">
      <c r="A15" s="470" t="s">
        <v>303</v>
      </c>
      <c r="B15" s="454"/>
      <c r="C15" s="457"/>
      <c r="D15" s="302"/>
      <c r="E15" s="302"/>
      <c r="F15" s="457"/>
      <c r="G15" s="302"/>
      <c r="H15" s="302"/>
      <c r="I15" s="302"/>
      <c r="J15" s="302"/>
      <c r="K15" s="454"/>
      <c r="L15" s="454"/>
      <c r="M15" s="454"/>
      <c r="N15" s="584">
        <f t="shared" si="0"/>
        <v>0</v>
      </c>
    </row>
    <row r="16" spans="1:15">
      <c r="A16" s="470" t="s">
        <v>304</v>
      </c>
      <c r="B16" s="454"/>
      <c r="C16" s="457"/>
      <c r="D16" s="302"/>
      <c r="E16" s="302"/>
      <c r="F16" s="457"/>
      <c r="G16" s="302"/>
      <c r="H16" s="302"/>
      <c r="I16" s="302"/>
      <c r="J16" s="302"/>
      <c r="K16" s="454"/>
      <c r="L16" s="454"/>
      <c r="M16" s="454"/>
      <c r="N16" s="584">
        <f t="shared" si="0"/>
        <v>0</v>
      </c>
    </row>
    <row r="17" spans="1:14">
      <c r="A17" s="470" t="s">
        <v>305</v>
      </c>
      <c r="B17" s="454"/>
      <c r="C17" s="457"/>
      <c r="D17" s="302"/>
      <c r="E17" s="302"/>
      <c r="F17" s="457"/>
      <c r="G17" s="302"/>
      <c r="H17" s="302"/>
      <c r="I17" s="302"/>
      <c r="J17" s="302"/>
      <c r="K17" s="454"/>
      <c r="L17" s="454"/>
      <c r="M17" s="454"/>
      <c r="N17" s="584">
        <f t="shared" si="0"/>
        <v>0</v>
      </c>
    </row>
    <row r="18" spans="1:14">
      <c r="A18" s="470" t="s">
        <v>1088</v>
      </c>
      <c r="B18" s="454"/>
      <c r="C18" s="457"/>
      <c r="D18" s="302"/>
      <c r="E18" s="302"/>
      <c r="F18" s="457"/>
      <c r="G18" s="302"/>
      <c r="H18" s="302"/>
      <c r="I18" s="302"/>
      <c r="J18" s="302"/>
      <c r="K18" s="454"/>
      <c r="L18" s="454"/>
      <c r="M18" s="454"/>
      <c r="N18" s="584">
        <f t="shared" si="0"/>
        <v>0</v>
      </c>
    </row>
    <row r="19" spans="1:14">
      <c r="A19" s="470" t="s">
        <v>306</v>
      </c>
      <c r="B19" s="454"/>
      <c r="C19" s="454"/>
      <c r="D19" s="302"/>
      <c r="E19" s="302"/>
      <c r="F19" s="457"/>
      <c r="G19" s="302"/>
      <c r="H19" s="302"/>
      <c r="I19" s="302"/>
      <c r="J19" s="302"/>
      <c r="K19" s="454"/>
      <c r="L19" s="454"/>
      <c r="M19" s="454"/>
      <c r="N19" s="584">
        <f t="shared" si="0"/>
        <v>0</v>
      </c>
    </row>
    <row r="20" spans="1:14">
      <c r="A20" s="470" t="s">
        <v>1029</v>
      </c>
      <c r="B20" s="471"/>
      <c r="C20" s="457"/>
      <c r="D20" s="302"/>
      <c r="E20" s="302"/>
      <c r="F20" s="457"/>
      <c r="G20" s="302"/>
      <c r="H20" s="302"/>
      <c r="I20" s="302"/>
      <c r="J20" s="302"/>
      <c r="K20" s="454"/>
      <c r="L20" s="454"/>
      <c r="M20" s="454"/>
      <c r="N20" s="584">
        <f t="shared" si="0"/>
        <v>0</v>
      </c>
    </row>
    <row r="21" spans="1:14" ht="13.5" thickBot="1">
      <c r="A21" s="308"/>
      <c r="B21" s="477"/>
      <c r="C21" s="477"/>
      <c r="D21" s="458"/>
      <c r="E21" s="458"/>
      <c r="F21" s="466"/>
      <c r="G21" s="458"/>
      <c r="H21" s="458"/>
      <c r="I21" s="458"/>
      <c r="J21" s="458"/>
      <c r="K21" s="465"/>
      <c r="L21" s="477"/>
      <c r="M21" s="465"/>
      <c r="N21" s="459"/>
    </row>
    <row r="22" spans="1:14" ht="32.25" thickBot="1">
      <c r="A22" s="548" t="s">
        <v>309</v>
      </c>
      <c r="B22" s="474">
        <f>SUM(B10:B21)</f>
        <v>0</v>
      </c>
      <c r="C22" s="474">
        <f t="shared" ref="C22:N22" si="1">SUM(C10:C21)</f>
        <v>0</v>
      </c>
      <c r="D22" s="460">
        <f t="shared" si="1"/>
        <v>0</v>
      </c>
      <c r="E22" s="460">
        <f t="shared" si="1"/>
        <v>0</v>
      </c>
      <c r="F22" s="475">
        <f t="shared" si="1"/>
        <v>0</v>
      </c>
      <c r="G22" s="460">
        <f t="shared" si="1"/>
        <v>727.89</v>
      </c>
      <c r="H22" s="460">
        <f t="shared" si="1"/>
        <v>110</v>
      </c>
      <c r="I22" s="460">
        <f t="shared" si="1"/>
        <v>0</v>
      </c>
      <c r="J22" s="460">
        <f t="shared" si="1"/>
        <v>0</v>
      </c>
      <c r="K22" s="474">
        <f>SUM(K10:K21)</f>
        <v>0</v>
      </c>
      <c r="L22" s="474">
        <f>SUM(L10:L21)</f>
        <v>0</v>
      </c>
      <c r="M22" s="474">
        <f>SUM(M10:M21)</f>
        <v>0</v>
      </c>
      <c r="N22" s="460">
        <f t="shared" si="1"/>
        <v>837.89</v>
      </c>
    </row>
    <row r="23" spans="1:14">
      <c r="A23" s="308"/>
      <c r="B23" s="327"/>
      <c r="C23" s="327"/>
      <c r="D23" s="327"/>
      <c r="E23" s="327"/>
      <c r="F23" s="327"/>
      <c r="G23" s="327"/>
      <c r="H23" s="327"/>
      <c r="I23" s="327"/>
      <c r="J23" s="327"/>
      <c r="K23" s="327"/>
      <c r="L23" s="327"/>
      <c r="M23" s="327"/>
      <c r="N23" s="327"/>
    </row>
    <row r="24" spans="1:14" ht="15.75">
      <c r="A24" s="549" t="s">
        <v>308</v>
      </c>
      <c r="B24" s="327"/>
      <c r="C24" s="327"/>
      <c r="D24" s="327"/>
      <c r="E24" s="327"/>
      <c r="F24" s="327"/>
      <c r="G24" s="327"/>
      <c r="H24" s="327"/>
      <c r="I24" s="327"/>
      <c r="J24" s="327"/>
      <c r="K24" s="327"/>
      <c r="L24" s="327"/>
      <c r="M24" s="327"/>
      <c r="N24" s="327"/>
    </row>
    <row r="25" spans="1:14" ht="15.75">
      <c r="A25" s="472" t="s">
        <v>274</v>
      </c>
      <c r="B25" s="302">
        <f>B8-B22-B26</f>
        <v>153077</v>
      </c>
      <c r="C25" s="454"/>
      <c r="D25" s="454"/>
      <c r="E25" s="454"/>
      <c r="F25" s="454"/>
      <c r="G25" s="454"/>
      <c r="H25" s="454"/>
      <c r="I25" s="454"/>
      <c r="J25" s="454"/>
      <c r="K25" s="454"/>
      <c r="L25" s="454"/>
      <c r="M25" s="454"/>
      <c r="N25" s="327">
        <f>SUM(B25:M25)</f>
        <v>153077</v>
      </c>
    </row>
    <row r="26" spans="1:14" ht="15.75">
      <c r="A26" s="472" t="s">
        <v>273</v>
      </c>
      <c r="B26" s="302"/>
      <c r="C26" s="454"/>
      <c r="D26" s="454"/>
      <c r="E26" s="454"/>
      <c r="F26" s="454"/>
      <c r="G26" s="454"/>
      <c r="H26" s="454"/>
      <c r="I26" s="454"/>
      <c r="J26" s="454"/>
      <c r="K26" s="454"/>
      <c r="L26" s="454"/>
      <c r="M26" s="454"/>
      <c r="N26" s="327">
        <f t="shared" ref="N26:N34" si="2">SUM(B26:M26)</f>
        <v>0</v>
      </c>
    </row>
    <row r="27" spans="1:14" ht="15.75">
      <c r="A27" s="472" t="s">
        <v>275</v>
      </c>
      <c r="B27" s="454"/>
      <c r="C27" s="457">
        <f>C8-C22</f>
        <v>1410</v>
      </c>
      <c r="D27" s="454"/>
      <c r="E27" s="454"/>
      <c r="F27" s="454"/>
      <c r="G27" s="454"/>
      <c r="H27" s="454"/>
      <c r="I27" s="454"/>
      <c r="J27" s="454"/>
      <c r="K27" s="454"/>
      <c r="L27" s="454"/>
      <c r="M27" s="454"/>
      <c r="N27" s="327">
        <f t="shared" si="2"/>
        <v>1410</v>
      </c>
    </row>
    <row r="28" spans="1:14" ht="31.5">
      <c r="A28" s="472" t="s">
        <v>1198</v>
      </c>
      <c r="B28" s="454"/>
      <c r="C28" s="454"/>
      <c r="D28" s="454"/>
      <c r="E28" s="454"/>
      <c r="F28" s="302">
        <f>E8-D22-E22-F22-D29-E29</f>
        <v>135596.35</v>
      </c>
      <c r="G28" s="454"/>
      <c r="H28" s="454"/>
      <c r="I28" s="454"/>
      <c r="J28" s="454"/>
      <c r="K28" s="454"/>
      <c r="L28" s="454"/>
      <c r="M28" s="454"/>
      <c r="N28" s="327">
        <f t="shared" si="2"/>
        <v>135596.35</v>
      </c>
    </row>
    <row r="29" spans="1:14" ht="31.5">
      <c r="A29" s="472" t="s">
        <v>276</v>
      </c>
      <c r="B29" s="454"/>
      <c r="C29" s="454"/>
      <c r="D29" s="457"/>
      <c r="E29" s="457"/>
      <c r="F29" s="454"/>
      <c r="G29" s="454"/>
      <c r="H29" s="454"/>
      <c r="I29" s="454"/>
      <c r="J29" s="454"/>
      <c r="K29" s="454"/>
      <c r="L29" s="454"/>
      <c r="M29" s="454"/>
      <c r="N29" s="327">
        <f t="shared" si="2"/>
        <v>0</v>
      </c>
    </row>
    <row r="30" spans="1:14" ht="31.5">
      <c r="A30" s="472" t="s">
        <v>277</v>
      </c>
      <c r="B30" s="454"/>
      <c r="C30" s="454"/>
      <c r="D30" s="454"/>
      <c r="E30" s="454"/>
      <c r="F30" s="454"/>
      <c r="G30" s="454"/>
      <c r="H30" s="454"/>
      <c r="I30" s="454"/>
      <c r="J30" s="302">
        <f>J8-J22</f>
        <v>411.29000000000008</v>
      </c>
      <c r="K30" s="454"/>
      <c r="L30" s="454"/>
      <c r="M30" s="454"/>
      <c r="N30" s="327">
        <f t="shared" si="2"/>
        <v>411.29000000000008</v>
      </c>
    </row>
    <row r="31" spans="1:14" ht="15.75">
      <c r="A31" s="472" t="s">
        <v>290</v>
      </c>
      <c r="B31" s="454"/>
      <c r="C31" s="454"/>
      <c r="D31" s="454"/>
      <c r="E31" s="454"/>
      <c r="F31" s="454"/>
      <c r="G31" s="454"/>
      <c r="H31" s="454"/>
      <c r="I31" s="302">
        <f>I8-I22</f>
        <v>0</v>
      </c>
      <c r="J31" s="454"/>
      <c r="K31" s="454"/>
      <c r="L31" s="454"/>
      <c r="M31" s="454"/>
      <c r="N31" s="327">
        <f t="shared" si="2"/>
        <v>0</v>
      </c>
    </row>
    <row r="32" spans="1:14" ht="31.5">
      <c r="A32" s="472" t="s">
        <v>278</v>
      </c>
      <c r="B32" s="454"/>
      <c r="C32" s="454"/>
      <c r="D32" s="454"/>
      <c r="E32" s="454"/>
      <c r="F32" s="454"/>
      <c r="G32" s="454"/>
      <c r="H32" s="454"/>
      <c r="I32" s="454"/>
      <c r="J32" s="454"/>
      <c r="K32" s="302">
        <f>K8-K22</f>
        <v>0</v>
      </c>
      <c r="L32" s="454"/>
      <c r="M32" s="454"/>
      <c r="N32" s="327">
        <f t="shared" si="2"/>
        <v>0</v>
      </c>
    </row>
    <row r="33" spans="1:14" ht="15.75">
      <c r="A33" s="472" t="s">
        <v>279</v>
      </c>
      <c r="B33" s="454"/>
      <c r="C33" s="454"/>
      <c r="D33" s="454"/>
      <c r="E33" s="454"/>
      <c r="F33" s="454"/>
      <c r="G33" s="454"/>
      <c r="H33" s="454"/>
      <c r="I33" s="454"/>
      <c r="J33" s="454"/>
      <c r="K33" s="581"/>
      <c r="L33" s="457">
        <f>L8</f>
        <v>0</v>
      </c>
      <c r="M33" s="454"/>
      <c r="N33" s="327">
        <f t="shared" si="2"/>
        <v>0</v>
      </c>
    </row>
    <row r="34" spans="1:14" ht="16.5" thickBot="1">
      <c r="A34" s="472" t="s">
        <v>1765</v>
      </c>
      <c r="B34" s="465"/>
      <c r="C34" s="465"/>
      <c r="D34" s="465"/>
      <c r="E34" s="465"/>
      <c r="F34" s="465"/>
      <c r="G34" s="465"/>
      <c r="H34" s="465"/>
      <c r="I34" s="465"/>
      <c r="J34" s="465"/>
      <c r="K34" s="465"/>
      <c r="L34" s="465"/>
      <c r="M34" s="458">
        <f>M8</f>
        <v>0</v>
      </c>
      <c r="N34" s="459">
        <f t="shared" si="2"/>
        <v>0</v>
      </c>
    </row>
    <row r="35" spans="1:14" ht="32.25" thickBot="1">
      <c r="A35" s="550" t="s">
        <v>265</v>
      </c>
      <c r="B35" s="459">
        <f t="shared" ref="B35:N35" si="3">SUM(B24:B34)</f>
        <v>153077</v>
      </c>
      <c r="C35" s="459">
        <f t="shared" si="3"/>
        <v>1410</v>
      </c>
      <c r="D35" s="476">
        <f t="shared" si="3"/>
        <v>0</v>
      </c>
      <c r="E35" s="476">
        <f t="shared" si="3"/>
        <v>0</v>
      </c>
      <c r="F35" s="459">
        <f t="shared" si="3"/>
        <v>135596.35</v>
      </c>
      <c r="G35" s="477">
        <f t="shared" si="3"/>
        <v>0</v>
      </c>
      <c r="H35" s="477">
        <f t="shared" si="3"/>
        <v>0</v>
      </c>
      <c r="I35" s="459">
        <f t="shared" si="3"/>
        <v>0</v>
      </c>
      <c r="J35" s="459">
        <f t="shared" si="3"/>
        <v>411.29000000000008</v>
      </c>
      <c r="K35" s="459">
        <f t="shared" si="3"/>
        <v>0</v>
      </c>
      <c r="L35" s="459">
        <f t="shared" si="3"/>
        <v>0</v>
      </c>
      <c r="M35" s="459">
        <f t="shared" si="3"/>
        <v>0</v>
      </c>
      <c r="N35" s="459">
        <f t="shared" si="3"/>
        <v>290494.63999999996</v>
      </c>
    </row>
    <row r="36" spans="1:14">
      <c r="A36" s="308"/>
      <c r="B36" s="327"/>
      <c r="C36" s="327"/>
      <c r="D36" s="462"/>
      <c r="E36" s="327"/>
      <c r="F36" s="462"/>
      <c r="G36" s="327"/>
      <c r="H36" s="327"/>
      <c r="I36" s="327"/>
      <c r="J36" s="327"/>
      <c r="K36" s="327"/>
      <c r="L36" s="327"/>
      <c r="M36" s="327"/>
      <c r="N36" s="327"/>
    </row>
    <row r="37" spans="1:14" ht="16.5" thickBot="1">
      <c r="A37" s="551" t="s">
        <v>310</v>
      </c>
      <c r="B37" s="342">
        <f>+B22+B35</f>
        <v>153077</v>
      </c>
      <c r="C37" s="342">
        <f>+C22+C35</f>
        <v>1410</v>
      </c>
      <c r="D37" s="478"/>
      <c r="E37" s="342">
        <f>+D22+D35+E22+E35+F22+F35</f>
        <v>135596.35</v>
      </c>
      <c r="F37" s="478"/>
      <c r="G37" s="342">
        <f t="shared" ref="G37:N37" si="4">+G22+G35</f>
        <v>727.89</v>
      </c>
      <c r="H37" s="342">
        <f t="shared" si="4"/>
        <v>110</v>
      </c>
      <c r="I37" s="342">
        <f t="shared" si="4"/>
        <v>0</v>
      </c>
      <c r="J37" s="342">
        <f t="shared" si="4"/>
        <v>411.29000000000008</v>
      </c>
      <c r="K37" s="342">
        <f t="shared" si="4"/>
        <v>0</v>
      </c>
      <c r="L37" s="342">
        <f t="shared" si="4"/>
        <v>0</v>
      </c>
      <c r="M37" s="342">
        <f t="shared" si="4"/>
        <v>0</v>
      </c>
      <c r="N37" s="342">
        <f t="shared" si="4"/>
        <v>291332.52999999997</v>
      </c>
    </row>
    <row r="38" spans="1:14" ht="13.5" thickTop="1">
      <c r="N38" s="308"/>
    </row>
    <row r="39" spans="1:14">
      <c r="K39" s="1217" t="s">
        <v>1557</v>
      </c>
      <c r="L39" s="1218"/>
      <c r="M39" s="1218"/>
      <c r="N39" s="1219">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dimension ref="A3:H52"/>
  <sheetViews>
    <sheetView topLeftCell="A10" zoomScaleNormal="100" workbookViewId="0">
      <selection activeCell="E34" sqref="E34"/>
    </sheetView>
  </sheetViews>
  <sheetFormatPr defaultColWidth="8.85546875" defaultRowHeight="12.75"/>
  <cols>
    <col min="1" max="1" width="4.7109375" style="261" customWidth="1"/>
    <col min="2" max="2" width="12.7109375" style="261" customWidth="1"/>
    <col min="3" max="3" width="50.7109375" style="261" customWidth="1"/>
    <col min="4" max="6" width="20.7109375" style="261" customWidth="1"/>
    <col min="7" max="7" width="22.42578125" style="261" customWidth="1"/>
    <col min="8" max="8" width="20.7109375" style="261" customWidth="1"/>
    <col min="9" max="16384" width="8.85546875" style="261"/>
  </cols>
  <sheetData>
    <row r="3" spans="2:8" ht="20.25">
      <c r="B3" s="480" t="str">
        <f>+'GW-STATEMENT NET POSITION(13)'!A1</f>
        <v>TOWN OF BROADUS</v>
      </c>
      <c r="C3" s="276"/>
      <c r="D3" s="276"/>
      <c r="E3" s="276"/>
      <c r="F3" s="276"/>
      <c r="G3" s="276"/>
      <c r="H3" s="276"/>
    </row>
    <row r="4" spans="2:8" ht="20.25">
      <c r="B4" s="480" t="s">
        <v>3240</v>
      </c>
      <c r="C4" s="276"/>
      <c r="D4" s="276"/>
      <c r="E4" s="276"/>
      <c r="F4" s="276"/>
      <c r="G4" s="276"/>
      <c r="H4" s="276"/>
    </row>
    <row r="5" spans="2:8" ht="18">
      <c r="B5" s="259" t="str">
        <f>+'GW-STATEMENT OF ACTIVITIES(14)'!B3</f>
        <v>FISCAL YEAR ENDING JUNE 30, 2017</v>
      </c>
      <c r="C5" s="276"/>
      <c r="D5" s="276"/>
      <c r="E5" s="276"/>
      <c r="F5" s="276"/>
      <c r="G5" s="276"/>
      <c r="H5" s="276"/>
    </row>
    <row r="7" spans="2:8" ht="15.75">
      <c r="C7" s="263"/>
      <c r="E7" s="263"/>
      <c r="F7" s="263"/>
      <c r="G7" s="266" t="s">
        <v>500</v>
      </c>
      <c r="H7" s="263"/>
    </row>
    <row r="8" spans="2:8" ht="15.75">
      <c r="B8" s="266" t="s">
        <v>1013</v>
      </c>
      <c r="C8" s="263"/>
      <c r="D8" s="266" t="s">
        <v>903</v>
      </c>
      <c r="E8" s="266"/>
      <c r="F8" s="266"/>
      <c r="G8" s="266" t="s">
        <v>3230</v>
      </c>
      <c r="H8" s="266" t="s">
        <v>903</v>
      </c>
    </row>
    <row r="9" spans="2:8" ht="16.5" thickBot="1">
      <c r="B9" s="267" t="s">
        <v>1014</v>
      </c>
      <c r="C9" s="267" t="s">
        <v>904</v>
      </c>
      <c r="D9" s="481">
        <v>42552</v>
      </c>
      <c r="E9" s="267" t="s">
        <v>905</v>
      </c>
      <c r="F9" s="267" t="s">
        <v>906</v>
      </c>
      <c r="G9" s="267" t="s">
        <v>499</v>
      </c>
      <c r="H9" s="481">
        <v>42916</v>
      </c>
    </row>
    <row r="10" spans="2:8" ht="15">
      <c r="C10" s="263"/>
      <c r="D10" s="263"/>
      <c r="E10" s="263"/>
      <c r="F10" s="263"/>
      <c r="G10" s="263"/>
      <c r="H10" s="411"/>
    </row>
    <row r="11" spans="2:8" ht="15">
      <c r="B11" s="300">
        <v>181000</v>
      </c>
      <c r="C11" s="263" t="s">
        <v>907</v>
      </c>
      <c r="D11" s="269">
        <v>2540</v>
      </c>
      <c r="E11" s="269"/>
      <c r="F11" s="269"/>
      <c r="G11" s="269"/>
      <c r="H11" s="277">
        <f>+D11+E11-F11+G11</f>
        <v>2540</v>
      </c>
    </row>
    <row r="12" spans="2:8" ht="15">
      <c r="B12" s="300">
        <v>188000</v>
      </c>
      <c r="C12" s="263" t="s">
        <v>65</v>
      </c>
      <c r="D12" s="269"/>
      <c r="E12" s="269"/>
      <c r="F12" s="269"/>
      <c r="G12" s="269"/>
      <c r="H12" s="277">
        <f t="shared" ref="H12:H25" si="0">+D12+E12-F12+G12</f>
        <v>0</v>
      </c>
    </row>
    <row r="13" spans="2:8" ht="15">
      <c r="B13" s="300">
        <v>182000</v>
      </c>
      <c r="C13" s="263" t="s">
        <v>908</v>
      </c>
      <c r="D13" s="269">
        <v>73966.240000000005</v>
      </c>
      <c r="E13" s="269"/>
      <c r="F13" s="269"/>
      <c r="G13" s="269"/>
      <c r="H13" s="277">
        <f t="shared" si="0"/>
        <v>73966.240000000005</v>
      </c>
    </row>
    <row r="14" spans="2:8" ht="15">
      <c r="B14" s="300">
        <v>182100</v>
      </c>
      <c r="C14" s="263" t="s">
        <v>909</v>
      </c>
      <c r="D14" s="269">
        <v>-55157.42</v>
      </c>
      <c r="E14" s="269"/>
      <c r="F14" s="269">
        <v>3122.21</v>
      </c>
      <c r="G14" s="269"/>
      <c r="H14" s="277">
        <f t="shared" si="0"/>
        <v>-58279.63</v>
      </c>
    </row>
    <row r="15" spans="2:8" ht="15">
      <c r="D15" s="269"/>
      <c r="E15" s="269"/>
      <c r="F15" s="269"/>
      <c r="G15" s="269"/>
      <c r="H15" s="277"/>
    </row>
    <row r="16" spans="2:8" ht="15">
      <c r="B16" s="300">
        <v>183000</v>
      </c>
      <c r="C16" s="263" t="s">
        <v>483</v>
      </c>
      <c r="D16" s="269"/>
      <c r="E16" s="269"/>
      <c r="F16" s="269"/>
      <c r="G16" s="269"/>
      <c r="H16" s="277">
        <f t="shared" si="0"/>
        <v>0</v>
      </c>
    </row>
    <row r="17" spans="1:8" ht="15">
      <c r="B17" s="300">
        <v>183100</v>
      </c>
      <c r="C17" s="263" t="s">
        <v>1424</v>
      </c>
      <c r="D17" s="269"/>
      <c r="E17" s="269"/>
      <c r="F17" s="269"/>
      <c r="G17" s="269"/>
      <c r="H17" s="277">
        <f t="shared" si="0"/>
        <v>0</v>
      </c>
    </row>
    <row r="18" spans="1:8" ht="15">
      <c r="D18" s="269"/>
      <c r="E18" s="269"/>
      <c r="F18" s="269"/>
      <c r="G18" s="269"/>
      <c r="H18" s="277"/>
    </row>
    <row r="19" spans="1:8" ht="15">
      <c r="B19" s="300">
        <v>184000</v>
      </c>
      <c r="C19" s="270" t="s">
        <v>910</v>
      </c>
      <c r="D19" s="269">
        <v>10683.89</v>
      </c>
      <c r="E19" s="269"/>
      <c r="F19" s="269"/>
      <c r="G19" s="269"/>
      <c r="H19" s="277">
        <f t="shared" si="0"/>
        <v>10683.89</v>
      </c>
    </row>
    <row r="20" spans="1:8" ht="15">
      <c r="B20" s="300">
        <v>184100</v>
      </c>
      <c r="C20" s="263" t="s">
        <v>909</v>
      </c>
      <c r="D20" s="269">
        <v>-8629.32</v>
      </c>
      <c r="E20" s="269"/>
      <c r="F20" s="269">
        <v>483.43</v>
      </c>
      <c r="G20" s="269"/>
      <c r="H20" s="277">
        <f t="shared" si="0"/>
        <v>-9112.75</v>
      </c>
    </row>
    <row r="21" spans="1:8" ht="15">
      <c r="D21" s="269"/>
      <c r="E21" s="269"/>
      <c r="F21" s="269"/>
      <c r="G21" s="269"/>
      <c r="H21" s="277"/>
    </row>
    <row r="22" spans="1:8" ht="15">
      <c r="B22" s="300">
        <v>186000</v>
      </c>
      <c r="C22" s="263" t="s">
        <v>911</v>
      </c>
      <c r="D22" s="269">
        <v>322889.28000000003</v>
      </c>
      <c r="E22" s="269">
        <v>57261.59</v>
      </c>
      <c r="F22" s="269"/>
      <c r="G22" s="269"/>
      <c r="H22" s="277">
        <f t="shared" si="0"/>
        <v>380150.87</v>
      </c>
    </row>
    <row r="23" spans="1:8" ht="15">
      <c r="B23" s="300">
        <v>186100</v>
      </c>
      <c r="C23" s="263" t="s">
        <v>909</v>
      </c>
      <c r="D23" s="269">
        <v>-276476.15999999997</v>
      </c>
      <c r="E23" s="269"/>
      <c r="F23" s="269">
        <v>13769.66</v>
      </c>
      <c r="G23" s="269"/>
      <c r="H23" s="277">
        <f t="shared" si="0"/>
        <v>-290245.81999999995</v>
      </c>
    </row>
    <row r="24" spans="1:8" ht="19.5">
      <c r="A24" s="482" t="s">
        <v>912</v>
      </c>
      <c r="D24" s="269"/>
      <c r="E24" s="269"/>
      <c r="F24" s="269"/>
      <c r="G24" s="269"/>
      <c r="H24" s="277"/>
    </row>
    <row r="25" spans="1:8" ht="15">
      <c r="B25" s="300">
        <v>187000</v>
      </c>
      <c r="C25" s="263" t="s">
        <v>913</v>
      </c>
      <c r="D25" s="269">
        <v>69585.649999999994</v>
      </c>
      <c r="E25" s="269">
        <v>13000</v>
      </c>
      <c r="F25" s="269"/>
      <c r="G25" s="269"/>
      <c r="H25" s="277">
        <f t="shared" si="0"/>
        <v>82585.649999999994</v>
      </c>
    </row>
    <row r="26" spans="1:8" ht="15.75" thickBot="1">
      <c r="B26" s="300">
        <v>187100</v>
      </c>
      <c r="C26" s="263" t="s">
        <v>909</v>
      </c>
      <c r="D26" s="271">
        <v>-15092.25</v>
      </c>
      <c r="E26" s="271"/>
      <c r="F26" s="271">
        <v>8499.49</v>
      </c>
      <c r="G26" s="271"/>
      <c r="H26" s="278">
        <f>+D26+E26-F26+G26</f>
        <v>-23591.739999999998</v>
      </c>
    </row>
    <row r="27" spans="1:8" ht="15">
      <c r="B27" s="300"/>
      <c r="C27" s="263"/>
      <c r="D27" s="269"/>
      <c r="E27" s="269"/>
      <c r="F27" s="269"/>
      <c r="G27" s="269"/>
      <c r="H27" s="277"/>
    </row>
    <row r="28" spans="1:8" ht="15.75">
      <c r="B28" s="300"/>
      <c r="C28" s="266" t="s">
        <v>1027</v>
      </c>
      <c r="D28" s="277">
        <f>SUM(D10:D26)</f>
        <v>124309.91000000006</v>
      </c>
      <c r="E28" s="277">
        <f>SUM(E10:E26)</f>
        <v>70261.59</v>
      </c>
      <c r="F28" s="277">
        <f>SUM(F10:F26)</f>
        <v>25874.79</v>
      </c>
      <c r="G28" s="277">
        <f>SUM(G10:G26)</f>
        <v>0</v>
      </c>
      <c r="H28" s="277">
        <f>SUM(H10:H26)</f>
        <v>168696.71000000005</v>
      </c>
    </row>
    <row r="29" spans="1:8" ht="15">
      <c r="B29" s="300"/>
      <c r="C29" s="263"/>
      <c r="D29" s="269"/>
      <c r="E29" s="269"/>
      <c r="F29" s="269"/>
      <c r="G29" s="269"/>
      <c r="H29" s="277"/>
    </row>
    <row r="30" spans="1:8" ht="15.75">
      <c r="B30" s="300"/>
      <c r="C30" s="483" t="s">
        <v>914</v>
      </c>
      <c r="D30" s="269"/>
      <c r="E30" s="269"/>
      <c r="F30" s="269"/>
      <c r="G30" s="269"/>
      <c r="H30" s="277"/>
    </row>
    <row r="31" spans="1:8" ht="15">
      <c r="B31" s="300">
        <v>410000830</v>
      </c>
      <c r="C31" s="263" t="s">
        <v>915</v>
      </c>
      <c r="D31" s="277">
        <v>0</v>
      </c>
      <c r="E31" s="269"/>
      <c r="F31" s="269"/>
      <c r="G31" s="269"/>
      <c r="H31" s="277">
        <f t="shared" ref="H31:H38" si="1">+D31+E31-F31+G31</f>
        <v>0</v>
      </c>
    </row>
    <row r="32" spans="1:8" ht="15">
      <c r="B32" s="300">
        <v>420000830</v>
      </c>
      <c r="C32" s="263" t="s">
        <v>916</v>
      </c>
      <c r="D32" s="277">
        <v>0</v>
      </c>
      <c r="E32" s="269"/>
      <c r="F32" s="269"/>
      <c r="G32" s="269"/>
      <c r="H32" s="277">
        <f t="shared" si="1"/>
        <v>0</v>
      </c>
    </row>
    <row r="33" spans="2:8" ht="15">
      <c r="B33" s="300">
        <v>430000830</v>
      </c>
      <c r="C33" s="263" t="s">
        <v>917</v>
      </c>
      <c r="D33" s="277">
        <v>0</v>
      </c>
      <c r="E33" s="269">
        <v>25874.79</v>
      </c>
      <c r="F33" s="269"/>
      <c r="G33" s="269"/>
      <c r="H33" s="277">
        <f t="shared" si="1"/>
        <v>25874.79</v>
      </c>
    </row>
    <row r="34" spans="2:8" ht="15">
      <c r="B34" s="300">
        <v>440000830</v>
      </c>
      <c r="C34" s="263" t="s">
        <v>918</v>
      </c>
      <c r="D34" s="277">
        <v>0</v>
      </c>
      <c r="E34" s="269"/>
      <c r="F34" s="269"/>
      <c r="G34" s="269"/>
      <c r="H34" s="277">
        <f t="shared" si="1"/>
        <v>0</v>
      </c>
    </row>
    <row r="35" spans="2:8" ht="15">
      <c r="B35" s="300">
        <v>450000830</v>
      </c>
      <c r="C35" s="263" t="s">
        <v>919</v>
      </c>
      <c r="D35" s="277">
        <v>0</v>
      </c>
      <c r="E35" s="269"/>
      <c r="F35" s="269"/>
      <c r="G35" s="269"/>
      <c r="H35" s="277">
        <f t="shared" si="1"/>
        <v>0</v>
      </c>
    </row>
    <row r="36" spans="2:8" ht="15">
      <c r="B36" s="300">
        <v>460000830</v>
      </c>
      <c r="C36" s="263" t="s">
        <v>920</v>
      </c>
      <c r="D36" s="277">
        <v>0</v>
      </c>
      <c r="E36" s="269"/>
      <c r="F36" s="269"/>
      <c r="G36" s="269"/>
      <c r="H36" s="277">
        <f t="shared" si="1"/>
        <v>0</v>
      </c>
    </row>
    <row r="37" spans="2:8" ht="15">
      <c r="B37" s="300">
        <v>470000830</v>
      </c>
      <c r="C37" s="263" t="s">
        <v>921</v>
      </c>
      <c r="D37" s="277">
        <v>0</v>
      </c>
      <c r="E37" s="269"/>
      <c r="F37" s="269"/>
      <c r="G37" s="269"/>
      <c r="H37" s="277">
        <f t="shared" si="1"/>
        <v>0</v>
      </c>
    </row>
    <row r="38" spans="2:8" ht="15">
      <c r="B38" s="300">
        <v>480000830</v>
      </c>
      <c r="C38" s="263" t="s">
        <v>922</v>
      </c>
      <c r="D38" s="277">
        <v>0</v>
      </c>
      <c r="E38" s="269"/>
      <c r="F38" s="269"/>
      <c r="G38" s="269"/>
      <c r="H38" s="277">
        <f t="shared" si="1"/>
        <v>0</v>
      </c>
    </row>
    <row r="39" spans="2:8" ht="15.75" thickBot="1">
      <c r="C39" s="263" t="s">
        <v>1221</v>
      </c>
      <c r="D39" s="278">
        <v>0</v>
      </c>
      <c r="E39" s="271"/>
      <c r="F39" s="271"/>
      <c r="G39" s="271"/>
      <c r="H39" s="278">
        <f>+D39+E39-F39+G39</f>
        <v>0</v>
      </c>
    </row>
    <row r="40" spans="2:8" ht="15">
      <c r="B40" s="300"/>
      <c r="D40" s="327"/>
      <c r="E40" s="302"/>
      <c r="F40" s="302"/>
      <c r="G40" s="302"/>
      <c r="H40" s="327"/>
    </row>
    <row r="41" spans="2:8" ht="16.5" thickBot="1">
      <c r="B41" s="300"/>
      <c r="C41" s="266" t="s">
        <v>923</v>
      </c>
      <c r="D41" s="278">
        <f>SUM(D31:D39)</f>
        <v>0</v>
      </c>
      <c r="E41" s="278">
        <f>SUM(E31:E39)</f>
        <v>25874.79</v>
      </c>
      <c r="F41" s="278">
        <f>SUM(F31:F39)</f>
        <v>0</v>
      </c>
      <c r="G41" s="278">
        <f>SUM(G31:G39)</f>
        <v>0</v>
      </c>
      <c r="H41" s="278">
        <f>+D41+E41-F41+G41</f>
        <v>25874.79</v>
      </c>
    </row>
    <row r="42" spans="2:8" ht="15">
      <c r="B42" s="300"/>
      <c r="D42" s="277"/>
      <c r="E42" s="269"/>
      <c r="F42" s="269"/>
      <c r="G42" s="269"/>
      <c r="H42" s="277"/>
    </row>
    <row r="43" spans="2:8" ht="15">
      <c r="B43" s="300"/>
      <c r="D43" s="277"/>
      <c r="E43" s="269"/>
      <c r="F43" s="269"/>
      <c r="G43" s="269"/>
      <c r="H43" s="277"/>
    </row>
    <row r="44" spans="2:8" ht="15">
      <c r="B44" s="300"/>
      <c r="D44" s="277"/>
      <c r="E44" s="269"/>
      <c r="F44" s="269"/>
      <c r="G44" s="269"/>
      <c r="H44" s="277"/>
    </row>
    <row r="45" spans="2:8" ht="15.75" thickBot="1">
      <c r="B45" s="300">
        <v>280000</v>
      </c>
      <c r="C45" s="263" t="s">
        <v>1750</v>
      </c>
      <c r="D45" s="278">
        <f>+D28</f>
        <v>124309.91000000006</v>
      </c>
      <c r="E45" s="278">
        <f>+F28</f>
        <v>25874.79</v>
      </c>
      <c r="F45" s="278">
        <f>+E28</f>
        <v>70261.59</v>
      </c>
      <c r="G45" s="278">
        <f>+G28</f>
        <v>0</v>
      </c>
      <c r="H45" s="278">
        <f>+D45-E45+F45+G45</f>
        <v>168696.71000000005</v>
      </c>
    </row>
    <row r="46" spans="2:8" ht="15">
      <c r="B46" s="300"/>
      <c r="D46" s="277"/>
      <c r="E46" s="277"/>
      <c r="F46" s="277"/>
      <c r="G46" s="277"/>
      <c r="H46" s="277"/>
    </row>
    <row r="47" spans="2:8" ht="16.5" thickBot="1">
      <c r="B47" s="300"/>
      <c r="C47" s="266" t="s">
        <v>1030</v>
      </c>
      <c r="D47" s="299">
        <f>+D45</f>
        <v>124309.91000000006</v>
      </c>
      <c r="E47" s="299">
        <f>+E45</f>
        <v>25874.79</v>
      </c>
      <c r="F47" s="299">
        <f>+F45</f>
        <v>70261.59</v>
      </c>
      <c r="G47" s="299">
        <f>+G45</f>
        <v>0</v>
      </c>
      <c r="H47" s="299">
        <f>+H45</f>
        <v>168696.71000000005</v>
      </c>
    </row>
    <row r="48" spans="2:8" ht="15.75" thickTop="1">
      <c r="B48" s="300"/>
    </row>
    <row r="49" spans="2:2">
      <c r="B49" s="392" t="s">
        <v>3287</v>
      </c>
    </row>
    <row r="50" spans="2:2">
      <c r="B50" s="392" t="s">
        <v>3288</v>
      </c>
    </row>
    <row r="51" spans="2:2">
      <c r="B51" s="392" t="s">
        <v>3286</v>
      </c>
    </row>
    <row r="52" spans="2:2">
      <c r="B52" s="1190" t="s">
        <v>3289</v>
      </c>
    </row>
  </sheetData>
  <sheetProtection sheet="1" scenarios="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phoneticPr fontId="0" type="noConversion"/>
  <printOptions horizontalCentered="1" verticalCentered="1" gridLines="1"/>
  <pageMargins left="0.5" right="0.5" top="0.75" bottom="0.75" header="0.5" footer="0.5"/>
  <pageSetup scale="65" orientation="landscape" r:id="rId2"/>
  <headerFooter alignWithMargins="0"/>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48"/>
  <sheetViews>
    <sheetView tabSelected="1" topLeftCell="A16" zoomScale="80" zoomScaleNormal="80" workbookViewId="0">
      <selection activeCell="E15" sqref="E15"/>
    </sheetView>
  </sheetViews>
  <sheetFormatPr defaultColWidth="12.5703125" defaultRowHeight="15"/>
  <cols>
    <col min="1" max="1" width="14.5703125" style="488" customWidth="1"/>
    <col min="2" max="2" width="40.7109375" style="488" customWidth="1"/>
    <col min="3" max="6" width="16.7109375" style="488" customWidth="1"/>
    <col min="7" max="16384" width="12.5703125" style="488"/>
  </cols>
  <sheetData>
    <row r="1" spans="1:6" ht="18">
      <c r="A1" s="1116" t="s">
        <v>3241</v>
      </c>
      <c r="B1" s="484"/>
      <c r="C1" s="485"/>
      <c r="D1" s="485"/>
      <c r="E1" s="486"/>
      <c r="F1" s="487"/>
    </row>
    <row r="2" spans="1:6" ht="18">
      <c r="A2" s="580" t="s">
        <v>2089</v>
      </c>
      <c r="B2" s="489"/>
      <c r="C2" s="490"/>
      <c r="D2" s="490"/>
      <c r="E2" s="491"/>
      <c r="F2" s="492"/>
    </row>
    <row r="3" spans="1:6" ht="18">
      <c r="A3" s="493" t="str">
        <f>+'TABLE OF CONTENTS'!A4</f>
        <v>FISCAL YEAR ENDING JUNE 30, 2017</v>
      </c>
      <c r="B3" s="490"/>
      <c r="C3" s="489"/>
      <c r="D3" s="489"/>
      <c r="E3" s="491"/>
      <c r="F3" s="492"/>
    </row>
    <row r="4" spans="1:6">
      <c r="A4" s="494"/>
      <c r="B4" s="495"/>
      <c r="C4" s="495"/>
      <c r="D4" s="495"/>
      <c r="E4" s="495"/>
      <c r="F4" s="492"/>
    </row>
    <row r="5" spans="1:6" ht="15.75" thickBot="1">
      <c r="A5" s="496"/>
      <c r="B5" s="495"/>
      <c r="C5" s="495"/>
      <c r="D5" s="495"/>
      <c r="E5" s="495"/>
      <c r="F5" s="492"/>
    </row>
    <row r="6" spans="1:6" ht="24.95" customHeight="1">
      <c r="A6" s="1750" t="s">
        <v>1112</v>
      </c>
      <c r="B6" s="1752" t="s">
        <v>153</v>
      </c>
      <c r="C6" s="497" t="s">
        <v>760</v>
      </c>
      <c r="D6" s="497"/>
      <c r="E6" s="498"/>
      <c r="F6" s="499" t="s">
        <v>760</v>
      </c>
    </row>
    <row r="7" spans="1:6" ht="24.95" customHeight="1" thickBot="1">
      <c r="A7" s="1751"/>
      <c r="B7" s="1753"/>
      <c r="C7" s="500">
        <f>+'GOV CAP ASSETS-9000(GCAAG)'!D9</f>
        <v>42552</v>
      </c>
      <c r="D7" s="501" t="s">
        <v>634</v>
      </c>
      <c r="E7" s="501" t="s">
        <v>1217</v>
      </c>
      <c r="F7" s="502">
        <f>+'GOV CAP ASSETS-9000(GCAAG)'!H9</f>
        <v>42916</v>
      </c>
    </row>
    <row r="8" spans="1:6" ht="50.1" customHeight="1">
      <c r="A8" s="503"/>
      <c r="B8" s="504" t="s">
        <v>1060</v>
      </c>
      <c r="C8" s="505"/>
      <c r="D8" s="505"/>
      <c r="E8" s="505"/>
      <c r="F8" s="506"/>
    </row>
    <row r="9" spans="1:6" ht="20.100000000000001" customHeight="1">
      <c r="A9" s="507" t="s">
        <v>154</v>
      </c>
      <c r="B9" s="508" t="s">
        <v>155</v>
      </c>
      <c r="C9" s="509"/>
      <c r="D9" s="509"/>
      <c r="E9" s="509"/>
      <c r="F9" s="155">
        <f>C9+D9-E9</f>
        <v>0</v>
      </c>
    </row>
    <row r="10" spans="1:6" ht="20.100000000000001" customHeight="1">
      <c r="A10" s="507" t="s">
        <v>156</v>
      </c>
      <c r="B10" s="508" t="s">
        <v>157</v>
      </c>
      <c r="C10" s="509"/>
      <c r="D10" s="509"/>
      <c r="E10" s="509"/>
      <c r="F10" s="155">
        <f t="shared" ref="F10:F15" si="0">C10+D10-E10</f>
        <v>0</v>
      </c>
    </row>
    <row r="11" spans="1:6" ht="20.100000000000001" customHeight="1">
      <c r="A11" s="510"/>
      <c r="B11" s="508"/>
      <c r="C11" s="509"/>
      <c r="D11" s="509"/>
      <c r="E11" s="509"/>
      <c r="F11" s="155">
        <f t="shared" si="0"/>
        <v>0</v>
      </c>
    </row>
    <row r="12" spans="1:6" ht="20.100000000000001" customHeight="1">
      <c r="A12" s="507" t="s">
        <v>158</v>
      </c>
      <c r="B12" s="508" t="s">
        <v>159</v>
      </c>
      <c r="C12" s="509"/>
      <c r="D12" s="509"/>
      <c r="E12" s="509"/>
      <c r="F12" s="155">
        <f t="shared" si="0"/>
        <v>0</v>
      </c>
    </row>
    <row r="13" spans="1:6" ht="20.100000000000001" customHeight="1">
      <c r="A13" s="507" t="s">
        <v>160</v>
      </c>
      <c r="B13" s="508" t="s">
        <v>161</v>
      </c>
      <c r="C13" s="509"/>
      <c r="D13" s="509"/>
      <c r="E13" s="509"/>
      <c r="F13" s="155">
        <f t="shared" si="0"/>
        <v>0</v>
      </c>
    </row>
    <row r="14" spans="1:6" ht="20.100000000000001" customHeight="1">
      <c r="A14" s="507" t="s">
        <v>162</v>
      </c>
      <c r="B14" s="508" t="s">
        <v>163</v>
      </c>
      <c r="C14" s="509">
        <v>135734.84</v>
      </c>
      <c r="D14" s="509">
        <v>26246.400000000001</v>
      </c>
      <c r="E14" s="509">
        <v>7383.62</v>
      </c>
      <c r="F14" s="155">
        <f t="shared" si="0"/>
        <v>154597.62</v>
      </c>
    </row>
    <row r="15" spans="1:6" ht="20.100000000000001" customHeight="1">
      <c r="A15" s="510"/>
      <c r="B15" s="508"/>
      <c r="C15" s="509"/>
      <c r="D15" s="509"/>
      <c r="E15" s="509"/>
      <c r="F15" s="155">
        <f t="shared" si="0"/>
        <v>0</v>
      </c>
    </row>
    <row r="16" spans="1:6" ht="50.1" customHeight="1" thickBot="1">
      <c r="A16" s="511"/>
      <c r="B16" s="512" t="s">
        <v>164</v>
      </c>
      <c r="C16" s="156">
        <f>SUM(C8:C15)</f>
        <v>135734.84</v>
      </c>
      <c r="D16" s="156">
        <f>SUM(D8:D15)</f>
        <v>26246.400000000001</v>
      </c>
      <c r="E16" s="156">
        <f>SUM(E8:E15)</f>
        <v>7383.62</v>
      </c>
      <c r="F16" s="157">
        <f>SUM(F8:F15)</f>
        <v>154597.62</v>
      </c>
    </row>
    <row r="17" spans="1:6" ht="20.100000000000001" customHeight="1">
      <c r="A17" s="513"/>
      <c r="B17" s="514"/>
      <c r="C17" s="515"/>
      <c r="D17" s="515"/>
      <c r="E17" s="515"/>
      <c r="F17" s="158"/>
    </row>
    <row r="18" spans="1:6" ht="20.100000000000001" customHeight="1">
      <c r="A18" s="516"/>
      <c r="B18" s="517" t="s">
        <v>165</v>
      </c>
      <c r="C18" s="518"/>
      <c r="D18" s="518"/>
      <c r="E18" s="518"/>
      <c r="F18" s="159"/>
    </row>
    <row r="19" spans="1:6" ht="20.100000000000001" customHeight="1">
      <c r="A19" s="510"/>
      <c r="B19" s="508"/>
      <c r="C19" s="509"/>
      <c r="D19" s="509"/>
      <c r="E19" s="509"/>
      <c r="F19" s="155"/>
    </row>
    <row r="20" spans="1:6" ht="20.100000000000001" customHeight="1">
      <c r="A20" s="507" t="s">
        <v>166</v>
      </c>
      <c r="B20" s="508" t="s">
        <v>672</v>
      </c>
      <c r="C20" s="509"/>
      <c r="D20" s="509"/>
      <c r="E20" s="509"/>
      <c r="F20" s="155">
        <f>C20-D20+E20</f>
        <v>0</v>
      </c>
    </row>
    <row r="21" spans="1:6" ht="20.100000000000001" customHeight="1">
      <c r="A21" s="510"/>
      <c r="B21" s="508"/>
      <c r="C21" s="509"/>
      <c r="D21" s="509"/>
      <c r="E21" s="509"/>
      <c r="F21" s="155">
        <f t="shared" ref="F21:F41" si="1">C21-D21+E21</f>
        <v>0</v>
      </c>
    </row>
    <row r="22" spans="1:6" ht="20.100000000000001" customHeight="1">
      <c r="A22" s="507" t="s">
        <v>673</v>
      </c>
      <c r="B22" s="508" t="s">
        <v>674</v>
      </c>
      <c r="C22" s="509"/>
      <c r="D22" s="509"/>
      <c r="E22" s="509"/>
      <c r="F22" s="155">
        <f t="shared" si="1"/>
        <v>0</v>
      </c>
    </row>
    <row r="23" spans="1:6" ht="20.100000000000001" customHeight="1">
      <c r="A23" s="510"/>
      <c r="B23" s="508"/>
      <c r="C23" s="509"/>
      <c r="D23" s="509"/>
      <c r="E23" s="509"/>
      <c r="F23" s="155">
        <f t="shared" si="1"/>
        <v>0</v>
      </c>
    </row>
    <row r="24" spans="1:6" ht="20.100000000000001" customHeight="1">
      <c r="A24" s="507" t="s">
        <v>675</v>
      </c>
      <c r="B24" s="508" t="s">
        <v>676</v>
      </c>
      <c r="C24" s="509"/>
      <c r="D24" s="509"/>
      <c r="E24" s="509"/>
      <c r="F24" s="155">
        <f t="shared" si="1"/>
        <v>0</v>
      </c>
    </row>
    <row r="25" spans="1:6" ht="20.100000000000001" customHeight="1">
      <c r="A25" s="510"/>
      <c r="B25" s="508" t="s">
        <v>677</v>
      </c>
      <c r="C25" s="509"/>
      <c r="D25" s="509"/>
      <c r="E25" s="509"/>
      <c r="F25" s="155">
        <f t="shared" si="1"/>
        <v>0</v>
      </c>
    </row>
    <row r="26" spans="1:6" ht="20.100000000000001" customHeight="1">
      <c r="A26" s="510"/>
      <c r="B26" s="508" t="s">
        <v>677</v>
      </c>
      <c r="C26" s="509"/>
      <c r="D26" s="509"/>
      <c r="E26" s="509"/>
      <c r="F26" s="155">
        <f t="shared" si="1"/>
        <v>0</v>
      </c>
    </row>
    <row r="27" spans="1:6" ht="20.100000000000001" customHeight="1">
      <c r="A27" s="510"/>
      <c r="B27" s="508" t="s">
        <v>677</v>
      </c>
      <c r="C27" s="509"/>
      <c r="D27" s="509"/>
      <c r="E27" s="509"/>
      <c r="F27" s="155">
        <f t="shared" si="1"/>
        <v>0</v>
      </c>
    </row>
    <row r="28" spans="1:6" ht="20.100000000000001" customHeight="1">
      <c r="A28" s="510"/>
      <c r="B28" s="508"/>
      <c r="C28" s="509"/>
      <c r="D28" s="509"/>
      <c r="E28" s="509"/>
      <c r="F28" s="155">
        <f t="shared" si="1"/>
        <v>0</v>
      </c>
    </row>
    <row r="29" spans="1:6" ht="20.100000000000001" customHeight="1">
      <c r="A29" s="507" t="s">
        <v>678</v>
      </c>
      <c r="B29" s="508" t="s">
        <v>99</v>
      </c>
      <c r="C29" s="509"/>
      <c r="D29" s="509"/>
      <c r="E29" s="509"/>
      <c r="F29" s="155">
        <f t="shared" si="1"/>
        <v>0</v>
      </c>
    </row>
    <row r="30" spans="1:6" ht="20.100000000000001" customHeight="1">
      <c r="A30" s="510"/>
      <c r="B30" s="508"/>
      <c r="C30" s="509"/>
      <c r="D30" s="509"/>
      <c r="E30" s="509"/>
      <c r="F30" s="155">
        <f t="shared" si="1"/>
        <v>0</v>
      </c>
    </row>
    <row r="31" spans="1:6" ht="20.100000000000001" customHeight="1">
      <c r="A31" s="507" t="s">
        <v>100</v>
      </c>
      <c r="B31" s="508" t="s">
        <v>289</v>
      </c>
      <c r="C31" s="509"/>
      <c r="D31" s="509"/>
      <c r="E31" s="509"/>
      <c r="F31" s="155">
        <f t="shared" si="1"/>
        <v>0</v>
      </c>
    </row>
    <row r="32" spans="1:6" ht="20.100000000000001" customHeight="1">
      <c r="A32" s="510"/>
      <c r="B32" s="508"/>
      <c r="C32" s="509"/>
      <c r="D32" s="509"/>
      <c r="E32" s="509"/>
      <c r="F32" s="155">
        <f t="shared" si="1"/>
        <v>0</v>
      </c>
    </row>
    <row r="33" spans="1:6" ht="20.100000000000001" customHeight="1">
      <c r="A33" s="507" t="s">
        <v>101</v>
      </c>
      <c r="B33" s="508" t="s">
        <v>102</v>
      </c>
      <c r="C33" s="509"/>
      <c r="D33" s="509"/>
      <c r="E33" s="509"/>
      <c r="F33" s="155">
        <f t="shared" si="1"/>
        <v>0</v>
      </c>
    </row>
    <row r="34" spans="1:6" ht="20.100000000000001" customHeight="1">
      <c r="A34" s="510"/>
      <c r="B34" s="508"/>
      <c r="C34" s="509"/>
      <c r="D34" s="509"/>
      <c r="E34" s="509"/>
      <c r="F34" s="155">
        <f t="shared" si="1"/>
        <v>0</v>
      </c>
    </row>
    <row r="35" spans="1:6" ht="20.100000000000001" customHeight="1">
      <c r="A35" s="507" t="s">
        <v>103</v>
      </c>
      <c r="B35" s="508" t="s">
        <v>104</v>
      </c>
      <c r="C35" s="509"/>
      <c r="D35" s="509"/>
      <c r="E35" s="509"/>
      <c r="F35" s="155">
        <f t="shared" si="1"/>
        <v>0</v>
      </c>
    </row>
    <row r="36" spans="1:6" ht="20.100000000000001" customHeight="1">
      <c r="A36" s="510"/>
      <c r="B36" s="508"/>
      <c r="C36" s="509"/>
      <c r="D36" s="509"/>
      <c r="E36" s="509"/>
      <c r="F36" s="155">
        <f t="shared" si="1"/>
        <v>0</v>
      </c>
    </row>
    <row r="37" spans="1:6" ht="20.100000000000001" customHeight="1">
      <c r="A37" s="507" t="s">
        <v>105</v>
      </c>
      <c r="B37" s="508" t="s">
        <v>106</v>
      </c>
      <c r="C37" s="509">
        <v>20781.509999999998</v>
      </c>
      <c r="D37" s="509">
        <v>6927.17</v>
      </c>
      <c r="E37" s="509"/>
      <c r="F37" s="155">
        <f t="shared" si="1"/>
        <v>13854.339999999998</v>
      </c>
    </row>
    <row r="38" spans="1:6" ht="20.100000000000001" customHeight="1">
      <c r="A38" s="1002">
        <v>237000</v>
      </c>
      <c r="B38" s="1003" t="s">
        <v>3491</v>
      </c>
      <c r="C38" s="1001">
        <v>111653.35</v>
      </c>
      <c r="D38" s="1001"/>
      <c r="E38" s="1001">
        <v>26246.400000000001</v>
      </c>
      <c r="F38" s="155">
        <f t="shared" si="1"/>
        <v>137899.75</v>
      </c>
    </row>
    <row r="39" spans="1:6" ht="20.100000000000001" customHeight="1">
      <c r="A39" s="519">
        <v>238000</v>
      </c>
      <c r="B39" s="520" t="s">
        <v>1423</v>
      </c>
      <c r="C39" s="509"/>
      <c r="D39" s="509"/>
      <c r="E39" s="509"/>
      <c r="F39" s="155">
        <f t="shared" si="1"/>
        <v>0</v>
      </c>
    </row>
    <row r="40" spans="1:6" ht="20.100000000000001" customHeight="1">
      <c r="A40" s="507" t="s">
        <v>107</v>
      </c>
      <c r="B40" s="508" t="s">
        <v>108</v>
      </c>
      <c r="C40" s="509">
        <v>3299.98</v>
      </c>
      <c r="D40" s="509">
        <v>456.45</v>
      </c>
      <c r="E40" s="509"/>
      <c r="F40" s="155">
        <f t="shared" si="1"/>
        <v>2843.53</v>
      </c>
    </row>
    <row r="41" spans="1:6" ht="20.100000000000001" customHeight="1">
      <c r="A41" s="510"/>
      <c r="B41" s="508"/>
      <c r="C41" s="509"/>
      <c r="D41" s="509"/>
      <c r="E41" s="509"/>
      <c r="F41" s="155">
        <f t="shared" si="1"/>
        <v>0</v>
      </c>
    </row>
    <row r="42" spans="1:6" ht="50.1" customHeight="1" thickBot="1">
      <c r="A42" s="511"/>
      <c r="B42" s="521" t="s">
        <v>109</v>
      </c>
      <c r="C42" s="160">
        <f>SUM(C18:C41)</f>
        <v>135734.84000000003</v>
      </c>
      <c r="D42" s="161">
        <f>SUM(D18:D41)</f>
        <v>7383.62</v>
      </c>
      <c r="E42" s="161">
        <f>SUM(E18:E41)</f>
        <v>26246.400000000001</v>
      </c>
      <c r="F42" s="162">
        <f>SUM(F18:F41)</f>
        <v>154597.62</v>
      </c>
    </row>
    <row r="43" spans="1:6" s="522" customFormat="1">
      <c r="A43" s="522" t="s">
        <v>110</v>
      </c>
      <c r="E43" s="1141" t="s">
        <v>2725</v>
      </c>
      <c r="F43" s="1141">
        <f>F16-F42</f>
        <v>0</v>
      </c>
    </row>
    <row r="44" spans="1:6" s="522" customFormat="1">
      <c r="A44" s="522" t="s">
        <v>111</v>
      </c>
    </row>
    <row r="45" spans="1:6" s="522" customFormat="1">
      <c r="A45" s="522" t="s">
        <v>112</v>
      </c>
    </row>
    <row r="46" spans="1:6" ht="16.5" customHeight="1">
      <c r="A46" s="1142" t="s">
        <v>3482</v>
      </c>
    </row>
    <row r="47" spans="1:6">
      <c r="A47" s="1191" t="s">
        <v>3290</v>
      </c>
    </row>
    <row r="48" spans="1:6">
      <c r="C48" s="523" t="s">
        <v>113</v>
      </c>
      <c r="D48" s="523"/>
    </row>
  </sheetData>
  <sheetProtection sheet="1" scenarios="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7" type="noConversion"/>
  <printOptions horizontalCentered="1" verticalCentered="1"/>
  <pageMargins left="0.5" right="0.5" top="0.5" bottom="0.5" header="0.5" footer="0.5"/>
  <pageSetup scale="71" orientation="portrait" r:id="rId2"/>
  <headerFooter alignWithMargins="0"/>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S35"/>
  <sheetViews>
    <sheetView defaultGridColor="0" topLeftCell="C9" colorId="22" zoomScale="87" workbookViewId="0">
      <selection activeCell="E32" sqref="E32"/>
    </sheetView>
  </sheetViews>
  <sheetFormatPr defaultColWidth="12.5703125" defaultRowHeight="15"/>
  <cols>
    <col min="1" max="2" width="15.7109375" style="201" hidden="1" customWidth="1"/>
    <col min="3" max="3" width="49" style="201" customWidth="1"/>
    <col min="4" max="4" width="3.5703125" style="201" customWidth="1"/>
    <col min="5" max="5" width="17.7109375" style="201" customWidth="1"/>
    <col min="6" max="6" width="7.85546875" style="201" customWidth="1"/>
    <col min="7" max="7" width="20.28515625" style="201" hidden="1" customWidth="1"/>
    <col min="8" max="8" width="16.42578125" style="201" customWidth="1"/>
    <col min="9" max="9" width="13" style="201" bestFit="1" customWidth="1"/>
    <col min="10" max="14" width="16.42578125" style="201" customWidth="1"/>
    <col min="15" max="17" width="16.42578125" style="201" hidden="1" customWidth="1"/>
    <col min="18" max="19" width="20.28515625" style="201" customWidth="1"/>
    <col min="20" max="16384" width="12.5703125" style="201"/>
  </cols>
  <sheetData>
    <row r="1" spans="1:19" ht="30" customHeight="1">
      <c r="B1" s="202" t="str">
        <f>'COVER PAGE'!A9</f>
        <v>TOWN OF BROADUS</v>
      </c>
      <c r="C1" s="1304" t="s">
        <v>3660</v>
      </c>
      <c r="D1" s="203"/>
      <c r="E1" s="202"/>
      <c r="F1" s="203"/>
      <c r="G1" s="203"/>
      <c r="H1" s="203"/>
      <c r="I1" s="203"/>
      <c r="J1" s="203"/>
      <c r="K1" s="203"/>
      <c r="L1" s="203"/>
      <c r="M1" s="203"/>
      <c r="N1" s="203"/>
      <c r="O1" s="203"/>
      <c r="P1" s="203"/>
      <c r="Q1" s="203"/>
      <c r="R1" s="203"/>
      <c r="S1" s="203"/>
    </row>
    <row r="2" spans="1:19" ht="30" customHeight="1">
      <c r="B2" s="202" t="s">
        <v>2090</v>
      </c>
      <c r="C2" s="202" t="s">
        <v>3712</v>
      </c>
      <c r="D2" s="202"/>
      <c r="E2" s="203"/>
      <c r="F2" s="203"/>
      <c r="G2" s="203"/>
      <c r="H2" s="203"/>
      <c r="I2" s="203"/>
      <c r="J2" s="203"/>
      <c r="K2" s="203"/>
      <c r="L2" s="203"/>
      <c r="M2" s="203"/>
      <c r="N2" s="203"/>
      <c r="O2" s="203"/>
      <c r="P2" s="203"/>
      <c r="Q2" s="203"/>
      <c r="R2" s="203"/>
      <c r="S2" s="203"/>
    </row>
    <row r="3" spans="1:19" ht="17.25" customHeight="1" thickBot="1">
      <c r="B3" s="204"/>
      <c r="C3" s="203"/>
      <c r="D3" s="203"/>
      <c r="E3" s="203"/>
      <c r="F3" s="203"/>
      <c r="G3" s="203"/>
      <c r="H3" s="203"/>
      <c r="I3" s="203"/>
      <c r="J3" s="203"/>
      <c r="K3" s="203"/>
      <c r="L3" s="203"/>
      <c r="M3" s="203"/>
      <c r="N3" s="203"/>
      <c r="O3" s="203"/>
      <c r="P3" s="203"/>
      <c r="Q3" s="203"/>
      <c r="R3" s="203"/>
      <c r="S3" s="203"/>
    </row>
    <row r="4" spans="1:19" ht="69.75" customHeight="1" thickBot="1">
      <c r="A4" s="199" t="s">
        <v>1404</v>
      </c>
      <c r="B4" s="200" t="s">
        <v>1405</v>
      </c>
      <c r="C4" s="205" t="s">
        <v>1015</v>
      </c>
      <c r="D4" s="206" t="s">
        <v>437</v>
      </c>
      <c r="E4" s="205" t="s">
        <v>438</v>
      </c>
      <c r="F4" s="200" t="s">
        <v>439</v>
      </c>
      <c r="G4" s="200" t="s">
        <v>440</v>
      </c>
      <c r="H4" s="199" t="s">
        <v>1981</v>
      </c>
      <c r="I4" s="199" t="s">
        <v>1821</v>
      </c>
      <c r="J4" s="199" t="s">
        <v>1822</v>
      </c>
      <c r="K4" s="199" t="s">
        <v>1823</v>
      </c>
      <c r="L4" s="199" t="s">
        <v>1824</v>
      </c>
      <c r="M4" s="199" t="s">
        <v>1825</v>
      </c>
      <c r="N4" s="199" t="s">
        <v>1826</v>
      </c>
      <c r="O4" s="199" t="s">
        <v>1982</v>
      </c>
      <c r="P4" s="199" t="s">
        <v>1983</v>
      </c>
      <c r="Q4" s="199" t="s">
        <v>1984</v>
      </c>
      <c r="R4" s="200" t="s">
        <v>792</v>
      </c>
      <c r="S4" s="200" t="s">
        <v>793</v>
      </c>
    </row>
    <row r="5" spans="1:19" ht="16.5" thickBot="1">
      <c r="B5" s="207"/>
      <c r="C5" s="207"/>
      <c r="E5" s="208"/>
      <c r="H5" s="208"/>
      <c r="I5" s="208"/>
      <c r="J5" s="208"/>
      <c r="K5" s="208"/>
      <c r="L5" s="208"/>
      <c r="M5" s="208"/>
      <c r="N5" s="208"/>
      <c r="O5" s="208"/>
      <c r="P5" s="208"/>
      <c r="Q5" s="208"/>
      <c r="R5" s="208"/>
      <c r="S5" s="208"/>
    </row>
    <row r="6" spans="1:19" ht="24" customHeight="1" thickBot="1">
      <c r="B6" s="207"/>
      <c r="C6" s="209" t="s">
        <v>907</v>
      </c>
      <c r="D6" s="210"/>
      <c r="E6" s="211">
        <v>2540</v>
      </c>
      <c r="F6" s="212"/>
      <c r="G6" s="213" t="s">
        <v>794</v>
      </c>
      <c r="H6" s="211"/>
      <c r="I6" s="211"/>
      <c r="J6" s="211"/>
      <c r="K6" s="211"/>
      <c r="L6" s="211"/>
      <c r="M6" s="211"/>
      <c r="N6" s="211"/>
      <c r="O6" s="211"/>
      <c r="P6" s="211"/>
      <c r="Q6" s="211"/>
      <c r="R6" s="211"/>
      <c r="S6" s="211">
        <f>E6+F6+G6+H6</f>
        <v>2540</v>
      </c>
    </row>
    <row r="7" spans="1:19" ht="24" customHeight="1" thickTop="1">
      <c r="B7" s="207"/>
      <c r="C7" s="212"/>
      <c r="D7" s="210"/>
      <c r="E7" s="212"/>
      <c r="F7" s="212"/>
      <c r="G7" s="212"/>
      <c r="H7" s="212"/>
      <c r="I7" s="212"/>
      <c r="J7" s="212"/>
      <c r="K7" s="212"/>
      <c r="L7" s="212"/>
      <c r="M7" s="212"/>
      <c r="N7" s="212"/>
      <c r="O7" s="212"/>
      <c r="P7" s="212"/>
      <c r="Q7" s="212"/>
      <c r="R7" s="212"/>
      <c r="S7" s="212"/>
    </row>
    <row r="8" spans="1:19" ht="24" customHeight="1">
      <c r="B8" s="207"/>
      <c r="C8" s="209" t="s">
        <v>795</v>
      </c>
      <c r="D8" s="210"/>
      <c r="E8" s="212"/>
      <c r="F8" s="212"/>
      <c r="G8" s="212"/>
      <c r="H8" s="212"/>
      <c r="I8" s="212"/>
      <c r="J8" s="212"/>
      <c r="K8" s="212"/>
      <c r="L8" s="212"/>
      <c r="M8" s="212"/>
      <c r="N8" s="212"/>
      <c r="O8" s="212"/>
      <c r="P8" s="212"/>
      <c r="Q8" s="212"/>
      <c r="R8" s="212"/>
      <c r="S8" s="212"/>
    </row>
    <row r="9" spans="1:19" ht="24" customHeight="1">
      <c r="B9" s="214"/>
      <c r="C9" s="212"/>
      <c r="D9" s="210"/>
      <c r="E9" s="212">
        <v>73966.240000000005</v>
      </c>
      <c r="F9" s="213"/>
      <c r="G9" s="212" t="e">
        <f>+E9/F9</f>
        <v>#DIV/0!</v>
      </c>
      <c r="H9" s="212">
        <v>42668.31</v>
      </c>
      <c r="I9" s="212">
        <v>3122.21</v>
      </c>
      <c r="J9" s="212">
        <v>3122.48</v>
      </c>
      <c r="K9" s="212">
        <v>3122.21</v>
      </c>
      <c r="L9" s="212">
        <v>3122.21</v>
      </c>
      <c r="M9" s="212">
        <v>3122.21</v>
      </c>
      <c r="N9" s="212"/>
      <c r="O9" s="212"/>
      <c r="P9" s="212"/>
      <c r="Q9" s="212"/>
      <c r="R9" s="212">
        <f>SUM(H9:Q9)</f>
        <v>58279.63</v>
      </c>
      <c r="S9" s="212">
        <f>E9-R9</f>
        <v>15686.610000000008</v>
      </c>
    </row>
    <row r="10" spans="1:19" ht="24" customHeight="1" thickBot="1">
      <c r="B10" s="207"/>
      <c r="C10" s="212"/>
      <c r="D10" s="210"/>
      <c r="E10" s="215"/>
      <c r="F10" s="215"/>
      <c r="G10" s="215" t="e">
        <f>+E10/F10</f>
        <v>#DIV/0!</v>
      </c>
      <c r="H10" s="215"/>
      <c r="I10" s="215"/>
      <c r="J10" s="215"/>
      <c r="K10" s="215"/>
      <c r="L10" s="215"/>
      <c r="M10" s="215"/>
      <c r="N10" s="215"/>
      <c r="O10" s="215"/>
      <c r="P10" s="215"/>
      <c r="Q10" s="215"/>
      <c r="R10" s="215">
        <f>SUM(H10:Q10)</f>
        <v>0</v>
      </c>
      <c r="S10" s="215">
        <f>E10-R10</f>
        <v>0</v>
      </c>
    </row>
    <row r="11" spans="1:19" ht="24" customHeight="1" thickBot="1">
      <c r="B11" s="207"/>
      <c r="C11" s="213" t="s">
        <v>796</v>
      </c>
      <c r="D11" s="210"/>
      <c r="E11" s="211">
        <f>SUM(E9:E10)</f>
        <v>73966.240000000005</v>
      </c>
      <c r="F11" s="212"/>
      <c r="G11" s="211" t="e">
        <f t="shared" ref="G11:S11" si="0">SUM(G9:G10)</f>
        <v>#DIV/0!</v>
      </c>
      <c r="H11" s="211">
        <f t="shared" si="0"/>
        <v>42668.31</v>
      </c>
      <c r="I11" s="211">
        <f t="shared" si="0"/>
        <v>3122.21</v>
      </c>
      <c r="J11" s="211">
        <f t="shared" si="0"/>
        <v>3122.48</v>
      </c>
      <c r="K11" s="211">
        <f t="shared" si="0"/>
        <v>3122.21</v>
      </c>
      <c r="L11" s="211">
        <f t="shared" si="0"/>
        <v>3122.21</v>
      </c>
      <c r="M11" s="211">
        <f t="shared" si="0"/>
        <v>3122.21</v>
      </c>
      <c r="N11" s="211">
        <f t="shared" si="0"/>
        <v>0</v>
      </c>
      <c r="O11" s="211">
        <f t="shared" si="0"/>
        <v>0</v>
      </c>
      <c r="P11" s="211">
        <f t="shared" si="0"/>
        <v>0</v>
      </c>
      <c r="Q11" s="211">
        <f t="shared" si="0"/>
        <v>0</v>
      </c>
      <c r="R11" s="211">
        <f t="shared" si="0"/>
        <v>58279.63</v>
      </c>
      <c r="S11" s="211">
        <f t="shared" si="0"/>
        <v>15686.610000000008</v>
      </c>
    </row>
    <row r="12" spans="1:19" ht="24" customHeight="1" thickTop="1">
      <c r="B12" s="207"/>
      <c r="C12" s="212"/>
      <c r="D12" s="210"/>
      <c r="E12" s="212"/>
      <c r="F12" s="212"/>
      <c r="G12" s="212"/>
      <c r="H12" s="212"/>
      <c r="I12" s="212"/>
      <c r="J12" s="212"/>
      <c r="K12" s="212"/>
      <c r="L12" s="212"/>
      <c r="M12" s="212"/>
      <c r="N12" s="212"/>
      <c r="O12" s="212"/>
      <c r="P12" s="212"/>
      <c r="Q12" s="212"/>
      <c r="R12" s="212"/>
      <c r="S12" s="212"/>
    </row>
    <row r="13" spans="1:19" ht="24" customHeight="1">
      <c r="B13" s="207"/>
      <c r="C13" s="217" t="s">
        <v>482</v>
      </c>
      <c r="D13" s="210"/>
      <c r="E13" s="212"/>
      <c r="F13" s="212"/>
      <c r="G13" s="212"/>
      <c r="H13" s="212"/>
      <c r="I13" s="212"/>
      <c r="J13" s="212"/>
      <c r="K13" s="212"/>
      <c r="L13" s="212"/>
      <c r="M13" s="212"/>
      <c r="N13" s="212"/>
      <c r="O13" s="212"/>
      <c r="P13" s="212"/>
      <c r="Q13" s="212"/>
      <c r="R13" s="212"/>
      <c r="S13" s="212"/>
    </row>
    <row r="14" spans="1:19" ht="24" customHeight="1">
      <c r="B14" s="207"/>
      <c r="C14" s="212"/>
      <c r="D14" s="210"/>
      <c r="E14" s="212"/>
      <c r="F14" s="212"/>
      <c r="G14" s="212" t="e">
        <f>+E14/F14</f>
        <v>#DIV/0!</v>
      </c>
      <c r="H14" s="212"/>
      <c r="I14" s="212"/>
      <c r="J14" s="212"/>
      <c r="K14" s="212"/>
      <c r="L14" s="212"/>
      <c r="M14" s="212"/>
      <c r="N14" s="212"/>
      <c r="O14" s="212"/>
      <c r="P14" s="212"/>
      <c r="Q14" s="212"/>
      <c r="R14" s="212">
        <f>SUM(H14:Q14)</f>
        <v>0</v>
      </c>
      <c r="S14" s="212">
        <f>E14-R14</f>
        <v>0</v>
      </c>
    </row>
    <row r="15" spans="1:19" ht="24" customHeight="1" thickBot="1">
      <c r="B15" s="207"/>
      <c r="C15" s="212"/>
      <c r="D15" s="210"/>
      <c r="E15" s="215"/>
      <c r="F15" s="215"/>
      <c r="G15" s="215" t="e">
        <f>+E15/F15</f>
        <v>#DIV/0!</v>
      </c>
      <c r="H15" s="215"/>
      <c r="I15" s="215"/>
      <c r="J15" s="215"/>
      <c r="K15" s="215"/>
      <c r="L15" s="215"/>
      <c r="M15" s="215"/>
      <c r="N15" s="215"/>
      <c r="O15" s="215"/>
      <c r="P15" s="215"/>
      <c r="Q15" s="215"/>
      <c r="R15" s="215">
        <f>SUM(H15:Q15)</f>
        <v>0</v>
      </c>
      <c r="S15" s="215">
        <f>E15-R15</f>
        <v>0</v>
      </c>
    </row>
    <row r="16" spans="1:19" ht="24" customHeight="1" thickBot="1">
      <c r="B16" s="207"/>
      <c r="C16" s="213" t="s">
        <v>484</v>
      </c>
      <c r="D16" s="210"/>
      <c r="E16" s="211">
        <f>SUM(E14:E15)</f>
        <v>0</v>
      </c>
      <c r="F16" s="212"/>
      <c r="G16" s="211" t="e">
        <f t="shared" ref="G16:S16" si="1">SUM(G14:G15)</f>
        <v>#DIV/0!</v>
      </c>
      <c r="H16" s="211">
        <f t="shared" si="1"/>
        <v>0</v>
      </c>
      <c r="I16" s="211">
        <f t="shared" si="1"/>
        <v>0</v>
      </c>
      <c r="J16" s="211">
        <f t="shared" si="1"/>
        <v>0</v>
      </c>
      <c r="K16" s="211">
        <f t="shared" si="1"/>
        <v>0</v>
      </c>
      <c r="L16" s="211">
        <f t="shared" si="1"/>
        <v>0</v>
      </c>
      <c r="M16" s="211">
        <f t="shared" si="1"/>
        <v>0</v>
      </c>
      <c r="N16" s="211">
        <f t="shared" si="1"/>
        <v>0</v>
      </c>
      <c r="O16" s="211">
        <f t="shared" si="1"/>
        <v>0</v>
      </c>
      <c r="P16" s="211">
        <f t="shared" si="1"/>
        <v>0</v>
      </c>
      <c r="Q16" s="211">
        <f t="shared" si="1"/>
        <v>0</v>
      </c>
      <c r="R16" s="211">
        <f t="shared" si="1"/>
        <v>0</v>
      </c>
      <c r="S16" s="211">
        <f t="shared" si="1"/>
        <v>0</v>
      </c>
    </row>
    <row r="17" spans="2:19" ht="24" customHeight="1" thickTop="1">
      <c r="B17" s="207"/>
      <c r="C17" s="213"/>
      <c r="D17" s="210"/>
      <c r="E17" s="218"/>
      <c r="F17" s="212"/>
      <c r="G17" s="218"/>
      <c r="H17" s="218"/>
      <c r="I17" s="218"/>
      <c r="J17" s="218"/>
      <c r="K17" s="218"/>
      <c r="L17" s="218"/>
      <c r="M17" s="218"/>
      <c r="N17" s="218"/>
      <c r="O17" s="218"/>
      <c r="P17" s="218"/>
      <c r="Q17" s="218"/>
      <c r="R17" s="218"/>
      <c r="S17" s="218"/>
    </row>
    <row r="18" spans="2:19" ht="24" customHeight="1">
      <c r="B18" s="207"/>
      <c r="C18" s="209" t="s">
        <v>797</v>
      </c>
      <c r="D18" s="210"/>
      <c r="E18" s="212"/>
      <c r="F18" s="212"/>
      <c r="G18" s="212"/>
      <c r="H18" s="212"/>
      <c r="I18" s="212"/>
      <c r="J18" s="212"/>
      <c r="K18" s="212"/>
      <c r="L18" s="212"/>
      <c r="M18" s="212"/>
      <c r="N18" s="212"/>
      <c r="O18" s="212"/>
      <c r="P18" s="212"/>
      <c r="Q18" s="212"/>
      <c r="R18" s="212"/>
      <c r="S18" s="212"/>
    </row>
    <row r="19" spans="2:19" ht="24" customHeight="1">
      <c r="B19" s="214"/>
      <c r="C19" s="212"/>
      <c r="D19" s="210"/>
      <c r="E19" s="212">
        <v>10683.89</v>
      </c>
      <c r="F19" s="213"/>
      <c r="G19" s="212" t="e">
        <f>+E19/F19</f>
        <v>#DIV/0!</v>
      </c>
      <c r="H19" s="212">
        <v>7299.89</v>
      </c>
      <c r="I19" s="212"/>
      <c r="J19" s="212">
        <v>362.57</v>
      </c>
      <c r="K19" s="212">
        <v>483.43</v>
      </c>
      <c r="L19" s="212">
        <v>483.43</v>
      </c>
      <c r="M19" s="212">
        <v>483.43</v>
      </c>
      <c r="N19" s="212"/>
      <c r="O19" s="212"/>
      <c r="P19" s="212"/>
      <c r="Q19" s="212"/>
      <c r="R19" s="212">
        <f>SUM(H19:Q19)</f>
        <v>9112.75</v>
      </c>
      <c r="S19" s="212">
        <f>E19-R19</f>
        <v>1571.1399999999994</v>
      </c>
    </row>
    <row r="20" spans="2:19" ht="24" customHeight="1">
      <c r="B20" s="207"/>
      <c r="C20" s="212"/>
      <c r="D20" s="210"/>
      <c r="E20" s="212"/>
      <c r="F20" s="212"/>
      <c r="G20" s="212" t="e">
        <f>+E20/F20</f>
        <v>#DIV/0!</v>
      </c>
      <c r="H20" s="212"/>
      <c r="I20" s="212"/>
      <c r="J20" s="212"/>
      <c r="K20" s="212"/>
      <c r="L20" s="212"/>
      <c r="M20" s="212"/>
      <c r="N20" s="212"/>
      <c r="O20" s="212"/>
      <c r="P20" s="212"/>
      <c r="Q20" s="212"/>
      <c r="R20" s="212">
        <f>SUM(H20:Q20)</f>
        <v>0</v>
      </c>
      <c r="S20" s="212">
        <f>E20-R20</f>
        <v>0</v>
      </c>
    </row>
    <row r="21" spans="2:19" ht="24" customHeight="1" thickBot="1">
      <c r="B21" s="207"/>
      <c r="C21" s="212"/>
      <c r="D21" s="210"/>
      <c r="E21" s="215"/>
      <c r="F21" s="212"/>
      <c r="G21" s="215" t="e">
        <f>+E21/F21</f>
        <v>#DIV/0!</v>
      </c>
      <c r="H21" s="215"/>
      <c r="I21" s="215"/>
      <c r="J21" s="215"/>
      <c r="K21" s="215"/>
      <c r="L21" s="215"/>
      <c r="M21" s="215"/>
      <c r="N21" s="215"/>
      <c r="O21" s="215"/>
      <c r="P21" s="215"/>
      <c r="Q21" s="215"/>
      <c r="R21" s="215">
        <f>SUM(H21:Q21)</f>
        <v>0</v>
      </c>
      <c r="S21" s="215">
        <f>E21-R21</f>
        <v>0</v>
      </c>
    </row>
    <row r="22" spans="2:19" ht="24" customHeight="1" thickBot="1">
      <c r="B22" s="207"/>
      <c r="C22" s="216" t="s">
        <v>798</v>
      </c>
      <c r="D22" s="210"/>
      <c r="E22" s="212">
        <f>SUM(E18:E21)</f>
        <v>10683.89</v>
      </c>
      <c r="F22" s="212"/>
      <c r="G22" s="211" t="e">
        <f t="shared" ref="G22:S22" si="2">SUM(G18:G21)</f>
        <v>#DIV/0!</v>
      </c>
      <c r="H22" s="211">
        <f t="shared" si="2"/>
        <v>7299.89</v>
      </c>
      <c r="I22" s="211">
        <f t="shared" si="2"/>
        <v>0</v>
      </c>
      <c r="J22" s="211">
        <f t="shared" si="2"/>
        <v>362.57</v>
      </c>
      <c r="K22" s="211">
        <f t="shared" si="2"/>
        <v>483.43</v>
      </c>
      <c r="L22" s="211">
        <f t="shared" si="2"/>
        <v>483.43</v>
      </c>
      <c r="M22" s="211">
        <f t="shared" si="2"/>
        <v>483.43</v>
      </c>
      <c r="N22" s="211">
        <f t="shared" si="2"/>
        <v>0</v>
      </c>
      <c r="O22" s="211">
        <f t="shared" si="2"/>
        <v>0</v>
      </c>
      <c r="P22" s="211">
        <f t="shared" si="2"/>
        <v>0</v>
      </c>
      <c r="Q22" s="211">
        <f t="shared" si="2"/>
        <v>0</v>
      </c>
      <c r="R22" s="211">
        <f t="shared" si="2"/>
        <v>9112.75</v>
      </c>
      <c r="S22" s="211">
        <f t="shared" si="2"/>
        <v>1571.1399999999994</v>
      </c>
    </row>
    <row r="23" spans="2:19" ht="24" customHeight="1" thickTop="1">
      <c r="B23" s="207"/>
      <c r="C23" s="212"/>
      <c r="D23" s="210"/>
      <c r="E23" s="212"/>
      <c r="F23" s="212"/>
      <c r="G23" s="212"/>
      <c r="H23" s="212"/>
      <c r="I23" s="212"/>
      <c r="J23" s="212"/>
      <c r="K23" s="212"/>
      <c r="L23" s="212"/>
      <c r="M23" s="212"/>
      <c r="N23" s="212"/>
      <c r="O23" s="212"/>
      <c r="P23" s="212"/>
      <c r="Q23" s="212"/>
      <c r="R23" s="212"/>
      <c r="S23" s="212"/>
    </row>
    <row r="24" spans="2:19" ht="24" customHeight="1">
      <c r="B24" s="207"/>
      <c r="C24" s="209" t="s">
        <v>799</v>
      </c>
      <c r="D24" s="210"/>
      <c r="E24" s="212"/>
      <c r="F24" s="212"/>
      <c r="G24" s="212"/>
      <c r="H24" s="212"/>
      <c r="I24" s="212"/>
      <c r="J24" s="212"/>
      <c r="K24" s="212"/>
      <c r="L24" s="212"/>
      <c r="M24" s="212"/>
      <c r="N24" s="212"/>
      <c r="O24" s="212"/>
      <c r="P24" s="212"/>
      <c r="Q24" s="212"/>
      <c r="R24" s="212"/>
      <c r="S24" s="212"/>
    </row>
    <row r="25" spans="2:19" ht="24" customHeight="1">
      <c r="B25" s="214"/>
      <c r="C25" s="212"/>
      <c r="D25" s="210"/>
      <c r="E25" s="212">
        <v>380150.87</v>
      </c>
      <c r="F25" s="213"/>
      <c r="G25" s="212" t="e">
        <f t="shared" ref="G25:G27" si="3">+E25/F25</f>
        <v>#DIV/0!</v>
      </c>
      <c r="H25" s="212">
        <v>248452.3</v>
      </c>
      <c r="I25" s="212">
        <v>992.14</v>
      </c>
      <c r="J25" s="212">
        <v>6326.43</v>
      </c>
      <c r="K25" s="212">
        <v>9400.74</v>
      </c>
      <c r="L25" s="212">
        <v>11304.55</v>
      </c>
      <c r="M25" s="212">
        <v>13769.66</v>
      </c>
      <c r="N25" s="212"/>
      <c r="O25" s="212"/>
      <c r="P25" s="212"/>
      <c r="Q25" s="212"/>
      <c r="R25" s="212">
        <f t="shared" ref="R25:R27" si="4">SUM(H25:Q25)</f>
        <v>290245.81999999995</v>
      </c>
      <c r="S25" s="212">
        <f t="shared" ref="S25:S27" si="5">E25-R25</f>
        <v>89905.050000000047</v>
      </c>
    </row>
    <row r="26" spans="2:19" ht="24" customHeight="1">
      <c r="B26" s="214"/>
      <c r="C26" s="212"/>
      <c r="D26" s="210"/>
      <c r="E26" s="212"/>
      <c r="F26" s="213"/>
      <c r="G26" s="212" t="e">
        <f t="shared" si="3"/>
        <v>#DIV/0!</v>
      </c>
      <c r="H26" s="212"/>
      <c r="I26" s="212"/>
      <c r="J26" s="212"/>
      <c r="K26" s="212"/>
      <c r="L26" s="212"/>
      <c r="M26" s="212"/>
      <c r="N26" s="212"/>
      <c r="O26" s="212"/>
      <c r="P26" s="212"/>
      <c r="Q26" s="212"/>
      <c r="R26" s="212">
        <f t="shared" si="4"/>
        <v>0</v>
      </c>
      <c r="S26" s="212">
        <f t="shared" si="5"/>
        <v>0</v>
      </c>
    </row>
    <row r="27" spans="2:19" ht="24" customHeight="1" thickBot="1">
      <c r="B27" s="207"/>
      <c r="C27" s="212"/>
      <c r="D27" s="210"/>
      <c r="E27" s="215"/>
      <c r="F27" s="212"/>
      <c r="G27" s="215" t="e">
        <f t="shared" si="3"/>
        <v>#DIV/0!</v>
      </c>
      <c r="H27" s="215"/>
      <c r="I27" s="215"/>
      <c r="J27" s="215"/>
      <c r="K27" s="215"/>
      <c r="L27" s="215"/>
      <c r="M27" s="215"/>
      <c r="N27" s="215"/>
      <c r="O27" s="215"/>
      <c r="P27" s="215"/>
      <c r="Q27" s="215"/>
      <c r="R27" s="215">
        <f t="shared" si="4"/>
        <v>0</v>
      </c>
      <c r="S27" s="215">
        <f t="shared" si="5"/>
        <v>0</v>
      </c>
    </row>
    <row r="28" spans="2:19" ht="24" customHeight="1" thickBot="1">
      <c r="B28" s="207"/>
      <c r="C28" s="216" t="s">
        <v>800</v>
      </c>
      <c r="D28" s="210"/>
      <c r="E28" s="211">
        <f>SUM(E24:E27)</f>
        <v>380150.87</v>
      </c>
      <c r="F28" s="212"/>
      <c r="G28" s="211" t="e">
        <f t="shared" ref="G28:S28" si="6">SUM(G24:G27)</f>
        <v>#DIV/0!</v>
      </c>
      <c r="H28" s="211">
        <f t="shared" si="6"/>
        <v>248452.3</v>
      </c>
      <c r="I28" s="211">
        <f t="shared" si="6"/>
        <v>992.14</v>
      </c>
      <c r="J28" s="211">
        <f t="shared" si="6"/>
        <v>6326.43</v>
      </c>
      <c r="K28" s="211">
        <f t="shared" si="6"/>
        <v>9400.74</v>
      </c>
      <c r="L28" s="211">
        <f t="shared" si="6"/>
        <v>11304.55</v>
      </c>
      <c r="M28" s="211">
        <f t="shared" si="6"/>
        <v>13769.66</v>
      </c>
      <c r="N28" s="211">
        <f t="shared" si="6"/>
        <v>0</v>
      </c>
      <c r="O28" s="211">
        <f t="shared" si="6"/>
        <v>0</v>
      </c>
      <c r="P28" s="211">
        <f t="shared" si="6"/>
        <v>0</v>
      </c>
      <c r="Q28" s="211">
        <f t="shared" si="6"/>
        <v>0</v>
      </c>
      <c r="R28" s="211">
        <f t="shared" si="6"/>
        <v>290245.81999999995</v>
      </c>
      <c r="S28" s="211">
        <f t="shared" si="6"/>
        <v>89905.050000000047</v>
      </c>
    </row>
    <row r="29" spans="2:19" ht="24" customHeight="1" thickTop="1">
      <c r="B29" s="207"/>
      <c r="C29" s="212"/>
      <c r="D29" s="210"/>
      <c r="E29" s="212"/>
      <c r="F29" s="212"/>
      <c r="G29" s="212"/>
      <c r="H29" s="212"/>
      <c r="I29" s="212"/>
      <c r="J29" s="212"/>
      <c r="K29" s="212"/>
      <c r="L29" s="212"/>
      <c r="M29" s="212"/>
      <c r="N29" s="212"/>
      <c r="O29" s="212"/>
      <c r="P29" s="212"/>
      <c r="Q29" s="212"/>
      <c r="R29" s="212"/>
      <c r="S29" s="212"/>
    </row>
    <row r="30" spans="2:19" ht="24" customHeight="1">
      <c r="B30" s="207"/>
      <c r="C30" s="209" t="s">
        <v>725</v>
      </c>
      <c r="D30" s="210"/>
      <c r="E30" s="212"/>
      <c r="F30" s="212"/>
      <c r="G30" s="212"/>
      <c r="H30" s="212"/>
      <c r="I30" s="212"/>
      <c r="J30" s="212"/>
      <c r="K30" s="212"/>
      <c r="L30" s="212"/>
      <c r="M30" s="212"/>
      <c r="N30" s="212"/>
      <c r="O30" s="212"/>
      <c r="P30" s="212"/>
      <c r="Q30" s="212"/>
      <c r="R30" s="212"/>
      <c r="S30" s="212">
        <f>E30+F30+G30+H30</f>
        <v>0</v>
      </c>
    </row>
    <row r="31" spans="2:19" ht="24" customHeight="1" thickBot="1">
      <c r="B31" s="207"/>
      <c r="C31" s="212"/>
      <c r="D31" s="210"/>
      <c r="E31" s="215">
        <v>82585.649999999994</v>
      </c>
      <c r="F31" s="212"/>
      <c r="G31" s="215" t="e">
        <f>+E31/F31</f>
        <v>#DIV/0!</v>
      </c>
      <c r="H31" s="215">
        <v>3326.57</v>
      </c>
      <c r="I31" s="215">
        <v>410.75</v>
      </c>
      <c r="J31" s="215">
        <v>2097</v>
      </c>
      <c r="K31" s="215">
        <v>3553.27</v>
      </c>
      <c r="L31" s="215">
        <v>5704.66</v>
      </c>
      <c r="M31" s="215">
        <v>8499.49</v>
      </c>
      <c r="N31" s="215"/>
      <c r="O31" s="215"/>
      <c r="P31" s="215"/>
      <c r="Q31" s="215"/>
      <c r="R31" s="215">
        <f>SUM(H31:Q31)</f>
        <v>23591.739999999998</v>
      </c>
      <c r="S31" s="215">
        <f>E31-R31</f>
        <v>58993.909999999996</v>
      </c>
    </row>
    <row r="32" spans="2:19" ht="24" customHeight="1" thickBot="1">
      <c r="B32" s="207"/>
      <c r="C32" s="216" t="s">
        <v>726</v>
      </c>
      <c r="D32" s="210"/>
      <c r="E32" s="212">
        <f>SUM(E30:E31)</f>
        <v>82585.649999999994</v>
      </c>
      <c r="F32" s="212"/>
      <c r="G32" s="211" t="e">
        <f t="shared" ref="G32:S32" si="7">SUM(G30:G31)</f>
        <v>#DIV/0!</v>
      </c>
      <c r="H32" s="211">
        <f t="shared" si="7"/>
        <v>3326.57</v>
      </c>
      <c r="I32" s="211">
        <f t="shared" si="7"/>
        <v>410.75</v>
      </c>
      <c r="J32" s="211">
        <f t="shared" si="7"/>
        <v>2097</v>
      </c>
      <c r="K32" s="211">
        <f t="shared" si="7"/>
        <v>3553.27</v>
      </c>
      <c r="L32" s="211">
        <f t="shared" si="7"/>
        <v>5704.66</v>
      </c>
      <c r="M32" s="211">
        <f t="shared" si="7"/>
        <v>8499.49</v>
      </c>
      <c r="N32" s="211">
        <f t="shared" si="7"/>
        <v>0</v>
      </c>
      <c r="O32" s="211">
        <f t="shared" si="7"/>
        <v>0</v>
      </c>
      <c r="P32" s="211">
        <f t="shared" si="7"/>
        <v>0</v>
      </c>
      <c r="Q32" s="211">
        <f t="shared" si="7"/>
        <v>0</v>
      </c>
      <c r="R32" s="211">
        <f t="shared" si="7"/>
        <v>23591.739999999998</v>
      </c>
      <c r="S32" s="211">
        <f t="shared" si="7"/>
        <v>58993.909999999996</v>
      </c>
    </row>
    <row r="33" spans="2:19" ht="24" customHeight="1" thickTop="1" thickBot="1">
      <c r="B33" s="207"/>
      <c r="C33" s="212"/>
      <c r="D33" s="210"/>
      <c r="E33" s="215"/>
      <c r="F33" s="212"/>
      <c r="G33" s="215"/>
      <c r="H33" s="215"/>
      <c r="I33" s="215"/>
      <c r="J33" s="215"/>
      <c r="K33" s="215"/>
      <c r="L33" s="215"/>
      <c r="M33" s="215"/>
      <c r="N33" s="215"/>
      <c r="O33" s="215"/>
      <c r="P33" s="215"/>
      <c r="Q33" s="215"/>
      <c r="R33" s="215"/>
      <c r="S33" s="215">
        <f>E33+F33+G33+H33</f>
        <v>0</v>
      </c>
    </row>
    <row r="34" spans="2:19" ht="24" customHeight="1" thickBot="1">
      <c r="C34" s="216" t="s">
        <v>126</v>
      </c>
      <c r="D34" s="210"/>
      <c r="E34" s="211">
        <f>E6+E11+E16+E22+E28+E32</f>
        <v>549926.65</v>
      </c>
      <c r="F34" s="212"/>
      <c r="G34" s="211" t="e">
        <f t="shared" ref="G34:S34" si="8">G6+G11+G16+G22+G28+G32</f>
        <v>#DIV/0!</v>
      </c>
      <c r="H34" s="211">
        <f t="shared" si="8"/>
        <v>301747.07</v>
      </c>
      <c r="I34" s="211">
        <f t="shared" si="8"/>
        <v>4525.1000000000004</v>
      </c>
      <c r="J34" s="211">
        <f t="shared" si="8"/>
        <v>11908.48</v>
      </c>
      <c r="K34" s="211">
        <f t="shared" si="8"/>
        <v>16559.649999999998</v>
      </c>
      <c r="L34" s="211">
        <f t="shared" si="8"/>
        <v>20614.849999999999</v>
      </c>
      <c r="M34" s="211">
        <f t="shared" si="8"/>
        <v>25874.79</v>
      </c>
      <c r="N34" s="211">
        <f t="shared" si="8"/>
        <v>0</v>
      </c>
      <c r="O34" s="211">
        <f t="shared" si="8"/>
        <v>0</v>
      </c>
      <c r="P34" s="211">
        <f t="shared" si="8"/>
        <v>0</v>
      </c>
      <c r="Q34" s="211">
        <f t="shared" si="8"/>
        <v>0</v>
      </c>
      <c r="R34" s="211">
        <f t="shared" si="8"/>
        <v>381229.93999999994</v>
      </c>
      <c r="S34" s="211">
        <f t="shared" si="8"/>
        <v>168696.71000000005</v>
      </c>
    </row>
    <row r="35" spans="2:19" ht="15.75" thickTop="1"/>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7" type="noConversion"/>
  <printOptions gridLines="1"/>
  <pageMargins left="0.5" right="0.67" top="0.5" bottom="0.5" header="0.5" footer="0.5"/>
  <pageSetup scale="55" orientation="landscape" horizontalDpi="200" verticalDpi="200"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R40"/>
  <sheetViews>
    <sheetView defaultGridColor="0" topLeftCell="C1" colorId="22" zoomScale="87" workbookViewId="0">
      <selection activeCell="D2" sqref="D2"/>
    </sheetView>
  </sheetViews>
  <sheetFormatPr defaultColWidth="12.5703125" defaultRowHeight="15"/>
  <cols>
    <col min="1" max="2" width="0" style="221" hidden="1" customWidth="1"/>
    <col min="3" max="3" width="37.85546875" style="221" customWidth="1"/>
    <col min="4" max="4" width="14.85546875" style="221" customWidth="1"/>
    <col min="5" max="5" width="8.28515625" style="221" hidden="1" customWidth="1"/>
    <col min="6" max="6" width="16.42578125" style="221" hidden="1" customWidth="1"/>
    <col min="7" max="7" width="14.28515625" style="221" customWidth="1"/>
    <col min="8" max="8" width="12.42578125" style="221" customWidth="1"/>
    <col min="9" max="9" width="13" style="221" customWidth="1"/>
    <col min="10" max="10" width="11.42578125" style="221" customWidth="1"/>
    <col min="11" max="11" width="11.85546875" style="221" customWidth="1"/>
    <col min="12" max="12" width="11.42578125" style="221" customWidth="1"/>
    <col min="13" max="16" width="16.42578125" style="221" hidden="1" customWidth="1"/>
    <col min="17" max="17" width="14.42578125" style="221" customWidth="1"/>
    <col min="18" max="18" width="12.42578125" style="221" customWidth="1"/>
    <col min="19" max="16384" width="12.5703125" style="221"/>
  </cols>
  <sheetData>
    <row r="1" spans="1:18" ht="18.75">
      <c r="B1" s="219" t="str">
        <f>'Depr.-General'!B1</f>
        <v>TOWN OF BROADUS</v>
      </c>
      <c r="C1" s="1308" t="s">
        <v>3660</v>
      </c>
      <c r="D1" s="220"/>
      <c r="E1" s="220"/>
      <c r="F1" s="220"/>
      <c r="G1" s="220"/>
      <c r="H1" s="220"/>
      <c r="I1" s="220"/>
      <c r="J1" s="220"/>
      <c r="K1" s="220"/>
      <c r="L1" s="220"/>
      <c r="M1" s="220"/>
      <c r="N1" s="220"/>
      <c r="O1" s="220"/>
      <c r="P1" s="220"/>
      <c r="Q1" s="220"/>
      <c r="R1" s="220"/>
    </row>
    <row r="2" spans="1:18" ht="18.75">
      <c r="B2" s="219" t="s">
        <v>776</v>
      </c>
      <c r="C2" s="1308" t="s">
        <v>3713</v>
      </c>
      <c r="D2" s="220"/>
      <c r="E2" s="220"/>
      <c r="F2" s="220"/>
      <c r="G2" s="220"/>
      <c r="H2" s="220"/>
      <c r="I2" s="220"/>
      <c r="J2" s="220"/>
      <c r="K2" s="220"/>
      <c r="L2" s="220"/>
      <c r="M2" s="220"/>
      <c r="N2" s="220"/>
      <c r="O2" s="220"/>
      <c r="P2" s="220"/>
      <c r="Q2" s="220"/>
      <c r="R2" s="220"/>
    </row>
    <row r="3" spans="1:18" ht="31.5">
      <c r="A3" s="230" t="s">
        <v>497</v>
      </c>
      <c r="B3" s="223" t="s">
        <v>717</v>
      </c>
      <c r="D3" s="222"/>
      <c r="E3" s="223" t="s">
        <v>718</v>
      </c>
      <c r="F3" s="223" t="s">
        <v>460</v>
      </c>
      <c r="G3" s="1305" t="s">
        <v>719</v>
      </c>
      <c r="H3" s="1305" t="s">
        <v>716</v>
      </c>
      <c r="I3" s="1305" t="s">
        <v>716</v>
      </c>
      <c r="J3" s="1305" t="s">
        <v>716</v>
      </c>
      <c r="K3" s="1305" t="s">
        <v>716</v>
      </c>
      <c r="L3" s="1305" t="s">
        <v>716</v>
      </c>
      <c r="M3" s="1305" t="s">
        <v>716</v>
      </c>
      <c r="N3" s="1305" t="s">
        <v>716</v>
      </c>
      <c r="O3" s="1305" t="s">
        <v>716</v>
      </c>
      <c r="P3" s="1305" t="s">
        <v>716</v>
      </c>
      <c r="Q3" s="1305" t="s">
        <v>783</v>
      </c>
      <c r="R3" s="1305" t="s">
        <v>784</v>
      </c>
    </row>
    <row r="4" spans="1:18" ht="32.25" thickBot="1">
      <c r="A4" s="231" t="s">
        <v>498</v>
      </c>
      <c r="B4" s="224" t="s">
        <v>785</v>
      </c>
      <c r="C4" s="224" t="s">
        <v>179</v>
      </c>
      <c r="D4" s="224" t="s">
        <v>786</v>
      </c>
      <c r="E4" s="224" t="s">
        <v>787</v>
      </c>
      <c r="F4" s="224" t="s">
        <v>716</v>
      </c>
      <c r="G4" s="1306" t="s">
        <v>1827</v>
      </c>
      <c r="H4" s="1306" t="s">
        <v>1827</v>
      </c>
      <c r="I4" s="1306" t="s">
        <v>1828</v>
      </c>
      <c r="J4" s="1306" t="s">
        <v>1829</v>
      </c>
      <c r="K4" s="1306" t="s">
        <v>1830</v>
      </c>
      <c r="L4" s="1306" t="s">
        <v>1831</v>
      </c>
      <c r="M4" s="1306" t="s">
        <v>1977</v>
      </c>
      <c r="N4" s="1306" t="s">
        <v>1978</v>
      </c>
      <c r="O4" s="1306" t="s">
        <v>1979</v>
      </c>
      <c r="P4" s="1306" t="s">
        <v>1980</v>
      </c>
      <c r="Q4" s="1307" t="s">
        <v>716</v>
      </c>
      <c r="R4" s="1307" t="s">
        <v>788</v>
      </c>
    </row>
    <row r="5" spans="1:18" ht="16.5" thickBot="1">
      <c r="C5" s="223" t="s">
        <v>907</v>
      </c>
      <c r="D5" s="225">
        <v>4900</v>
      </c>
      <c r="F5" s="226" t="s">
        <v>789</v>
      </c>
      <c r="G5" s="226" t="s">
        <v>789</v>
      </c>
      <c r="H5" s="225"/>
      <c r="I5" s="225"/>
      <c r="J5" s="225"/>
      <c r="K5" s="225"/>
      <c r="L5" s="225"/>
      <c r="M5" s="225"/>
      <c r="N5" s="225"/>
      <c r="O5" s="225"/>
      <c r="P5" s="225"/>
      <c r="Q5" s="225"/>
      <c r="R5" s="225">
        <f>D5</f>
        <v>4900</v>
      </c>
    </row>
    <row r="6" spans="1:18" ht="16.5" thickTop="1">
      <c r="C6" s="223" t="s">
        <v>908</v>
      </c>
    </row>
    <row r="7" spans="1:18">
      <c r="D7" s="227">
        <v>4986.32</v>
      </c>
      <c r="F7" s="227" t="e">
        <f>D7/E7</f>
        <v>#DIV/0!</v>
      </c>
      <c r="G7" s="227">
        <v>4986.32</v>
      </c>
      <c r="H7" s="227"/>
      <c r="I7" s="227"/>
      <c r="J7" s="227"/>
      <c r="K7" s="227"/>
      <c r="L7" s="227"/>
      <c r="M7" s="227"/>
      <c r="N7" s="227"/>
      <c r="O7" s="227"/>
      <c r="P7" s="227"/>
      <c r="Q7" s="227">
        <f>G7+H7+I7+J7+K7+L7+M7+N7+O7+P7</f>
        <v>4986.32</v>
      </c>
      <c r="R7" s="227">
        <f>D7-Q7</f>
        <v>0</v>
      </c>
    </row>
    <row r="8" spans="1:18" ht="12.75" customHeight="1" thickBot="1">
      <c r="D8" s="228"/>
      <c r="F8" s="228"/>
      <c r="G8" s="228"/>
      <c r="H8" s="228"/>
      <c r="I8" s="228"/>
      <c r="J8" s="228"/>
      <c r="K8" s="228"/>
      <c r="L8" s="228"/>
      <c r="M8" s="228"/>
      <c r="N8" s="228"/>
      <c r="O8" s="228"/>
      <c r="P8" s="228"/>
      <c r="Q8" s="228">
        <f>G8+H8+I8+J8+K8+L8+M8+N8+O8+P8</f>
        <v>0</v>
      </c>
      <c r="R8" s="228">
        <f>D8-Q8</f>
        <v>0</v>
      </c>
    </row>
    <row r="9" spans="1:18" ht="16.5" thickBot="1">
      <c r="C9" s="223" t="s">
        <v>796</v>
      </c>
      <c r="D9" s="225">
        <f>SUM(D6:D8)</f>
        <v>4986.32</v>
      </c>
      <c r="F9" s="225" t="e">
        <f t="shared" ref="F9:P9" si="0">SUM(F6:F8)</f>
        <v>#DIV/0!</v>
      </c>
      <c r="G9" s="225">
        <f t="shared" si="0"/>
        <v>4986.32</v>
      </c>
      <c r="H9" s="225">
        <f t="shared" si="0"/>
        <v>0</v>
      </c>
      <c r="I9" s="225">
        <f t="shared" si="0"/>
        <v>0</v>
      </c>
      <c r="J9" s="225">
        <f t="shared" si="0"/>
        <v>0</v>
      </c>
      <c r="K9" s="225">
        <f t="shared" si="0"/>
        <v>0</v>
      </c>
      <c r="L9" s="225">
        <f t="shared" si="0"/>
        <v>0</v>
      </c>
      <c r="M9" s="225">
        <f t="shared" si="0"/>
        <v>0</v>
      </c>
      <c r="N9" s="225">
        <f t="shared" si="0"/>
        <v>0</v>
      </c>
      <c r="O9" s="225">
        <f t="shared" si="0"/>
        <v>0</v>
      </c>
      <c r="P9" s="225">
        <f t="shared" si="0"/>
        <v>0</v>
      </c>
      <c r="Q9" s="225">
        <f>G9+H9+I9+J9+K9+L9+M9+N9+O9+P9</f>
        <v>4986.32</v>
      </c>
      <c r="R9" s="225">
        <f>D9-Q9</f>
        <v>0</v>
      </c>
    </row>
    <row r="10" spans="1:18" ht="16.5" thickTop="1">
      <c r="C10" s="1309" t="s">
        <v>483</v>
      </c>
    </row>
    <row r="11" spans="1:18" ht="16.5" thickBot="1">
      <c r="C11" s="1310" t="s">
        <v>484</v>
      </c>
      <c r="D11" s="225">
        <f>SUM(D10:D10)</f>
        <v>0</v>
      </c>
      <c r="F11" s="225">
        <f t="shared" ref="F11:P11" si="1">SUM(F10:F10)</f>
        <v>0</v>
      </c>
      <c r="G11" s="225">
        <f t="shared" si="1"/>
        <v>0</v>
      </c>
      <c r="H11" s="225">
        <f t="shared" si="1"/>
        <v>0</v>
      </c>
      <c r="I11" s="225">
        <f t="shared" si="1"/>
        <v>0</v>
      </c>
      <c r="J11" s="225">
        <f t="shared" si="1"/>
        <v>0</v>
      </c>
      <c r="K11" s="225">
        <f t="shared" si="1"/>
        <v>0</v>
      </c>
      <c r="L11" s="225">
        <f t="shared" si="1"/>
        <v>0</v>
      </c>
      <c r="M11" s="225">
        <f t="shared" si="1"/>
        <v>0</v>
      </c>
      <c r="N11" s="225">
        <f t="shared" si="1"/>
        <v>0</v>
      </c>
      <c r="O11" s="225">
        <f t="shared" si="1"/>
        <v>0</v>
      </c>
      <c r="P11" s="225">
        <f t="shared" si="1"/>
        <v>0</v>
      </c>
      <c r="Q11" s="225">
        <f>G11+H11+I11+J11+K11+L11+M11+N11+O11+P11</f>
        <v>0</v>
      </c>
      <c r="R11" s="225">
        <f>D11-Q11</f>
        <v>0</v>
      </c>
    </row>
    <row r="12" spans="1:18" ht="16.5" thickTop="1">
      <c r="C12" s="1309" t="s">
        <v>790</v>
      </c>
    </row>
    <row r="13" spans="1:18" ht="16.5" thickBot="1">
      <c r="C13" s="1311" t="s">
        <v>798</v>
      </c>
      <c r="D13" s="225">
        <f>SUM(D12:D12)</f>
        <v>0</v>
      </c>
      <c r="F13" s="225">
        <f t="shared" ref="F13:P13" si="2">SUM(F12:F12)</f>
        <v>0</v>
      </c>
      <c r="G13" s="225">
        <f t="shared" si="2"/>
        <v>0</v>
      </c>
      <c r="H13" s="225">
        <f t="shared" si="2"/>
        <v>0</v>
      </c>
      <c r="I13" s="225">
        <f t="shared" si="2"/>
        <v>0</v>
      </c>
      <c r="J13" s="225">
        <f t="shared" si="2"/>
        <v>0</v>
      </c>
      <c r="K13" s="225">
        <f t="shared" si="2"/>
        <v>0</v>
      </c>
      <c r="L13" s="225">
        <f t="shared" si="2"/>
        <v>0</v>
      </c>
      <c r="M13" s="225">
        <f t="shared" si="2"/>
        <v>0</v>
      </c>
      <c r="N13" s="225">
        <f t="shared" si="2"/>
        <v>0</v>
      </c>
      <c r="O13" s="225">
        <f t="shared" si="2"/>
        <v>0</v>
      </c>
      <c r="P13" s="225">
        <f t="shared" si="2"/>
        <v>0</v>
      </c>
      <c r="Q13" s="225">
        <f>G13+H13+I13+J13+K13+L13+M13+N13+O13+P13</f>
        <v>0</v>
      </c>
      <c r="R13" s="225">
        <f>D13-Q13</f>
        <v>0</v>
      </c>
    </row>
    <row r="14" spans="1:18" ht="16.5" thickTop="1">
      <c r="C14" s="1309" t="s">
        <v>791</v>
      </c>
    </row>
    <row r="15" spans="1:18">
      <c r="C15" s="1312"/>
      <c r="D15" s="227">
        <v>30457.15</v>
      </c>
      <c r="F15" s="227" t="e">
        <f>D15/E15</f>
        <v>#DIV/0!</v>
      </c>
      <c r="G15" s="227">
        <v>14638.61</v>
      </c>
      <c r="H15" s="227">
        <v>203.75</v>
      </c>
      <c r="I15" s="227">
        <v>203.75</v>
      </c>
      <c r="J15" s="227">
        <v>203.75</v>
      </c>
      <c r="K15" s="227">
        <v>203.75</v>
      </c>
      <c r="L15" s="227">
        <v>1503.75</v>
      </c>
      <c r="M15" s="227"/>
      <c r="N15" s="227"/>
      <c r="O15" s="227"/>
      <c r="P15" s="227"/>
      <c r="Q15" s="227">
        <f>G15+H15+I15+J15+K15+L15+M15+N15+O15+P15</f>
        <v>16957.36</v>
      </c>
      <c r="R15" s="227">
        <f>D15-Q15</f>
        <v>13499.79</v>
      </c>
    </row>
    <row r="16" spans="1:18" ht="16.5" thickBot="1">
      <c r="C16" s="1311" t="s">
        <v>687</v>
      </c>
      <c r="D16" s="225">
        <f>SUM(D14:D15)</f>
        <v>30457.15</v>
      </c>
      <c r="F16" s="225" t="e">
        <f t="shared" ref="F16:P16" si="3">SUM(F14:F15)</f>
        <v>#DIV/0!</v>
      </c>
      <c r="G16" s="225">
        <f t="shared" si="3"/>
        <v>14638.61</v>
      </c>
      <c r="H16" s="225">
        <f t="shared" si="3"/>
        <v>203.75</v>
      </c>
      <c r="I16" s="225">
        <f t="shared" si="3"/>
        <v>203.75</v>
      </c>
      <c r="J16" s="225">
        <f t="shared" si="3"/>
        <v>203.75</v>
      </c>
      <c r="K16" s="225">
        <f t="shared" si="3"/>
        <v>203.75</v>
      </c>
      <c r="L16" s="225">
        <f t="shared" si="3"/>
        <v>1503.75</v>
      </c>
      <c r="M16" s="225">
        <f t="shared" si="3"/>
        <v>0</v>
      </c>
      <c r="N16" s="225">
        <f t="shared" si="3"/>
        <v>0</v>
      </c>
      <c r="O16" s="225">
        <f t="shared" si="3"/>
        <v>0</v>
      </c>
      <c r="P16" s="225">
        <f t="shared" si="3"/>
        <v>0</v>
      </c>
      <c r="Q16" s="225">
        <f>G16+H16+I16+J16+K16+L16+M16+N16+O16+P16</f>
        <v>16957.36</v>
      </c>
      <c r="R16" s="225">
        <f>D16-Q16</f>
        <v>13499.79</v>
      </c>
    </row>
    <row r="17" spans="3:18" ht="9.75" customHeight="1" thickTop="1">
      <c r="C17" s="1311"/>
      <c r="D17" s="229"/>
      <c r="F17" s="229"/>
      <c r="G17" s="229"/>
      <c r="H17" s="229"/>
      <c r="I17" s="229"/>
      <c r="J17" s="229"/>
      <c r="K17" s="229"/>
      <c r="L17" s="229"/>
      <c r="M17" s="229"/>
      <c r="N17" s="229"/>
      <c r="O17" s="229"/>
      <c r="P17" s="229"/>
      <c r="Q17" s="229"/>
      <c r="R17" s="229"/>
    </row>
    <row r="18" spans="3:18" ht="15.75">
      <c r="C18" s="1309" t="s">
        <v>688</v>
      </c>
    </row>
    <row r="19" spans="3:18">
      <c r="C19" s="1312"/>
      <c r="D19" s="227">
        <v>253552.73</v>
      </c>
      <c r="F19" s="227" t="e">
        <f>D19/E19</f>
        <v>#DIV/0!</v>
      </c>
      <c r="G19" s="227">
        <v>183232.86</v>
      </c>
      <c r="H19" s="227">
        <v>9261.7800000000007</v>
      </c>
      <c r="I19" s="227">
        <v>9261.7800000000007</v>
      </c>
      <c r="J19" s="227">
        <v>3055.03</v>
      </c>
      <c r="K19" s="227">
        <v>3321.98</v>
      </c>
      <c r="L19" s="227">
        <v>2890.03</v>
      </c>
      <c r="M19" s="227"/>
      <c r="N19" s="227"/>
      <c r="O19" s="227"/>
      <c r="P19" s="227"/>
      <c r="Q19" s="227">
        <f>G19+H19+I19+J19+K19+L19+M19+N19+O19+P19</f>
        <v>211023.46</v>
      </c>
      <c r="R19" s="227">
        <f>D19-Q19</f>
        <v>42529.270000000019</v>
      </c>
    </row>
    <row r="20" spans="3:18" ht="15.75" thickBot="1">
      <c r="C20" s="1312"/>
      <c r="D20" s="228"/>
      <c r="F20" s="228"/>
      <c r="G20" s="228"/>
      <c r="H20" s="228"/>
      <c r="I20" s="228"/>
      <c r="J20" s="228"/>
      <c r="K20" s="228"/>
      <c r="L20" s="228"/>
      <c r="M20" s="228"/>
      <c r="N20" s="228"/>
      <c r="O20" s="228"/>
      <c r="P20" s="228"/>
      <c r="Q20" s="228">
        <f>G20+H20+I20+J20+K20+L20+M20+N20+O20+P20</f>
        <v>0</v>
      </c>
      <c r="R20" s="228">
        <f>D20-Q20</f>
        <v>0</v>
      </c>
    </row>
    <row r="21" spans="3:18" ht="16.5" thickBot="1">
      <c r="C21" s="1311" t="s">
        <v>689</v>
      </c>
      <c r="D21" s="225">
        <f>SUM(D19:D20)</f>
        <v>253552.73</v>
      </c>
      <c r="F21" s="225" t="e">
        <f t="shared" ref="F21:P21" si="4">SUM(F19:F20)</f>
        <v>#DIV/0!</v>
      </c>
      <c r="G21" s="225">
        <f t="shared" si="4"/>
        <v>183232.86</v>
      </c>
      <c r="H21" s="225">
        <f t="shared" si="4"/>
        <v>9261.7800000000007</v>
      </c>
      <c r="I21" s="225">
        <f t="shared" si="4"/>
        <v>9261.7800000000007</v>
      </c>
      <c r="J21" s="225">
        <f t="shared" si="4"/>
        <v>3055.03</v>
      </c>
      <c r="K21" s="225">
        <f t="shared" si="4"/>
        <v>3321.98</v>
      </c>
      <c r="L21" s="225">
        <f t="shared" si="4"/>
        <v>2890.03</v>
      </c>
      <c r="M21" s="225">
        <f t="shared" si="4"/>
        <v>0</v>
      </c>
      <c r="N21" s="225">
        <f t="shared" si="4"/>
        <v>0</v>
      </c>
      <c r="O21" s="225">
        <f t="shared" si="4"/>
        <v>0</v>
      </c>
      <c r="P21" s="225">
        <f t="shared" si="4"/>
        <v>0</v>
      </c>
      <c r="Q21" s="225">
        <f>G21+H21+I21+J21+K21+L21+M21+N21+O21+P21</f>
        <v>211023.46</v>
      </c>
      <c r="R21" s="225">
        <f>D21-Q21</f>
        <v>42529.270000000019</v>
      </c>
    </row>
    <row r="22" spans="3:18" ht="9" customHeight="1" thickTop="1">
      <c r="C22" s="1312"/>
    </row>
    <row r="23" spans="3:18" ht="15.75">
      <c r="C23" s="1309" t="s">
        <v>690</v>
      </c>
    </row>
    <row r="24" spans="3:18">
      <c r="C24" s="1312"/>
      <c r="D24" s="227">
        <v>15395</v>
      </c>
      <c r="F24" s="227" t="e">
        <f>D24/E24</f>
        <v>#DIV/0!</v>
      </c>
      <c r="G24" s="227">
        <v>15395</v>
      </c>
      <c r="H24" s="227"/>
      <c r="I24" s="227"/>
      <c r="J24" s="227"/>
      <c r="K24" s="227"/>
      <c r="L24" s="227"/>
      <c r="M24" s="227"/>
      <c r="N24" s="227"/>
      <c r="O24" s="227"/>
      <c r="P24" s="227"/>
      <c r="Q24" s="227">
        <f>G24+H24+I24+J24+K24+L24+M24+N24+O24+P24</f>
        <v>15395</v>
      </c>
      <c r="R24" s="227">
        <f>D24-Q24</f>
        <v>0</v>
      </c>
    </row>
    <row r="25" spans="3:18" ht="16.5" thickBot="1">
      <c r="C25" s="1311" t="s">
        <v>691</v>
      </c>
      <c r="D25" s="225">
        <f>SUM(D24:D24)</f>
        <v>15395</v>
      </c>
      <c r="F25" s="225" t="e">
        <f t="shared" ref="F25:P25" si="5">SUM(F24:F24)</f>
        <v>#DIV/0!</v>
      </c>
      <c r="G25" s="225">
        <f t="shared" si="5"/>
        <v>15395</v>
      </c>
      <c r="H25" s="225">
        <f t="shared" si="5"/>
        <v>0</v>
      </c>
      <c r="I25" s="225">
        <f t="shared" si="5"/>
        <v>0</v>
      </c>
      <c r="J25" s="225">
        <f t="shared" si="5"/>
        <v>0</v>
      </c>
      <c r="K25" s="225">
        <f t="shared" si="5"/>
        <v>0</v>
      </c>
      <c r="L25" s="225">
        <f t="shared" si="5"/>
        <v>0</v>
      </c>
      <c r="M25" s="225">
        <f t="shared" si="5"/>
        <v>0</v>
      </c>
      <c r="N25" s="225">
        <f t="shared" si="5"/>
        <v>0</v>
      </c>
      <c r="O25" s="225">
        <f t="shared" si="5"/>
        <v>0</v>
      </c>
      <c r="P25" s="225">
        <f t="shared" si="5"/>
        <v>0</v>
      </c>
      <c r="Q25" s="225">
        <f>G25+H25+I25+J25+K25+L25+M25+N25+O25+P25</f>
        <v>15395</v>
      </c>
      <c r="R25" s="225">
        <f>D25-Q25</f>
        <v>0</v>
      </c>
    </row>
    <row r="26" spans="3:18" ht="6" customHeight="1" thickTop="1">
      <c r="C26" s="1312"/>
      <c r="D26" s="227"/>
      <c r="F26" s="227"/>
      <c r="G26" s="227"/>
      <c r="H26" s="227"/>
      <c r="I26" s="227"/>
      <c r="J26" s="227"/>
      <c r="K26" s="227"/>
      <c r="L26" s="227"/>
      <c r="M26" s="227"/>
      <c r="N26" s="227"/>
      <c r="O26" s="227"/>
      <c r="P26" s="227"/>
      <c r="Q26" s="227"/>
      <c r="R26" s="227"/>
    </row>
    <row r="27" spans="3:18" ht="15.75">
      <c r="C27" s="1309" t="s">
        <v>692</v>
      </c>
    </row>
    <row r="28" spans="3:18" ht="15" customHeight="1">
      <c r="C28" s="1312"/>
      <c r="D28" s="227"/>
      <c r="F28" s="227" t="e">
        <f>D28/E28</f>
        <v>#DIV/0!</v>
      </c>
      <c r="G28" s="227"/>
      <c r="H28" s="227"/>
      <c r="I28" s="227"/>
      <c r="J28" s="227"/>
      <c r="K28" s="227"/>
      <c r="L28" s="227"/>
      <c r="M28" s="227"/>
      <c r="N28" s="227"/>
      <c r="O28" s="227"/>
      <c r="P28" s="227"/>
      <c r="Q28" s="227">
        <f>G28+H28+I28+J28+K28+L28+M28+N28+O28+P28</f>
        <v>0</v>
      </c>
      <c r="R28" s="227">
        <f>D28-Q28</f>
        <v>0</v>
      </c>
    </row>
    <row r="29" spans="3:18" ht="16.5" thickBot="1">
      <c r="C29" s="1311" t="s">
        <v>693</v>
      </c>
      <c r="D29" s="225">
        <f>SUM(D28:D28)</f>
        <v>0</v>
      </c>
      <c r="F29" s="225" t="e">
        <f t="shared" ref="F29:P29" si="6">SUM(F28:F28)</f>
        <v>#DIV/0!</v>
      </c>
      <c r="G29" s="225">
        <f t="shared" si="6"/>
        <v>0</v>
      </c>
      <c r="H29" s="225">
        <f t="shared" si="6"/>
        <v>0</v>
      </c>
      <c r="I29" s="225">
        <f t="shared" si="6"/>
        <v>0</v>
      </c>
      <c r="J29" s="225">
        <f t="shared" si="6"/>
        <v>0</v>
      </c>
      <c r="K29" s="225">
        <f t="shared" si="6"/>
        <v>0</v>
      </c>
      <c r="L29" s="225">
        <f t="shared" si="6"/>
        <v>0</v>
      </c>
      <c r="M29" s="225">
        <f t="shared" si="6"/>
        <v>0</v>
      </c>
      <c r="N29" s="225">
        <f t="shared" si="6"/>
        <v>0</v>
      </c>
      <c r="O29" s="225">
        <f t="shared" si="6"/>
        <v>0</v>
      </c>
      <c r="P29" s="225">
        <f t="shared" si="6"/>
        <v>0</v>
      </c>
      <c r="Q29" s="225">
        <f>G29+H29+I29+J29+K29+L29+M29+N29+O29+P29</f>
        <v>0</v>
      </c>
      <c r="R29" s="225">
        <f>D29-Q29</f>
        <v>0</v>
      </c>
    </row>
    <row r="30" spans="3:18" ht="7.5" customHeight="1" thickTop="1">
      <c r="C30" s="1312"/>
      <c r="D30" s="227"/>
      <c r="F30" s="227"/>
      <c r="G30" s="227"/>
      <c r="H30" s="227"/>
      <c r="I30" s="227"/>
      <c r="J30" s="227"/>
      <c r="K30" s="227"/>
      <c r="L30" s="227"/>
      <c r="M30" s="227"/>
      <c r="N30" s="227"/>
      <c r="O30" s="227"/>
      <c r="P30" s="227"/>
      <c r="Q30" s="227"/>
      <c r="R30" s="227"/>
    </row>
    <row r="31" spans="3:18" ht="15.75">
      <c r="C31" s="1309" t="s">
        <v>694</v>
      </c>
    </row>
    <row r="32" spans="3:18">
      <c r="C32" s="1312"/>
      <c r="D32" s="227">
        <v>314596.64</v>
      </c>
      <c r="F32" s="227" t="e">
        <f>D32/E32</f>
        <v>#DIV/0!</v>
      </c>
      <c r="G32" s="227">
        <v>292095.21999999997</v>
      </c>
      <c r="H32" s="227">
        <v>4016.31</v>
      </c>
      <c r="I32" s="227">
        <v>4016.26</v>
      </c>
      <c r="J32" s="227">
        <v>578.02</v>
      </c>
      <c r="K32" s="227">
        <v>578.02</v>
      </c>
      <c r="L32" s="227">
        <v>1512.45</v>
      </c>
      <c r="M32" s="227"/>
      <c r="N32" s="227"/>
      <c r="O32" s="227"/>
      <c r="P32" s="227"/>
      <c r="Q32" s="227">
        <f>G32+H32+I32+J32+K32+L32+M32+N32+O32+P32</f>
        <v>302796.28000000003</v>
      </c>
      <c r="R32" s="227">
        <f>D32-Q32</f>
        <v>11800.359999999986</v>
      </c>
    </row>
    <row r="33" spans="3:18" ht="16.5" thickBot="1">
      <c r="C33" s="1313" t="s">
        <v>695</v>
      </c>
      <c r="D33" s="225">
        <f>SUM(D32:D32)</f>
        <v>314596.64</v>
      </c>
      <c r="F33" s="225" t="e">
        <f t="shared" ref="F33:P33" si="7">SUM(F32:F32)</f>
        <v>#DIV/0!</v>
      </c>
      <c r="G33" s="225">
        <f t="shared" si="7"/>
        <v>292095.21999999997</v>
      </c>
      <c r="H33" s="225">
        <f t="shared" si="7"/>
        <v>4016.31</v>
      </c>
      <c r="I33" s="225">
        <f t="shared" si="7"/>
        <v>4016.26</v>
      </c>
      <c r="J33" s="225">
        <f t="shared" si="7"/>
        <v>578.02</v>
      </c>
      <c r="K33" s="225">
        <f t="shared" si="7"/>
        <v>578.02</v>
      </c>
      <c r="L33" s="225">
        <f t="shared" si="7"/>
        <v>1512.45</v>
      </c>
      <c r="M33" s="225">
        <f t="shared" si="7"/>
        <v>0</v>
      </c>
      <c r="N33" s="225">
        <f t="shared" si="7"/>
        <v>0</v>
      </c>
      <c r="O33" s="225">
        <f t="shared" si="7"/>
        <v>0</v>
      </c>
      <c r="P33" s="225">
        <f t="shared" si="7"/>
        <v>0</v>
      </c>
      <c r="Q33" s="225">
        <f>G33+H33+I33+J33+K33+L33+M33+N33+O33+P33</f>
        <v>302796.28000000003</v>
      </c>
      <c r="R33" s="225">
        <f>D33-Q33</f>
        <v>11800.359999999986</v>
      </c>
    </row>
    <row r="34" spans="3:18" ht="8.25" customHeight="1" thickTop="1"/>
    <row r="35" spans="3:18" ht="15.75">
      <c r="C35" s="223" t="s">
        <v>696</v>
      </c>
    </row>
    <row r="36" spans="3:18" ht="15.75" thickBot="1">
      <c r="D36" s="228"/>
      <c r="F36" s="228"/>
      <c r="G36" s="228"/>
      <c r="H36" s="228"/>
      <c r="I36" s="228"/>
      <c r="J36" s="228"/>
      <c r="K36" s="228"/>
      <c r="L36" s="228"/>
      <c r="M36" s="228"/>
      <c r="N36" s="228"/>
      <c r="O36" s="228"/>
      <c r="P36" s="228"/>
      <c r="Q36" s="228">
        <f>G36+H36+I36+J36+K36+L36+M36+N36+O36+P36</f>
        <v>0</v>
      </c>
      <c r="R36" s="228">
        <f>D36-Q36</f>
        <v>0</v>
      </c>
    </row>
    <row r="37" spans="3:18" ht="16.5" thickBot="1">
      <c r="C37" s="230" t="s">
        <v>558</v>
      </c>
      <c r="D37" s="225">
        <f>SUM(D36:D36)</f>
        <v>0</v>
      </c>
      <c r="F37" s="225">
        <f t="shared" ref="F37:P37" si="8">SUM(F36:F36)</f>
        <v>0</v>
      </c>
      <c r="G37" s="225">
        <f t="shared" si="8"/>
        <v>0</v>
      </c>
      <c r="H37" s="225">
        <f t="shared" si="8"/>
        <v>0</v>
      </c>
      <c r="I37" s="225">
        <f t="shared" si="8"/>
        <v>0</v>
      </c>
      <c r="J37" s="225">
        <f t="shared" si="8"/>
        <v>0</v>
      </c>
      <c r="K37" s="225">
        <f t="shared" si="8"/>
        <v>0</v>
      </c>
      <c r="L37" s="225">
        <f t="shared" si="8"/>
        <v>0</v>
      </c>
      <c r="M37" s="225">
        <f t="shared" si="8"/>
        <v>0</v>
      </c>
      <c r="N37" s="225">
        <f t="shared" si="8"/>
        <v>0</v>
      </c>
      <c r="O37" s="225">
        <f t="shared" si="8"/>
        <v>0</v>
      </c>
      <c r="P37" s="225">
        <f t="shared" si="8"/>
        <v>0</v>
      </c>
      <c r="Q37" s="225">
        <f>G37+H37+I37+J37+K37+L37+M37+N37+O37+P37</f>
        <v>0</v>
      </c>
      <c r="R37" s="225">
        <f>D37-Q37</f>
        <v>0</v>
      </c>
    </row>
    <row r="38" spans="3:18" ht="8.25" customHeight="1" thickTop="1"/>
    <row r="39" spans="3:18" ht="16.5" thickBot="1">
      <c r="C39" s="223" t="s">
        <v>559</v>
      </c>
      <c r="D39" s="225">
        <f>D5+D9+D11+D13+D16+D21+D25+D29+D33+D37</f>
        <v>623887.84000000008</v>
      </c>
      <c r="F39" s="225" t="e">
        <f t="shared" ref="F39:R39" si="9">F5+F9+F11+F13+F16+F21+F25+F29+F33+F37</f>
        <v>#DIV/0!</v>
      </c>
      <c r="G39" s="225">
        <f t="shared" si="9"/>
        <v>510348.00999999995</v>
      </c>
      <c r="H39" s="225">
        <f t="shared" si="9"/>
        <v>13481.84</v>
      </c>
      <c r="I39" s="225">
        <f t="shared" si="9"/>
        <v>13481.79</v>
      </c>
      <c r="J39" s="225">
        <f t="shared" si="9"/>
        <v>3836.8</v>
      </c>
      <c r="K39" s="225">
        <f t="shared" si="9"/>
        <v>4103.75</v>
      </c>
      <c r="L39" s="225">
        <f t="shared" si="9"/>
        <v>5906.2300000000005</v>
      </c>
      <c r="M39" s="225">
        <f t="shared" si="9"/>
        <v>0</v>
      </c>
      <c r="N39" s="225">
        <f t="shared" si="9"/>
        <v>0</v>
      </c>
      <c r="O39" s="225">
        <f t="shared" si="9"/>
        <v>0</v>
      </c>
      <c r="P39" s="225">
        <f t="shared" si="9"/>
        <v>0</v>
      </c>
      <c r="Q39" s="225">
        <f t="shared" si="9"/>
        <v>551158.42000000004</v>
      </c>
      <c r="R39" s="225">
        <f t="shared" si="9"/>
        <v>72729.420000000013</v>
      </c>
    </row>
    <row r="40"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7" type="noConversion"/>
  <pageMargins left="0.25" right="0.25" top="0.25" bottom="0.25" header="0.3" footer="0.3"/>
  <pageSetup scale="88" orientation="landscape" horizontalDpi="360" verticalDpi="360"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R37"/>
  <sheetViews>
    <sheetView defaultGridColor="0" topLeftCell="C5" colorId="22" zoomScale="87" workbookViewId="0">
      <selection activeCell="C3" sqref="C3"/>
    </sheetView>
  </sheetViews>
  <sheetFormatPr defaultColWidth="12.5703125" defaultRowHeight="15"/>
  <cols>
    <col min="1" max="2" width="0" style="221" hidden="1" customWidth="1"/>
    <col min="3" max="3" width="34.140625" style="221" customWidth="1"/>
    <col min="4" max="4" width="13.5703125" style="221" customWidth="1"/>
    <col min="5" max="5" width="0" style="221" hidden="1" customWidth="1"/>
    <col min="6" max="6" width="0.140625" style="221" customWidth="1"/>
    <col min="7" max="7" width="14.42578125" style="221" customWidth="1"/>
    <col min="8" max="8" width="11" style="221" customWidth="1"/>
    <col min="9" max="10" width="10.85546875" style="221" customWidth="1"/>
    <col min="11" max="11" width="11" style="221" customWidth="1"/>
    <col min="12" max="12" width="11.42578125" style="221" customWidth="1"/>
    <col min="13" max="15" width="16.42578125" style="221" hidden="1" customWidth="1"/>
    <col min="16" max="16" width="0.140625" style="221" hidden="1" customWidth="1"/>
    <col min="17" max="17" width="13.5703125" style="221" customWidth="1"/>
    <col min="18" max="18" width="13.42578125" style="221" customWidth="1"/>
    <col min="19" max="16384" width="12.5703125" style="221"/>
  </cols>
  <sheetData>
    <row r="1" spans="1:18" ht="18.75">
      <c r="B1" s="219" t="str">
        <f>'Depr.-Water Enterprise'!B1</f>
        <v>TOWN OF BROADUS</v>
      </c>
      <c r="C1" s="1308" t="s">
        <v>3660</v>
      </c>
      <c r="D1" s="220"/>
      <c r="E1" s="220"/>
      <c r="F1" s="220"/>
      <c r="G1" s="220"/>
      <c r="H1" s="220"/>
      <c r="I1" s="220"/>
      <c r="J1" s="220"/>
      <c r="K1" s="220"/>
      <c r="L1" s="220"/>
      <c r="M1" s="220"/>
      <c r="N1" s="220"/>
      <c r="O1" s="220"/>
      <c r="P1" s="220"/>
      <c r="Q1" s="220"/>
      <c r="R1" s="220"/>
    </row>
    <row r="2" spans="1:18" ht="15" customHeight="1">
      <c r="B2" s="219" t="s">
        <v>1402</v>
      </c>
      <c r="C2" s="1308" t="s">
        <v>3714</v>
      </c>
      <c r="D2" s="220"/>
      <c r="E2" s="220"/>
      <c r="F2" s="220"/>
      <c r="G2" s="220"/>
      <c r="H2" s="220"/>
      <c r="I2" s="220"/>
      <c r="J2" s="220"/>
      <c r="K2" s="220"/>
      <c r="L2" s="220"/>
      <c r="M2" s="220"/>
      <c r="N2" s="220"/>
      <c r="O2" s="220"/>
      <c r="P2" s="220"/>
      <c r="Q2" s="220"/>
      <c r="R2" s="220"/>
    </row>
    <row r="3" spans="1:18" ht="36" customHeight="1">
      <c r="A3" s="230" t="s">
        <v>497</v>
      </c>
      <c r="B3" s="223" t="s">
        <v>717</v>
      </c>
      <c r="D3" s="222"/>
      <c r="E3" s="223" t="s">
        <v>718</v>
      </c>
      <c r="F3" s="223" t="s">
        <v>460</v>
      </c>
      <c r="G3" s="1305" t="s">
        <v>719</v>
      </c>
      <c r="H3" s="1305" t="s">
        <v>716</v>
      </c>
      <c r="I3" s="1305" t="s">
        <v>716</v>
      </c>
      <c r="J3" s="1305" t="s">
        <v>716</v>
      </c>
      <c r="K3" s="1305" t="s">
        <v>716</v>
      </c>
      <c r="L3" s="1305" t="s">
        <v>716</v>
      </c>
      <c r="M3" s="1305" t="s">
        <v>716</v>
      </c>
      <c r="N3" s="1305" t="s">
        <v>716</v>
      </c>
      <c r="O3" s="1305" t="s">
        <v>716</v>
      </c>
      <c r="P3" s="1305" t="s">
        <v>716</v>
      </c>
      <c r="Q3" s="1305" t="s">
        <v>783</v>
      </c>
      <c r="R3" s="223" t="s">
        <v>784</v>
      </c>
    </row>
    <row r="4" spans="1:18" ht="37.5" customHeight="1" thickBot="1">
      <c r="A4" s="231" t="s">
        <v>498</v>
      </c>
      <c r="B4" s="224" t="s">
        <v>785</v>
      </c>
      <c r="C4" s="224" t="s">
        <v>179</v>
      </c>
      <c r="D4" s="224" t="s">
        <v>786</v>
      </c>
      <c r="E4" s="224" t="s">
        <v>787</v>
      </c>
      <c r="F4" s="224" t="s">
        <v>716</v>
      </c>
      <c r="G4" s="1306" t="s">
        <v>1827</v>
      </c>
      <c r="H4" s="1306" t="s">
        <v>1827</v>
      </c>
      <c r="I4" s="1306" t="s">
        <v>1828</v>
      </c>
      <c r="J4" s="1306" t="s">
        <v>1829</v>
      </c>
      <c r="K4" s="1306" t="s">
        <v>1830</v>
      </c>
      <c r="L4" s="1306" t="s">
        <v>1831</v>
      </c>
      <c r="M4" s="1306" t="s">
        <v>1977</v>
      </c>
      <c r="N4" s="1306" t="s">
        <v>1978</v>
      </c>
      <c r="O4" s="1306" t="s">
        <v>1979</v>
      </c>
      <c r="P4" s="1306" t="s">
        <v>1980</v>
      </c>
      <c r="Q4" s="1307" t="s">
        <v>716</v>
      </c>
      <c r="R4" s="224" t="s">
        <v>788</v>
      </c>
    </row>
    <row r="5" spans="1:18" ht="16.5" thickBot="1">
      <c r="C5" s="1309" t="s">
        <v>907</v>
      </c>
      <c r="D5" s="225">
        <v>32280</v>
      </c>
      <c r="F5" s="226" t="s">
        <v>789</v>
      </c>
      <c r="G5" s="226" t="s">
        <v>789</v>
      </c>
      <c r="H5" s="225"/>
      <c r="I5" s="225"/>
      <c r="J5" s="225"/>
      <c r="K5" s="225"/>
      <c r="L5" s="225"/>
      <c r="M5" s="225"/>
      <c r="N5" s="225"/>
      <c r="O5" s="225"/>
      <c r="P5" s="225"/>
      <c r="Q5" s="225"/>
      <c r="R5" s="225">
        <f>D5</f>
        <v>32280</v>
      </c>
    </row>
    <row r="6" spans="1:18" ht="16.5" thickTop="1">
      <c r="C6" s="1309" t="s">
        <v>908</v>
      </c>
    </row>
    <row r="7" spans="1:18">
      <c r="C7" s="1312"/>
      <c r="D7" s="227"/>
      <c r="F7" s="227" t="e">
        <f>D7/E7</f>
        <v>#DIV/0!</v>
      </c>
      <c r="G7" s="227"/>
      <c r="H7" s="227"/>
      <c r="I7" s="227"/>
      <c r="J7" s="227"/>
      <c r="K7" s="227"/>
      <c r="L7" s="227"/>
      <c r="M7" s="227"/>
      <c r="N7" s="227"/>
      <c r="O7" s="227"/>
      <c r="P7" s="227"/>
      <c r="Q7" s="227">
        <f>G7+H7+I7+J7+K7+L7+M7+N7+O7+P7</f>
        <v>0</v>
      </c>
      <c r="R7" s="227">
        <f>D7-Q7</f>
        <v>0</v>
      </c>
    </row>
    <row r="8" spans="1:18" ht="16.5" thickBot="1">
      <c r="C8" s="1309" t="s">
        <v>796</v>
      </c>
      <c r="D8" s="225">
        <f>SUM(D6:D7)</f>
        <v>0</v>
      </c>
      <c r="F8" s="225" t="e">
        <f t="shared" ref="F8:P8" si="0">SUM(F6:F7)</f>
        <v>#DIV/0!</v>
      </c>
      <c r="G8" s="225">
        <f t="shared" si="0"/>
        <v>0</v>
      </c>
      <c r="H8" s="225">
        <f t="shared" si="0"/>
        <v>0</v>
      </c>
      <c r="I8" s="225">
        <f t="shared" si="0"/>
        <v>0</v>
      </c>
      <c r="J8" s="225">
        <f t="shared" si="0"/>
        <v>0</v>
      </c>
      <c r="K8" s="225">
        <f t="shared" si="0"/>
        <v>0</v>
      </c>
      <c r="L8" s="225">
        <f t="shared" si="0"/>
        <v>0</v>
      </c>
      <c r="M8" s="225">
        <f t="shared" si="0"/>
        <v>0</v>
      </c>
      <c r="N8" s="225">
        <f t="shared" si="0"/>
        <v>0</v>
      </c>
      <c r="O8" s="225">
        <f t="shared" si="0"/>
        <v>0</v>
      </c>
      <c r="P8" s="225">
        <f t="shared" si="0"/>
        <v>0</v>
      </c>
      <c r="Q8" s="225">
        <f>G8+H8+I8+J8+K8+L8+M8+N8+O8+P8</f>
        <v>0</v>
      </c>
      <c r="R8" s="225">
        <f>D8-Q8</f>
        <v>0</v>
      </c>
    </row>
    <row r="9" spans="1:18" ht="16.5" thickTop="1">
      <c r="C9" s="1309" t="s">
        <v>483</v>
      </c>
    </row>
    <row r="10" spans="1:18">
      <c r="C10" s="1312"/>
      <c r="D10" s="227"/>
      <c r="F10" s="227" t="e">
        <f>D10/E10</f>
        <v>#DIV/0!</v>
      </c>
      <c r="G10" s="227"/>
      <c r="H10" s="227"/>
      <c r="I10" s="227"/>
      <c r="J10" s="227"/>
      <c r="K10" s="227"/>
      <c r="L10" s="227"/>
      <c r="M10" s="227"/>
      <c r="N10" s="227"/>
      <c r="O10" s="227"/>
      <c r="P10" s="227"/>
      <c r="Q10" s="227">
        <f>G10+H10+I10+J10+K10+L10+M10+N10+O10+P10</f>
        <v>0</v>
      </c>
      <c r="R10" s="227">
        <f>D10-Q10</f>
        <v>0</v>
      </c>
    </row>
    <row r="11" spans="1:18" ht="16.5" thickBot="1">
      <c r="C11" s="1310" t="s">
        <v>484</v>
      </c>
      <c r="D11" s="225">
        <f>SUM(D9:D10)</f>
        <v>0</v>
      </c>
      <c r="F11" s="225" t="e">
        <f t="shared" ref="F11:P11" si="1">SUM(F9:F10)</f>
        <v>#DIV/0!</v>
      </c>
      <c r="G11" s="225">
        <f t="shared" si="1"/>
        <v>0</v>
      </c>
      <c r="H11" s="225">
        <f t="shared" si="1"/>
        <v>0</v>
      </c>
      <c r="I11" s="225">
        <f t="shared" si="1"/>
        <v>0</v>
      </c>
      <c r="J11" s="225">
        <f t="shared" si="1"/>
        <v>0</v>
      </c>
      <c r="K11" s="225">
        <f t="shared" si="1"/>
        <v>0</v>
      </c>
      <c r="L11" s="225">
        <f t="shared" si="1"/>
        <v>0</v>
      </c>
      <c r="M11" s="225">
        <f t="shared" si="1"/>
        <v>0</v>
      </c>
      <c r="N11" s="225">
        <f t="shared" si="1"/>
        <v>0</v>
      </c>
      <c r="O11" s="225">
        <f t="shared" si="1"/>
        <v>0</v>
      </c>
      <c r="P11" s="225">
        <f t="shared" si="1"/>
        <v>0</v>
      </c>
      <c r="Q11" s="225">
        <f>G11+H11+I11+J11+K11+L11+M11+N11+O11+P11</f>
        <v>0</v>
      </c>
      <c r="R11" s="225">
        <f>D11-Q11</f>
        <v>0</v>
      </c>
    </row>
    <row r="12" spans="1:18" ht="16.5" thickTop="1">
      <c r="C12" s="1310"/>
      <c r="D12" s="229"/>
      <c r="F12" s="229"/>
      <c r="G12" s="229"/>
      <c r="H12" s="229"/>
      <c r="I12" s="229"/>
      <c r="J12" s="229"/>
      <c r="K12" s="229"/>
      <c r="L12" s="229"/>
      <c r="M12" s="229"/>
      <c r="N12" s="229"/>
      <c r="O12" s="229"/>
      <c r="P12" s="229"/>
      <c r="Q12" s="229"/>
      <c r="R12" s="229"/>
    </row>
    <row r="13" spans="1:18" ht="15.75">
      <c r="C13" s="1309" t="s">
        <v>790</v>
      </c>
    </row>
    <row r="14" spans="1:18">
      <c r="C14" s="1312"/>
      <c r="D14" s="227"/>
      <c r="F14" s="227" t="e">
        <f>D14/E14</f>
        <v>#DIV/0!</v>
      </c>
      <c r="G14" s="227"/>
      <c r="H14" s="227"/>
      <c r="I14" s="227"/>
      <c r="J14" s="227"/>
      <c r="K14" s="227"/>
      <c r="L14" s="227"/>
      <c r="M14" s="227"/>
      <c r="N14" s="227"/>
      <c r="O14" s="227"/>
      <c r="P14" s="227"/>
      <c r="Q14" s="227">
        <f>G14+H14+I14+J14+K14+L14+M14+N14+O14+P14</f>
        <v>0</v>
      </c>
      <c r="R14" s="227">
        <f>D14-Q14</f>
        <v>0</v>
      </c>
    </row>
    <row r="15" spans="1:18" ht="16.5" thickBot="1">
      <c r="C15" s="1311" t="s">
        <v>798</v>
      </c>
      <c r="D15" s="225">
        <f>SUM(D13:D14)</f>
        <v>0</v>
      </c>
      <c r="F15" s="225" t="e">
        <f t="shared" ref="F15:P15" si="2">SUM(F13:F14)</f>
        <v>#DIV/0!</v>
      </c>
      <c r="G15" s="225">
        <f t="shared" si="2"/>
        <v>0</v>
      </c>
      <c r="H15" s="225">
        <f t="shared" si="2"/>
        <v>0</v>
      </c>
      <c r="I15" s="225">
        <f t="shared" si="2"/>
        <v>0</v>
      </c>
      <c r="J15" s="225">
        <f t="shared" si="2"/>
        <v>0</v>
      </c>
      <c r="K15" s="225">
        <f t="shared" si="2"/>
        <v>0</v>
      </c>
      <c r="L15" s="225">
        <f t="shared" si="2"/>
        <v>0</v>
      </c>
      <c r="M15" s="225">
        <f t="shared" si="2"/>
        <v>0</v>
      </c>
      <c r="N15" s="225">
        <f t="shared" si="2"/>
        <v>0</v>
      </c>
      <c r="O15" s="225">
        <f t="shared" si="2"/>
        <v>0</v>
      </c>
      <c r="P15" s="225">
        <f t="shared" si="2"/>
        <v>0</v>
      </c>
      <c r="Q15" s="225">
        <f>G15+H15+I15+J15+K15+L15+M15+N15+O15+P15</f>
        <v>0</v>
      </c>
      <c r="R15" s="225">
        <f>D15-Q15</f>
        <v>0</v>
      </c>
    </row>
    <row r="16" spans="1:18" ht="16.5" thickTop="1">
      <c r="C16" s="1309" t="s">
        <v>791</v>
      </c>
    </row>
    <row r="17" spans="3:18">
      <c r="C17" s="1312"/>
      <c r="D17" s="227">
        <v>31632.92</v>
      </c>
      <c r="F17" s="227" t="e">
        <f>D17/E17</f>
        <v>#DIV/0!</v>
      </c>
      <c r="G17" s="227">
        <v>10744.23</v>
      </c>
      <c r="H17" s="227">
        <v>1734.57</v>
      </c>
      <c r="I17" s="227">
        <v>1734.57</v>
      </c>
      <c r="J17" s="227">
        <v>2055.1</v>
      </c>
      <c r="K17" s="227">
        <v>2389.13</v>
      </c>
      <c r="L17" s="227">
        <v>2671.69</v>
      </c>
      <c r="M17" s="227"/>
      <c r="N17" s="227"/>
      <c r="O17" s="227"/>
      <c r="P17" s="227"/>
      <c r="Q17" s="227">
        <f>G17+H17+I17+J17+K17+L17+M17+N17+O17+P17</f>
        <v>21329.289999999997</v>
      </c>
      <c r="R17" s="227">
        <f>D17-Q17</f>
        <v>10303.630000000001</v>
      </c>
    </row>
    <row r="18" spans="3:18" ht="15.75" thickBot="1">
      <c r="C18" s="1312"/>
      <c r="D18" s="228"/>
      <c r="F18" s="228" t="e">
        <f>D18/E18</f>
        <v>#DIV/0!</v>
      </c>
      <c r="G18" s="228"/>
      <c r="H18" s="228"/>
      <c r="I18" s="228"/>
      <c r="J18" s="228"/>
      <c r="K18" s="228"/>
      <c r="L18" s="228"/>
      <c r="M18" s="228"/>
      <c r="N18" s="228"/>
      <c r="O18" s="228"/>
      <c r="P18" s="228"/>
      <c r="Q18" s="228">
        <f>G18+H18+I18+J18+K18+L18+M18+N18+O18+P18</f>
        <v>0</v>
      </c>
      <c r="R18" s="228">
        <f>D18-Q18</f>
        <v>0</v>
      </c>
    </row>
    <row r="19" spans="3:18" ht="16.5" thickBot="1">
      <c r="C19" s="1311" t="s">
        <v>687</v>
      </c>
      <c r="D19" s="225">
        <f>SUM(D16:D18)</f>
        <v>31632.92</v>
      </c>
      <c r="F19" s="225" t="e">
        <f t="shared" ref="F19:P19" si="3">SUM(F16:F18)</f>
        <v>#DIV/0!</v>
      </c>
      <c r="G19" s="225">
        <f t="shared" si="3"/>
        <v>10744.23</v>
      </c>
      <c r="H19" s="225">
        <f t="shared" si="3"/>
        <v>1734.57</v>
      </c>
      <c r="I19" s="225">
        <f t="shared" si="3"/>
        <v>1734.57</v>
      </c>
      <c r="J19" s="225">
        <f t="shared" si="3"/>
        <v>2055.1</v>
      </c>
      <c r="K19" s="225">
        <f t="shared" si="3"/>
        <v>2389.13</v>
      </c>
      <c r="L19" s="225">
        <f t="shared" si="3"/>
        <v>2671.69</v>
      </c>
      <c r="M19" s="225">
        <f t="shared" si="3"/>
        <v>0</v>
      </c>
      <c r="N19" s="225">
        <f t="shared" si="3"/>
        <v>0</v>
      </c>
      <c r="O19" s="225">
        <f t="shared" si="3"/>
        <v>0</v>
      </c>
      <c r="P19" s="225">
        <f t="shared" si="3"/>
        <v>0</v>
      </c>
      <c r="Q19" s="225">
        <f>G19+H19+I19+J19+K19+L19+M19+N19+O19+P19</f>
        <v>21329.289999999997</v>
      </c>
      <c r="R19" s="225">
        <f>D19-Q19</f>
        <v>10303.630000000001</v>
      </c>
    </row>
    <row r="20" spans="3:18" ht="16.5" thickTop="1">
      <c r="C20" s="1309" t="s">
        <v>688</v>
      </c>
    </row>
    <row r="21" spans="3:18">
      <c r="C21" s="1312"/>
      <c r="D21" s="227"/>
      <c r="F21" s="227" t="e">
        <f>D21/E21</f>
        <v>#DIV/0!</v>
      </c>
      <c r="G21" s="227"/>
      <c r="H21" s="227"/>
      <c r="I21" s="227"/>
      <c r="J21" s="227"/>
      <c r="K21" s="227"/>
      <c r="L21" s="227"/>
      <c r="M21" s="227"/>
      <c r="N21" s="227"/>
      <c r="O21" s="227"/>
      <c r="P21" s="227"/>
      <c r="Q21" s="227">
        <f>G21+H21+I21+J21+K21+L21+M21+N21+O21+P21</f>
        <v>0</v>
      </c>
      <c r="R21" s="227">
        <f>D21-Q21</f>
        <v>0</v>
      </c>
    </row>
    <row r="22" spans="3:18" ht="16.5" thickBot="1">
      <c r="C22" s="1311" t="s">
        <v>689</v>
      </c>
      <c r="D22" s="225">
        <f>SUM(D21:D21)</f>
        <v>0</v>
      </c>
      <c r="F22" s="225" t="e">
        <f t="shared" ref="F22:P22" si="4">SUM(F21:F21)</f>
        <v>#DIV/0!</v>
      </c>
      <c r="G22" s="225">
        <f t="shared" si="4"/>
        <v>0</v>
      </c>
      <c r="H22" s="225">
        <f t="shared" si="4"/>
        <v>0</v>
      </c>
      <c r="I22" s="225">
        <f t="shared" si="4"/>
        <v>0</v>
      </c>
      <c r="J22" s="225">
        <f t="shared" si="4"/>
        <v>0</v>
      </c>
      <c r="K22" s="225">
        <f t="shared" si="4"/>
        <v>0</v>
      </c>
      <c r="L22" s="225">
        <f t="shared" si="4"/>
        <v>0</v>
      </c>
      <c r="M22" s="225">
        <f t="shared" si="4"/>
        <v>0</v>
      </c>
      <c r="N22" s="225">
        <f t="shared" si="4"/>
        <v>0</v>
      </c>
      <c r="O22" s="225">
        <f t="shared" si="4"/>
        <v>0</v>
      </c>
      <c r="P22" s="225">
        <f t="shared" si="4"/>
        <v>0</v>
      </c>
      <c r="Q22" s="225">
        <f>G22+H22+I22+J22+K22+L22+M22+N22+O22+P22</f>
        <v>0</v>
      </c>
      <c r="R22" s="225">
        <f>D22-Q22</f>
        <v>0</v>
      </c>
    </row>
    <row r="23" spans="3:18" ht="16.5" thickTop="1">
      <c r="C23" s="1309" t="s">
        <v>690</v>
      </c>
    </row>
    <row r="24" spans="3:18">
      <c r="C24" s="1312"/>
      <c r="D24" s="227"/>
      <c r="F24" s="227" t="e">
        <f>D24/E24</f>
        <v>#DIV/0!</v>
      </c>
      <c r="G24" s="227"/>
      <c r="H24" s="227"/>
      <c r="I24" s="227"/>
      <c r="J24" s="227"/>
      <c r="K24" s="227"/>
      <c r="L24" s="227"/>
      <c r="M24" s="227"/>
      <c r="N24" s="227"/>
      <c r="O24" s="227"/>
      <c r="P24" s="227"/>
      <c r="Q24" s="227">
        <f>G24+H24+I24+J24+K24+L24+M24+N24+O24+P24</f>
        <v>0</v>
      </c>
      <c r="R24" s="227">
        <f>D24-Q24</f>
        <v>0</v>
      </c>
    </row>
    <row r="25" spans="3:18" ht="16.5" thickBot="1">
      <c r="C25" s="1311" t="s">
        <v>691</v>
      </c>
      <c r="D25" s="225">
        <f>SUM(D24:D24)</f>
        <v>0</v>
      </c>
      <c r="F25" s="225" t="e">
        <f t="shared" ref="F25:P25" si="5">SUM(F24:F24)</f>
        <v>#DIV/0!</v>
      </c>
      <c r="G25" s="225">
        <f t="shared" si="5"/>
        <v>0</v>
      </c>
      <c r="H25" s="225">
        <f t="shared" si="5"/>
        <v>0</v>
      </c>
      <c r="I25" s="225">
        <f t="shared" si="5"/>
        <v>0</v>
      </c>
      <c r="J25" s="225">
        <f t="shared" si="5"/>
        <v>0</v>
      </c>
      <c r="K25" s="225">
        <f t="shared" si="5"/>
        <v>0</v>
      </c>
      <c r="L25" s="225">
        <f t="shared" si="5"/>
        <v>0</v>
      </c>
      <c r="M25" s="225">
        <f t="shared" si="5"/>
        <v>0</v>
      </c>
      <c r="N25" s="225">
        <f t="shared" si="5"/>
        <v>0</v>
      </c>
      <c r="O25" s="225">
        <f t="shared" si="5"/>
        <v>0</v>
      </c>
      <c r="P25" s="225">
        <f t="shared" si="5"/>
        <v>0</v>
      </c>
      <c r="Q25" s="225">
        <f>G25+H25+I25+J25+K25+L25+M25+N25+O25+P25</f>
        <v>0</v>
      </c>
      <c r="R25" s="225">
        <f>D25-Q25</f>
        <v>0</v>
      </c>
    </row>
    <row r="26" spans="3:18" ht="16.5" thickTop="1">
      <c r="C26" s="1309" t="s">
        <v>692</v>
      </c>
    </row>
    <row r="27" spans="3:18">
      <c r="C27" s="1312"/>
      <c r="D27" s="227">
        <v>129852.52</v>
      </c>
      <c r="F27" s="227" t="e">
        <f>D27/E27</f>
        <v>#DIV/0!</v>
      </c>
      <c r="G27" s="227">
        <v>129852.52</v>
      </c>
      <c r="H27" s="227"/>
      <c r="I27" s="227"/>
      <c r="J27" s="227"/>
      <c r="K27" s="227"/>
      <c r="L27" s="227"/>
      <c r="M27" s="227"/>
      <c r="N27" s="227"/>
      <c r="O27" s="227"/>
      <c r="P27" s="227"/>
      <c r="Q27" s="227">
        <f>G27+H27+I27+J27+K27+L27+M27+N27+O27+P27</f>
        <v>129852.52</v>
      </c>
      <c r="R27" s="227">
        <f>D27-Q27</f>
        <v>0</v>
      </c>
    </row>
    <row r="28" spans="3:18" ht="16.5" thickBot="1">
      <c r="C28" s="1311" t="s">
        <v>693</v>
      </c>
      <c r="D28" s="225">
        <f>SUM(D27:D27)</f>
        <v>129852.52</v>
      </c>
      <c r="F28" s="225" t="e">
        <f t="shared" ref="F28:P28" si="6">SUM(F27:F27)</f>
        <v>#DIV/0!</v>
      </c>
      <c r="G28" s="225">
        <f t="shared" si="6"/>
        <v>129852.52</v>
      </c>
      <c r="H28" s="225">
        <f t="shared" si="6"/>
        <v>0</v>
      </c>
      <c r="I28" s="225">
        <f t="shared" si="6"/>
        <v>0</v>
      </c>
      <c r="J28" s="225">
        <f t="shared" si="6"/>
        <v>0</v>
      </c>
      <c r="K28" s="225">
        <f t="shared" si="6"/>
        <v>0</v>
      </c>
      <c r="L28" s="225">
        <f t="shared" si="6"/>
        <v>0</v>
      </c>
      <c r="M28" s="225">
        <f t="shared" si="6"/>
        <v>0</v>
      </c>
      <c r="N28" s="225">
        <f t="shared" si="6"/>
        <v>0</v>
      </c>
      <c r="O28" s="225">
        <f t="shared" si="6"/>
        <v>0</v>
      </c>
      <c r="P28" s="225">
        <f t="shared" si="6"/>
        <v>0</v>
      </c>
      <c r="Q28" s="225">
        <f>G28+H28+I28+J28+K28+L28+M28+N28+O28+P28</f>
        <v>129852.52</v>
      </c>
      <c r="R28" s="225">
        <f>D28-Q28</f>
        <v>0</v>
      </c>
    </row>
    <row r="29" spans="3:18" ht="16.5" thickTop="1">
      <c r="C29" s="1309" t="s">
        <v>694</v>
      </c>
    </row>
    <row r="30" spans="3:18">
      <c r="C30" s="1312"/>
      <c r="D30" s="227"/>
      <c r="F30" s="227" t="e">
        <f>D30/E30</f>
        <v>#DIV/0!</v>
      </c>
      <c r="G30" s="227"/>
      <c r="H30" s="227"/>
      <c r="I30" s="227"/>
      <c r="J30" s="227"/>
      <c r="K30" s="227"/>
      <c r="L30" s="227"/>
      <c r="M30" s="227"/>
      <c r="N30" s="227"/>
      <c r="O30" s="227"/>
      <c r="P30" s="227"/>
      <c r="Q30" s="227">
        <f>G30+H30+I30+J30+K30+L30+M30+N30+O30+P30</f>
        <v>0</v>
      </c>
      <c r="R30" s="227">
        <f>D30-Q30</f>
        <v>0</v>
      </c>
    </row>
    <row r="31" spans="3:18" ht="16.5" thickBot="1">
      <c r="C31" s="1313" t="s">
        <v>695</v>
      </c>
      <c r="D31" s="225">
        <f>SUM(D30:D30)</f>
        <v>0</v>
      </c>
      <c r="F31" s="225" t="e">
        <f t="shared" ref="F31:P31" si="7">SUM(F30:F30)</f>
        <v>#DIV/0!</v>
      </c>
      <c r="G31" s="225">
        <f t="shared" si="7"/>
        <v>0</v>
      </c>
      <c r="H31" s="225">
        <f t="shared" si="7"/>
        <v>0</v>
      </c>
      <c r="I31" s="225">
        <f t="shared" si="7"/>
        <v>0</v>
      </c>
      <c r="J31" s="225">
        <f t="shared" si="7"/>
        <v>0</v>
      </c>
      <c r="K31" s="225">
        <f t="shared" si="7"/>
        <v>0</v>
      </c>
      <c r="L31" s="225">
        <f t="shared" si="7"/>
        <v>0</v>
      </c>
      <c r="M31" s="225">
        <f t="shared" si="7"/>
        <v>0</v>
      </c>
      <c r="N31" s="225">
        <f t="shared" si="7"/>
        <v>0</v>
      </c>
      <c r="O31" s="225">
        <f t="shared" si="7"/>
        <v>0</v>
      </c>
      <c r="P31" s="225">
        <f t="shared" si="7"/>
        <v>0</v>
      </c>
      <c r="Q31" s="225">
        <f>G31+H31+I31+J31+K31+L31+M31+N31+O31+P31</f>
        <v>0</v>
      </c>
      <c r="R31" s="225">
        <f>D31-Q31</f>
        <v>0</v>
      </c>
    </row>
    <row r="32" spans="3:18" ht="16.5" thickTop="1">
      <c r="C32" s="1309" t="s">
        <v>696</v>
      </c>
    </row>
    <row r="33" spans="3:18">
      <c r="C33" s="1312"/>
      <c r="D33" s="227"/>
      <c r="F33" s="227" t="e">
        <f>D33/E33</f>
        <v>#DIV/0!</v>
      </c>
      <c r="G33" s="227"/>
      <c r="H33" s="227"/>
      <c r="I33" s="227"/>
      <c r="J33" s="227"/>
      <c r="K33" s="227"/>
      <c r="L33" s="227"/>
      <c r="M33" s="227"/>
      <c r="N33" s="227"/>
      <c r="O33" s="227"/>
      <c r="P33" s="227"/>
      <c r="Q33" s="227">
        <f>G33+H33+I33+J33+K33+L33+M33+N33+O33+P33</f>
        <v>0</v>
      </c>
      <c r="R33" s="227">
        <f>D33-Q33</f>
        <v>0</v>
      </c>
    </row>
    <row r="34" spans="3:18" ht="16.5" thickBot="1">
      <c r="C34" s="1311" t="s">
        <v>558</v>
      </c>
      <c r="D34" s="225">
        <f>SUM(D33:D33)</f>
        <v>0</v>
      </c>
      <c r="F34" s="225" t="e">
        <f t="shared" ref="F34:P34" si="8">SUM(F33:F33)</f>
        <v>#DIV/0!</v>
      </c>
      <c r="G34" s="225">
        <f t="shared" si="8"/>
        <v>0</v>
      </c>
      <c r="H34" s="225">
        <f t="shared" si="8"/>
        <v>0</v>
      </c>
      <c r="I34" s="225">
        <f t="shared" si="8"/>
        <v>0</v>
      </c>
      <c r="J34" s="225">
        <f t="shared" si="8"/>
        <v>0</v>
      </c>
      <c r="K34" s="225">
        <f t="shared" si="8"/>
        <v>0</v>
      </c>
      <c r="L34" s="225">
        <f t="shared" si="8"/>
        <v>0</v>
      </c>
      <c r="M34" s="225">
        <f t="shared" si="8"/>
        <v>0</v>
      </c>
      <c r="N34" s="225">
        <f t="shared" si="8"/>
        <v>0</v>
      </c>
      <c r="O34" s="225">
        <f t="shared" si="8"/>
        <v>0</v>
      </c>
      <c r="P34" s="225">
        <f t="shared" si="8"/>
        <v>0</v>
      </c>
      <c r="Q34" s="225">
        <f>G34+H34+I34+J34+K34+L34+M34+N34+O34+P34</f>
        <v>0</v>
      </c>
      <c r="R34" s="225">
        <f>D34-Q34</f>
        <v>0</v>
      </c>
    </row>
    <row r="35" spans="3:18" ht="15.75" thickTop="1">
      <c r="C35" s="1312"/>
    </row>
    <row r="36" spans="3:18" ht="16.5" thickBot="1">
      <c r="C36" s="1309" t="s">
        <v>559</v>
      </c>
      <c r="D36" s="225">
        <f>D5+D8+D11+D15+D19+D22+D25+D28+D31+D34</f>
        <v>193765.44</v>
      </c>
      <c r="F36" s="225" t="e">
        <f t="shared" ref="F36:R36" si="9">F5+F8+F11+F15+F19+F22+F25+F28+F31+F34</f>
        <v>#DIV/0!</v>
      </c>
      <c r="G36" s="225">
        <f t="shared" si="9"/>
        <v>140596.75</v>
      </c>
      <c r="H36" s="225">
        <f t="shared" si="9"/>
        <v>1734.57</v>
      </c>
      <c r="I36" s="225">
        <f t="shared" si="9"/>
        <v>1734.57</v>
      </c>
      <c r="J36" s="225">
        <f t="shared" si="9"/>
        <v>2055.1</v>
      </c>
      <c r="K36" s="225">
        <f t="shared" si="9"/>
        <v>2389.13</v>
      </c>
      <c r="L36" s="225">
        <f t="shared" si="9"/>
        <v>2671.69</v>
      </c>
      <c r="M36" s="225">
        <f t="shared" si="9"/>
        <v>0</v>
      </c>
      <c r="N36" s="225">
        <f t="shared" si="9"/>
        <v>0</v>
      </c>
      <c r="O36" s="225">
        <f t="shared" si="9"/>
        <v>0</v>
      </c>
      <c r="P36" s="225">
        <f t="shared" si="9"/>
        <v>0</v>
      </c>
      <c r="Q36" s="225">
        <f t="shared" si="9"/>
        <v>151181.81</v>
      </c>
      <c r="R36" s="225">
        <f t="shared" si="9"/>
        <v>42583.630000000005</v>
      </c>
    </row>
    <row r="37"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7" type="noConversion"/>
  <pageMargins left="0.5" right="0.66700000000000004" top="0.5" bottom="0.55000000000000004" header="0.5" footer="0.5"/>
  <pageSetup scale="88" orientation="landscape" horizontalDpi="360" verticalDpi="36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1" sqref="A11:J11"/>
    </sheetView>
  </sheetViews>
  <sheetFormatPr defaultRowHeight="12.75"/>
  <sheetData>
    <row r="1" spans="1:11" ht="60">
      <c r="A1" s="1432" t="s">
        <v>980</v>
      </c>
      <c r="B1" s="1433"/>
      <c r="C1" s="1433"/>
      <c r="D1" s="1433"/>
      <c r="E1" s="1433"/>
      <c r="F1" s="1433"/>
      <c r="G1" s="1433"/>
      <c r="H1" s="1433"/>
      <c r="I1" s="1433"/>
      <c r="J1" s="1433"/>
      <c r="K1" s="2"/>
    </row>
    <row r="2" spans="1:11">
      <c r="A2" s="19"/>
      <c r="B2" s="19"/>
      <c r="C2" s="19"/>
      <c r="D2" s="19"/>
      <c r="E2" s="19"/>
      <c r="F2" s="19"/>
      <c r="G2" s="19"/>
      <c r="H2" s="19"/>
      <c r="I2" s="19"/>
      <c r="J2" s="19"/>
    </row>
    <row r="3" spans="1:11">
      <c r="A3" s="19"/>
      <c r="B3" s="19"/>
      <c r="C3" s="19"/>
      <c r="D3" s="19"/>
      <c r="E3" s="19"/>
      <c r="F3" s="19"/>
      <c r="G3" s="19"/>
      <c r="H3" s="19"/>
      <c r="I3" s="19"/>
      <c r="J3" s="19"/>
    </row>
    <row r="4" spans="1:11">
      <c r="A4" s="19"/>
      <c r="B4" s="19"/>
      <c r="C4" s="19"/>
      <c r="D4" s="19"/>
      <c r="E4" s="19"/>
      <c r="F4" s="19"/>
      <c r="G4" s="19"/>
      <c r="H4" s="19"/>
      <c r="I4" s="19"/>
      <c r="J4" s="19"/>
    </row>
    <row r="5" spans="1:11">
      <c r="A5" s="19"/>
      <c r="B5" s="19"/>
      <c r="C5" s="19"/>
      <c r="D5" s="19"/>
      <c r="E5" s="19"/>
      <c r="F5" s="19"/>
      <c r="G5" s="19"/>
      <c r="H5" s="19"/>
      <c r="I5" s="19"/>
      <c r="J5" s="19"/>
    </row>
    <row r="6" spans="1:11" ht="60">
      <c r="A6" s="1432" t="s">
        <v>981</v>
      </c>
      <c r="B6" s="1433"/>
      <c r="C6" s="1433"/>
      <c r="D6" s="1433"/>
      <c r="E6" s="1433"/>
      <c r="F6" s="1433"/>
      <c r="G6" s="1433"/>
      <c r="H6" s="1433"/>
      <c r="I6" s="1433"/>
      <c r="J6" s="1433"/>
      <c r="K6" s="2"/>
    </row>
    <row r="7" spans="1:11">
      <c r="A7" s="19"/>
      <c r="B7" s="19"/>
      <c r="C7" s="19"/>
      <c r="D7" s="19"/>
      <c r="E7" s="19"/>
      <c r="F7" s="19"/>
      <c r="G7" s="19"/>
      <c r="H7" s="19"/>
      <c r="I7" s="19"/>
      <c r="J7" s="19"/>
    </row>
    <row r="8" spans="1:11">
      <c r="A8" s="19"/>
      <c r="B8" s="19"/>
      <c r="C8" s="19"/>
      <c r="D8" s="19"/>
      <c r="E8" s="19"/>
      <c r="F8" s="19"/>
      <c r="G8" s="19"/>
      <c r="H8" s="19"/>
      <c r="I8" s="19"/>
      <c r="J8" s="19"/>
    </row>
    <row r="9" spans="1:11">
      <c r="A9" s="19"/>
      <c r="B9" s="19"/>
      <c r="C9" s="19"/>
      <c r="D9" s="19"/>
      <c r="E9" s="19"/>
      <c r="F9" s="19"/>
      <c r="G9" s="19"/>
      <c r="H9" s="19"/>
      <c r="I9" s="19"/>
      <c r="J9" s="19"/>
    </row>
    <row r="10" spans="1:11">
      <c r="A10" s="19"/>
      <c r="B10" s="19"/>
      <c r="C10" s="19"/>
      <c r="D10" s="19"/>
      <c r="E10" s="19"/>
      <c r="F10" s="19"/>
      <c r="G10" s="19"/>
      <c r="H10" s="19"/>
      <c r="I10" s="19"/>
      <c r="J10" s="19"/>
    </row>
    <row r="11" spans="1:11" ht="60">
      <c r="A11" s="1432" t="s">
        <v>982</v>
      </c>
      <c r="B11" s="1433"/>
      <c r="C11" s="1433"/>
      <c r="D11" s="1433"/>
      <c r="E11" s="1433"/>
      <c r="F11" s="1433"/>
      <c r="G11" s="1433"/>
      <c r="H11" s="1433"/>
      <c r="I11" s="1433"/>
      <c r="J11" s="1433"/>
      <c r="K11" s="2"/>
    </row>
    <row r="12" spans="1:11">
      <c r="A12" s="19"/>
      <c r="B12" s="19"/>
      <c r="C12" s="19"/>
      <c r="D12" s="19"/>
      <c r="E12" s="19"/>
      <c r="F12" s="19"/>
      <c r="G12" s="19"/>
      <c r="H12" s="19"/>
      <c r="I12" s="19"/>
      <c r="J12" s="19"/>
    </row>
    <row r="13" spans="1:11">
      <c r="A13" s="19"/>
      <c r="B13" s="19"/>
      <c r="C13" s="19"/>
      <c r="D13" s="19"/>
      <c r="E13" s="19"/>
      <c r="F13" s="19"/>
      <c r="G13" s="19"/>
      <c r="H13" s="19"/>
      <c r="I13" s="19"/>
      <c r="J13" s="19"/>
    </row>
    <row r="14" spans="1:11">
      <c r="A14" s="19"/>
      <c r="B14" s="19"/>
      <c r="C14" s="19"/>
      <c r="D14" s="19"/>
      <c r="E14" s="19"/>
      <c r="F14" s="19"/>
      <c r="G14" s="19"/>
      <c r="H14" s="19"/>
      <c r="I14" s="19"/>
      <c r="J14" s="19"/>
    </row>
    <row r="15" spans="1:11">
      <c r="A15" s="19"/>
      <c r="B15" s="19"/>
      <c r="C15" s="19"/>
      <c r="D15" s="19"/>
      <c r="E15" s="19"/>
      <c r="F15" s="19"/>
      <c r="G15" s="19"/>
      <c r="H15" s="19"/>
      <c r="I15" s="19"/>
      <c r="J15" s="19"/>
    </row>
    <row r="16" spans="1:11" ht="60">
      <c r="A16" s="1432" t="s">
        <v>983</v>
      </c>
      <c r="B16" s="1433"/>
      <c r="C16" s="1433"/>
      <c r="D16" s="1433"/>
      <c r="E16" s="1433"/>
      <c r="F16" s="1433"/>
      <c r="G16" s="1433"/>
      <c r="H16" s="1433"/>
      <c r="I16" s="1433"/>
      <c r="J16" s="1433"/>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R37"/>
  <sheetViews>
    <sheetView defaultGridColor="0" topLeftCell="C1" colorId="22" zoomScale="87" workbookViewId="0">
      <selection activeCell="C3" sqref="C3"/>
    </sheetView>
  </sheetViews>
  <sheetFormatPr defaultColWidth="12.5703125" defaultRowHeight="15"/>
  <cols>
    <col min="1" max="2" width="0" style="221" hidden="1" customWidth="1"/>
    <col min="3" max="3" width="33.42578125" style="221" customWidth="1"/>
    <col min="4" max="4" width="14" style="221" customWidth="1"/>
    <col min="5" max="5" width="0" style="221" hidden="1" customWidth="1"/>
    <col min="6" max="6" width="16.42578125" style="221" hidden="1" customWidth="1"/>
    <col min="7" max="7" width="14" style="221" customWidth="1"/>
    <col min="8" max="8" width="12" style="221" customWidth="1"/>
    <col min="9" max="9" width="11.5703125" style="221" customWidth="1"/>
    <col min="10" max="10" width="11.85546875" style="221" customWidth="1"/>
    <col min="11" max="11" width="11.5703125" style="221" customWidth="1"/>
    <col min="12" max="12" width="12" style="221" customWidth="1"/>
    <col min="13" max="16" width="16.42578125" style="221" hidden="1" customWidth="1"/>
    <col min="17" max="17" width="13.85546875" style="221" customWidth="1"/>
    <col min="18" max="18" width="12" style="221" customWidth="1"/>
    <col min="19" max="16384" width="12.5703125" style="221"/>
  </cols>
  <sheetData>
    <row r="1" spans="1:18" ht="18.75">
      <c r="B1" s="219" t="str">
        <f>'Depr.-Sewer Enterprise'!B1</f>
        <v>TOWN OF BROADUS</v>
      </c>
      <c r="C1" s="1308" t="s">
        <v>3660</v>
      </c>
      <c r="D1" s="220"/>
      <c r="E1" s="220"/>
      <c r="F1" s="220"/>
      <c r="G1" s="220"/>
      <c r="H1" s="220"/>
      <c r="I1" s="220"/>
      <c r="J1" s="220"/>
      <c r="K1" s="220"/>
      <c r="L1" s="220"/>
      <c r="M1" s="220"/>
      <c r="N1" s="220"/>
      <c r="O1" s="220"/>
      <c r="P1" s="220"/>
      <c r="Q1" s="220"/>
      <c r="R1" s="220"/>
    </row>
    <row r="2" spans="1:18" ht="18.75">
      <c r="B2" s="219" t="s">
        <v>1403</v>
      </c>
      <c r="C2" s="1308" t="s">
        <v>3715</v>
      </c>
      <c r="D2" s="220"/>
      <c r="E2" s="220"/>
      <c r="F2" s="220"/>
      <c r="G2" s="220"/>
      <c r="H2" s="220"/>
      <c r="I2" s="220"/>
      <c r="J2" s="220"/>
      <c r="K2" s="220"/>
      <c r="L2" s="220"/>
      <c r="M2" s="220"/>
      <c r="N2" s="220"/>
      <c r="O2" s="220"/>
      <c r="P2" s="220"/>
      <c r="Q2" s="220"/>
      <c r="R2" s="220"/>
    </row>
    <row r="3" spans="1:18" ht="31.5">
      <c r="A3" s="230" t="s">
        <v>497</v>
      </c>
      <c r="B3" s="223" t="s">
        <v>717</v>
      </c>
      <c r="D3" s="222"/>
      <c r="E3" s="223" t="s">
        <v>718</v>
      </c>
      <c r="F3" s="223" t="s">
        <v>460</v>
      </c>
      <c r="G3" s="1305" t="s">
        <v>719</v>
      </c>
      <c r="H3" s="1305" t="s">
        <v>716</v>
      </c>
      <c r="I3" s="1305" t="s">
        <v>716</v>
      </c>
      <c r="J3" s="1305" t="s">
        <v>716</v>
      </c>
      <c r="K3" s="1305" t="s">
        <v>716</v>
      </c>
      <c r="L3" s="1305" t="s">
        <v>716</v>
      </c>
      <c r="M3" s="1305" t="s">
        <v>716</v>
      </c>
      <c r="N3" s="1305" t="s">
        <v>716</v>
      </c>
      <c r="O3" s="1305" t="s">
        <v>716</v>
      </c>
      <c r="P3" s="1305" t="s">
        <v>716</v>
      </c>
      <c r="Q3" s="1305" t="s">
        <v>783</v>
      </c>
      <c r="R3" s="223" t="s">
        <v>784</v>
      </c>
    </row>
    <row r="4" spans="1:18" ht="32.25" thickBot="1">
      <c r="A4" s="231" t="s">
        <v>498</v>
      </c>
      <c r="B4" s="224" t="s">
        <v>785</v>
      </c>
      <c r="C4" s="224" t="s">
        <v>179</v>
      </c>
      <c r="D4" s="224" t="s">
        <v>786</v>
      </c>
      <c r="E4" s="224" t="s">
        <v>787</v>
      </c>
      <c r="F4" s="224" t="s">
        <v>716</v>
      </c>
      <c r="G4" s="1306" t="s">
        <v>1827</v>
      </c>
      <c r="H4" s="1306" t="s">
        <v>1827</v>
      </c>
      <c r="I4" s="1306" t="s">
        <v>1828</v>
      </c>
      <c r="J4" s="1306" t="s">
        <v>1829</v>
      </c>
      <c r="K4" s="1306" t="s">
        <v>1830</v>
      </c>
      <c r="L4" s="1306" t="s">
        <v>1831</v>
      </c>
      <c r="M4" s="1306" t="s">
        <v>1977</v>
      </c>
      <c r="N4" s="1306" t="s">
        <v>1978</v>
      </c>
      <c r="O4" s="1306" t="s">
        <v>1979</v>
      </c>
      <c r="P4" s="1306" t="s">
        <v>1980</v>
      </c>
      <c r="Q4" s="1307" t="s">
        <v>716</v>
      </c>
      <c r="R4" s="224" t="s">
        <v>788</v>
      </c>
    </row>
    <row r="5" spans="1:18" ht="16.5" thickBot="1">
      <c r="C5" s="1309" t="s">
        <v>907</v>
      </c>
      <c r="D5" s="225"/>
      <c r="F5" s="226" t="s">
        <v>789</v>
      </c>
      <c r="G5" s="226" t="s">
        <v>789</v>
      </c>
      <c r="H5" s="225"/>
      <c r="I5" s="225"/>
      <c r="J5" s="225"/>
      <c r="K5" s="225"/>
      <c r="L5" s="225"/>
      <c r="M5" s="225"/>
      <c r="N5" s="225"/>
      <c r="O5" s="225"/>
      <c r="P5" s="225"/>
      <c r="Q5" s="225"/>
      <c r="R5" s="225">
        <f>D5</f>
        <v>0</v>
      </c>
    </row>
    <row r="6" spans="1:18" ht="16.5" thickTop="1">
      <c r="C6" s="1309" t="s">
        <v>908</v>
      </c>
    </row>
    <row r="7" spans="1:18">
      <c r="C7" s="1312"/>
      <c r="D7" s="227"/>
      <c r="F7" s="227" t="e">
        <f>D7/E7</f>
        <v>#DIV/0!</v>
      </c>
      <c r="G7" s="227"/>
      <c r="H7" s="227"/>
      <c r="I7" s="227"/>
      <c r="J7" s="227"/>
      <c r="K7" s="227"/>
      <c r="L7" s="227"/>
      <c r="M7" s="227"/>
      <c r="N7" s="227"/>
      <c r="O7" s="227"/>
      <c r="P7" s="227"/>
      <c r="Q7" s="227">
        <f>G7+H7+I7+J7+K7+L7+M7+N7+O7+P7</f>
        <v>0</v>
      </c>
      <c r="R7" s="227">
        <f>D7-Q7</f>
        <v>0</v>
      </c>
    </row>
    <row r="8" spans="1:18" ht="16.5" thickBot="1">
      <c r="C8" s="1309" t="s">
        <v>796</v>
      </c>
      <c r="D8" s="225">
        <f>SUM(D6:D7)</f>
        <v>0</v>
      </c>
      <c r="F8" s="225" t="e">
        <f t="shared" ref="F8:P8" si="0">SUM(F6:F7)</f>
        <v>#DIV/0!</v>
      </c>
      <c r="G8" s="225">
        <f t="shared" si="0"/>
        <v>0</v>
      </c>
      <c r="H8" s="225">
        <f t="shared" si="0"/>
        <v>0</v>
      </c>
      <c r="I8" s="225">
        <f t="shared" si="0"/>
        <v>0</v>
      </c>
      <c r="J8" s="225">
        <f t="shared" si="0"/>
        <v>0</v>
      </c>
      <c r="K8" s="225">
        <f t="shared" si="0"/>
        <v>0</v>
      </c>
      <c r="L8" s="225">
        <f t="shared" si="0"/>
        <v>0</v>
      </c>
      <c r="M8" s="225">
        <f t="shared" si="0"/>
        <v>0</v>
      </c>
      <c r="N8" s="225">
        <f t="shared" si="0"/>
        <v>0</v>
      </c>
      <c r="O8" s="225">
        <f t="shared" si="0"/>
        <v>0</v>
      </c>
      <c r="P8" s="225">
        <f t="shared" si="0"/>
        <v>0</v>
      </c>
      <c r="Q8" s="225">
        <f>G8+H8+I8+J8+K8+L8+M8+N8+O8+P8</f>
        <v>0</v>
      </c>
      <c r="R8" s="225">
        <f>D8-Q8</f>
        <v>0</v>
      </c>
    </row>
    <row r="9" spans="1:18" ht="16.5" thickTop="1">
      <c r="C9" s="1310"/>
      <c r="D9" s="229"/>
      <c r="F9" s="229"/>
      <c r="G9" s="229"/>
      <c r="H9" s="229"/>
      <c r="I9" s="229"/>
      <c r="J9" s="229"/>
      <c r="K9" s="229"/>
      <c r="L9" s="229"/>
      <c r="M9" s="229"/>
      <c r="N9" s="229"/>
      <c r="O9" s="229"/>
      <c r="P9" s="229"/>
      <c r="Q9" s="229"/>
      <c r="R9" s="229"/>
    </row>
    <row r="10" spans="1:18" ht="15.75">
      <c r="C10" s="1309" t="s">
        <v>483</v>
      </c>
    </row>
    <row r="11" spans="1:18">
      <c r="C11" s="1312"/>
      <c r="D11" s="227"/>
      <c r="F11" s="227" t="e">
        <f>D11/E11</f>
        <v>#DIV/0!</v>
      </c>
      <c r="G11" s="227"/>
      <c r="H11" s="227"/>
      <c r="I11" s="227"/>
      <c r="J11" s="227"/>
      <c r="K11" s="227"/>
      <c r="L11" s="227"/>
      <c r="M11" s="227"/>
      <c r="N11" s="227"/>
      <c r="O11" s="227"/>
      <c r="P11" s="227"/>
      <c r="Q11" s="227">
        <f>G11+H11+I11+J11+K11+L11+M11+N11+O11+P11</f>
        <v>0</v>
      </c>
      <c r="R11" s="227">
        <f>D11-Q11</f>
        <v>0</v>
      </c>
    </row>
    <row r="12" spans="1:18" ht="16.5" thickBot="1">
      <c r="C12" s="1310" t="s">
        <v>484</v>
      </c>
      <c r="D12" s="225">
        <f>SUM(D10:D11)</f>
        <v>0</v>
      </c>
      <c r="F12" s="225" t="e">
        <f t="shared" ref="F12:P12" si="1">SUM(F10:F11)</f>
        <v>#DIV/0!</v>
      </c>
      <c r="G12" s="225">
        <f t="shared" si="1"/>
        <v>0</v>
      </c>
      <c r="H12" s="225">
        <f t="shared" si="1"/>
        <v>0</v>
      </c>
      <c r="I12" s="225">
        <f t="shared" si="1"/>
        <v>0</v>
      </c>
      <c r="J12" s="225">
        <f t="shared" si="1"/>
        <v>0</v>
      </c>
      <c r="K12" s="225">
        <f t="shared" si="1"/>
        <v>0</v>
      </c>
      <c r="L12" s="225">
        <f t="shared" si="1"/>
        <v>0</v>
      </c>
      <c r="M12" s="225">
        <f t="shared" si="1"/>
        <v>0</v>
      </c>
      <c r="N12" s="225">
        <f t="shared" si="1"/>
        <v>0</v>
      </c>
      <c r="O12" s="225">
        <f t="shared" si="1"/>
        <v>0</v>
      </c>
      <c r="P12" s="225">
        <f t="shared" si="1"/>
        <v>0</v>
      </c>
      <c r="Q12" s="225">
        <f>G12+H12+I12+J12+K12+L12+M12+N12+O12+P12</f>
        <v>0</v>
      </c>
      <c r="R12" s="225">
        <f>D12-Q12</f>
        <v>0</v>
      </c>
    </row>
    <row r="13" spans="1:18" ht="16.5" thickTop="1">
      <c r="C13" s="1309" t="s">
        <v>790</v>
      </c>
    </row>
    <row r="14" spans="1:18">
      <c r="C14" s="1312"/>
      <c r="D14" s="227"/>
      <c r="F14" s="227" t="e">
        <f>D14/E14</f>
        <v>#DIV/0!</v>
      </c>
      <c r="G14" s="227"/>
      <c r="H14" s="227"/>
      <c r="I14" s="227"/>
      <c r="J14" s="227"/>
      <c r="K14" s="227"/>
      <c r="L14" s="227"/>
      <c r="M14" s="227"/>
      <c r="N14" s="227"/>
      <c r="O14" s="227"/>
      <c r="P14" s="227"/>
      <c r="Q14" s="227">
        <f>G14+H14+I14+J14+K14+L14+M14+N14+O14+P14</f>
        <v>0</v>
      </c>
      <c r="R14" s="227">
        <f>D14-Q14</f>
        <v>0</v>
      </c>
    </row>
    <row r="15" spans="1:18" ht="16.5" thickBot="1">
      <c r="C15" s="1311" t="s">
        <v>798</v>
      </c>
      <c r="D15" s="225">
        <f>SUM(D13:D14)</f>
        <v>0</v>
      </c>
      <c r="F15" s="225" t="e">
        <f t="shared" ref="F15:P15" si="2">SUM(F13:F14)</f>
        <v>#DIV/0!</v>
      </c>
      <c r="G15" s="225">
        <f t="shared" si="2"/>
        <v>0</v>
      </c>
      <c r="H15" s="225">
        <f t="shared" si="2"/>
        <v>0</v>
      </c>
      <c r="I15" s="225">
        <f t="shared" si="2"/>
        <v>0</v>
      </c>
      <c r="J15" s="225">
        <f t="shared" si="2"/>
        <v>0</v>
      </c>
      <c r="K15" s="225">
        <f t="shared" si="2"/>
        <v>0</v>
      </c>
      <c r="L15" s="225">
        <f t="shared" si="2"/>
        <v>0</v>
      </c>
      <c r="M15" s="225">
        <f t="shared" si="2"/>
        <v>0</v>
      </c>
      <c r="N15" s="225">
        <f t="shared" si="2"/>
        <v>0</v>
      </c>
      <c r="O15" s="225">
        <f t="shared" si="2"/>
        <v>0</v>
      </c>
      <c r="P15" s="225">
        <f t="shared" si="2"/>
        <v>0</v>
      </c>
      <c r="Q15" s="225">
        <f>G15+H15+I15+J15+K15+L15+M15+N15+O15+P15</f>
        <v>0</v>
      </c>
      <c r="R15" s="225">
        <f>D15-Q15</f>
        <v>0</v>
      </c>
    </row>
    <row r="16" spans="1:18" ht="16.5" thickTop="1">
      <c r="C16" s="1309" t="s">
        <v>791</v>
      </c>
    </row>
    <row r="17" spans="3:18">
      <c r="C17" s="1312"/>
      <c r="D17" s="227">
        <v>140307.70000000001</v>
      </c>
      <c r="F17" s="227" t="e">
        <f>D17/E17</f>
        <v>#DIV/0!</v>
      </c>
      <c r="G17" s="227">
        <v>131612.70000000001</v>
      </c>
      <c r="H17" s="227">
        <v>1167.33</v>
      </c>
      <c r="I17" s="227">
        <v>1489</v>
      </c>
      <c r="J17" s="227">
        <v>1489</v>
      </c>
      <c r="K17" s="227">
        <v>1489</v>
      </c>
      <c r="L17" s="227">
        <v>1489</v>
      </c>
      <c r="M17" s="227"/>
      <c r="N17" s="227"/>
      <c r="O17" s="227"/>
      <c r="P17" s="227"/>
      <c r="Q17" s="227">
        <f>G17+H17+I17+J17+K17+L17+M17+N17+O17+P17</f>
        <v>138736.03</v>
      </c>
      <c r="R17" s="227">
        <f>D17-Q17</f>
        <v>1571.6700000000128</v>
      </c>
    </row>
    <row r="18" spans="3:18">
      <c r="C18" s="1312"/>
      <c r="D18" s="227"/>
      <c r="F18" s="227" t="e">
        <f>D18/E18</f>
        <v>#DIV/0!</v>
      </c>
      <c r="G18" s="227"/>
      <c r="H18" s="227"/>
      <c r="I18" s="227"/>
      <c r="J18" s="227"/>
      <c r="K18" s="227"/>
      <c r="L18" s="227"/>
      <c r="M18" s="227"/>
      <c r="N18" s="227"/>
      <c r="O18" s="227"/>
      <c r="P18" s="227"/>
      <c r="Q18" s="227">
        <f>G18+H18+I18+J18+K18+L18+M18+N18+O18+P18</f>
        <v>0</v>
      </c>
      <c r="R18" s="227">
        <f>D18-Q18</f>
        <v>0</v>
      </c>
    </row>
    <row r="19" spans="3:18" ht="16.5" thickBot="1">
      <c r="C19" s="1311" t="s">
        <v>687</v>
      </c>
      <c r="D19" s="225">
        <f>SUM(D16:D18)</f>
        <v>140307.70000000001</v>
      </c>
      <c r="F19" s="225" t="e">
        <f t="shared" ref="F19:P19" si="3">SUM(F16:F18)</f>
        <v>#DIV/0!</v>
      </c>
      <c r="G19" s="225">
        <f t="shared" si="3"/>
        <v>131612.70000000001</v>
      </c>
      <c r="H19" s="225">
        <f t="shared" si="3"/>
        <v>1167.33</v>
      </c>
      <c r="I19" s="225">
        <f t="shared" si="3"/>
        <v>1489</v>
      </c>
      <c r="J19" s="225">
        <f t="shared" si="3"/>
        <v>1489</v>
      </c>
      <c r="K19" s="225">
        <f t="shared" si="3"/>
        <v>1489</v>
      </c>
      <c r="L19" s="225">
        <f t="shared" si="3"/>
        <v>1489</v>
      </c>
      <c r="M19" s="225">
        <f t="shared" si="3"/>
        <v>0</v>
      </c>
      <c r="N19" s="225">
        <f t="shared" si="3"/>
        <v>0</v>
      </c>
      <c r="O19" s="225">
        <f t="shared" si="3"/>
        <v>0</v>
      </c>
      <c r="P19" s="225">
        <f t="shared" si="3"/>
        <v>0</v>
      </c>
      <c r="Q19" s="225">
        <f>G19+H19+I19+J19+K19+L19+M19+N19+O19+P19</f>
        <v>138736.03</v>
      </c>
      <c r="R19" s="225">
        <f>D19-Q19</f>
        <v>1571.6700000000128</v>
      </c>
    </row>
    <row r="20" spans="3:18" ht="16.5" thickTop="1">
      <c r="C20" s="1309" t="s">
        <v>688</v>
      </c>
    </row>
    <row r="21" spans="3:18">
      <c r="C21" s="1312"/>
      <c r="D21" s="227"/>
      <c r="F21" s="227" t="e">
        <f>D21/E21</f>
        <v>#DIV/0!</v>
      </c>
      <c r="G21" s="227"/>
      <c r="H21" s="227"/>
      <c r="I21" s="227"/>
      <c r="J21" s="227"/>
      <c r="K21" s="227"/>
      <c r="L21" s="227"/>
      <c r="M21" s="227"/>
      <c r="N21" s="227"/>
      <c r="O21" s="227"/>
      <c r="P21" s="227"/>
      <c r="Q21" s="227">
        <f>G21+H21+I21+J21+K21+L21+M21+N21+O21+P21</f>
        <v>0</v>
      </c>
      <c r="R21" s="227">
        <f>D21-Q21</f>
        <v>0</v>
      </c>
    </row>
    <row r="22" spans="3:18" ht="16.5" thickBot="1">
      <c r="C22" s="1311" t="s">
        <v>689</v>
      </c>
      <c r="D22" s="225">
        <f>SUM(D21:D21)</f>
        <v>0</v>
      </c>
      <c r="F22" s="225" t="e">
        <f t="shared" ref="F22:P22" si="4">SUM(F21:F21)</f>
        <v>#DIV/0!</v>
      </c>
      <c r="G22" s="225">
        <f t="shared" si="4"/>
        <v>0</v>
      </c>
      <c r="H22" s="225">
        <f t="shared" si="4"/>
        <v>0</v>
      </c>
      <c r="I22" s="225">
        <f t="shared" si="4"/>
        <v>0</v>
      </c>
      <c r="J22" s="225">
        <f t="shared" si="4"/>
        <v>0</v>
      </c>
      <c r="K22" s="225">
        <f t="shared" si="4"/>
        <v>0</v>
      </c>
      <c r="L22" s="225">
        <f t="shared" si="4"/>
        <v>0</v>
      </c>
      <c r="M22" s="225">
        <f t="shared" si="4"/>
        <v>0</v>
      </c>
      <c r="N22" s="225">
        <f t="shared" si="4"/>
        <v>0</v>
      </c>
      <c r="O22" s="225">
        <f t="shared" si="4"/>
        <v>0</v>
      </c>
      <c r="P22" s="225">
        <f t="shared" si="4"/>
        <v>0</v>
      </c>
      <c r="Q22" s="225">
        <f>G22+H22+I22+J22+K22+L22+M22+N22+O22+P22</f>
        <v>0</v>
      </c>
      <c r="R22" s="225">
        <f>D22-Q22</f>
        <v>0</v>
      </c>
    </row>
    <row r="23" spans="3:18" ht="16.5" thickTop="1">
      <c r="C23" s="1309" t="s">
        <v>690</v>
      </c>
    </row>
    <row r="24" spans="3:18">
      <c r="C24" s="1312"/>
      <c r="D24" s="227"/>
      <c r="F24" s="227" t="e">
        <f>D24/E24</f>
        <v>#DIV/0!</v>
      </c>
      <c r="G24" s="227"/>
      <c r="H24" s="227"/>
      <c r="I24" s="227"/>
      <c r="J24" s="227"/>
      <c r="K24" s="227"/>
      <c r="L24" s="227"/>
      <c r="M24" s="227"/>
      <c r="N24" s="227"/>
      <c r="O24" s="227"/>
      <c r="P24" s="227"/>
      <c r="Q24" s="227">
        <f>G24+H24+I24+J24+K24+L24+M24+N24+O24+P24</f>
        <v>0</v>
      </c>
      <c r="R24" s="227">
        <f>D24-Q24</f>
        <v>0</v>
      </c>
    </row>
    <row r="25" spans="3:18" ht="16.5" thickBot="1">
      <c r="C25" s="1311" t="s">
        <v>691</v>
      </c>
      <c r="D25" s="225">
        <f>SUM(D24:D24)</f>
        <v>0</v>
      </c>
      <c r="F25" s="225" t="e">
        <f t="shared" ref="F25:P25" si="5">SUM(F24:F24)</f>
        <v>#DIV/0!</v>
      </c>
      <c r="G25" s="225">
        <f t="shared" si="5"/>
        <v>0</v>
      </c>
      <c r="H25" s="225">
        <f t="shared" si="5"/>
        <v>0</v>
      </c>
      <c r="I25" s="225">
        <f t="shared" si="5"/>
        <v>0</v>
      </c>
      <c r="J25" s="225">
        <f t="shared" si="5"/>
        <v>0</v>
      </c>
      <c r="K25" s="225">
        <f t="shared" si="5"/>
        <v>0</v>
      </c>
      <c r="L25" s="225">
        <f t="shared" si="5"/>
        <v>0</v>
      </c>
      <c r="M25" s="225">
        <f t="shared" si="5"/>
        <v>0</v>
      </c>
      <c r="N25" s="225">
        <f t="shared" si="5"/>
        <v>0</v>
      </c>
      <c r="O25" s="225">
        <f t="shared" si="5"/>
        <v>0</v>
      </c>
      <c r="P25" s="225">
        <f t="shared" si="5"/>
        <v>0</v>
      </c>
      <c r="Q25" s="225">
        <f>G25+H25+I25+J25+K25+L25+M25+N25+O25+P25</f>
        <v>0</v>
      </c>
      <c r="R25" s="225">
        <f>D25-Q25</f>
        <v>0</v>
      </c>
    </row>
    <row r="26" spans="3:18" ht="16.5" thickTop="1">
      <c r="C26" s="1309" t="s">
        <v>692</v>
      </c>
    </row>
    <row r="27" spans="3:18">
      <c r="C27" s="1312"/>
      <c r="D27" s="227"/>
      <c r="F27" s="227" t="e">
        <f>D27/E27</f>
        <v>#DIV/0!</v>
      </c>
      <c r="G27" s="227"/>
      <c r="H27" s="227"/>
      <c r="I27" s="227"/>
      <c r="J27" s="227"/>
      <c r="K27" s="227"/>
      <c r="L27" s="227"/>
      <c r="M27" s="227"/>
      <c r="N27" s="227"/>
      <c r="O27" s="227"/>
      <c r="P27" s="227"/>
      <c r="Q27" s="227">
        <f>G27+H27+I27+J27+K27+L27+M27+N27+O27+P27</f>
        <v>0</v>
      </c>
      <c r="R27" s="227">
        <f>D27-Q27</f>
        <v>0</v>
      </c>
    </row>
    <row r="28" spans="3:18" ht="16.5" thickBot="1">
      <c r="C28" s="1311" t="s">
        <v>693</v>
      </c>
      <c r="D28" s="225">
        <f>SUM(D27:D27)</f>
        <v>0</v>
      </c>
      <c r="F28" s="225" t="e">
        <f t="shared" ref="F28:P28" si="6">SUM(F27:F27)</f>
        <v>#DIV/0!</v>
      </c>
      <c r="G28" s="225">
        <f t="shared" si="6"/>
        <v>0</v>
      </c>
      <c r="H28" s="225">
        <f t="shared" si="6"/>
        <v>0</v>
      </c>
      <c r="I28" s="225">
        <f t="shared" si="6"/>
        <v>0</v>
      </c>
      <c r="J28" s="225">
        <f t="shared" si="6"/>
        <v>0</v>
      </c>
      <c r="K28" s="225">
        <f t="shared" si="6"/>
        <v>0</v>
      </c>
      <c r="L28" s="225">
        <f t="shared" si="6"/>
        <v>0</v>
      </c>
      <c r="M28" s="225">
        <f t="shared" si="6"/>
        <v>0</v>
      </c>
      <c r="N28" s="225">
        <f t="shared" si="6"/>
        <v>0</v>
      </c>
      <c r="O28" s="225">
        <f t="shared" si="6"/>
        <v>0</v>
      </c>
      <c r="P28" s="225">
        <f t="shared" si="6"/>
        <v>0</v>
      </c>
      <c r="Q28" s="225">
        <f>G28+H28+I28+J28+K28+L28+M28+N28+O28+P28</f>
        <v>0</v>
      </c>
      <c r="R28" s="225">
        <f>D28-Q28</f>
        <v>0</v>
      </c>
    </row>
    <row r="29" spans="3:18" ht="16.5" thickTop="1">
      <c r="C29" s="1309" t="s">
        <v>694</v>
      </c>
    </row>
    <row r="30" spans="3:18">
      <c r="C30" s="1312"/>
      <c r="D30" s="227"/>
      <c r="F30" s="227" t="e">
        <f>D30/E30</f>
        <v>#DIV/0!</v>
      </c>
      <c r="G30" s="227"/>
      <c r="H30" s="227"/>
      <c r="I30" s="227"/>
      <c r="J30" s="227"/>
      <c r="K30" s="227"/>
      <c r="L30" s="227"/>
      <c r="M30" s="227"/>
      <c r="N30" s="227"/>
      <c r="O30" s="227"/>
      <c r="P30" s="227"/>
      <c r="Q30" s="227">
        <f>G30+H30+I30+J30+K30+L30+M30+N30+O30+P30</f>
        <v>0</v>
      </c>
      <c r="R30" s="227">
        <f>D30-Q30</f>
        <v>0</v>
      </c>
    </row>
    <row r="31" spans="3:18" ht="16.5" thickBot="1">
      <c r="C31" s="1313" t="s">
        <v>695</v>
      </c>
      <c r="D31" s="225">
        <f>SUM(D30:D30)</f>
        <v>0</v>
      </c>
      <c r="F31" s="225" t="e">
        <f t="shared" ref="F31:P31" si="7">SUM(F30:F30)</f>
        <v>#DIV/0!</v>
      </c>
      <c r="G31" s="225">
        <f t="shared" si="7"/>
        <v>0</v>
      </c>
      <c r="H31" s="225">
        <f t="shared" si="7"/>
        <v>0</v>
      </c>
      <c r="I31" s="225">
        <f t="shared" si="7"/>
        <v>0</v>
      </c>
      <c r="J31" s="225">
        <f t="shared" si="7"/>
        <v>0</v>
      </c>
      <c r="K31" s="225">
        <f t="shared" si="7"/>
        <v>0</v>
      </c>
      <c r="L31" s="225">
        <f t="shared" si="7"/>
        <v>0</v>
      </c>
      <c r="M31" s="225">
        <f t="shared" si="7"/>
        <v>0</v>
      </c>
      <c r="N31" s="225">
        <f t="shared" si="7"/>
        <v>0</v>
      </c>
      <c r="O31" s="225">
        <f t="shared" si="7"/>
        <v>0</v>
      </c>
      <c r="P31" s="225">
        <f t="shared" si="7"/>
        <v>0</v>
      </c>
      <c r="Q31" s="225">
        <f>G31+H31+I31+J31+K31+L31+M31+N31+O31+P31</f>
        <v>0</v>
      </c>
      <c r="R31" s="225">
        <f>D31-Q31</f>
        <v>0</v>
      </c>
    </row>
    <row r="32" spans="3:18" ht="16.5" thickTop="1">
      <c r="C32" s="1309" t="s">
        <v>696</v>
      </c>
    </row>
    <row r="33" spans="3:18">
      <c r="C33" s="1312"/>
      <c r="D33" s="227"/>
      <c r="F33" s="227" t="e">
        <f>D33/E33</f>
        <v>#DIV/0!</v>
      </c>
      <c r="G33" s="227"/>
      <c r="H33" s="227"/>
      <c r="I33" s="227"/>
      <c r="J33" s="227"/>
      <c r="K33" s="227"/>
      <c r="L33" s="227"/>
      <c r="M33" s="227"/>
      <c r="N33" s="227"/>
      <c r="O33" s="227"/>
      <c r="P33" s="227"/>
      <c r="Q33" s="227">
        <f>G33+H33+I33+J33+K33+L33+M33+N33+O33+P33</f>
        <v>0</v>
      </c>
      <c r="R33" s="227">
        <f>D33-Q33</f>
        <v>0</v>
      </c>
    </row>
    <row r="34" spans="3:18" ht="16.5" thickBot="1">
      <c r="C34" s="1311" t="s">
        <v>558</v>
      </c>
      <c r="D34" s="225">
        <f>SUM(D33:D33)</f>
        <v>0</v>
      </c>
      <c r="F34" s="225" t="e">
        <f t="shared" ref="F34:P34" si="8">SUM(F33:F33)</f>
        <v>#DIV/0!</v>
      </c>
      <c r="G34" s="225">
        <f t="shared" si="8"/>
        <v>0</v>
      </c>
      <c r="H34" s="225">
        <f t="shared" si="8"/>
        <v>0</v>
      </c>
      <c r="I34" s="225">
        <f t="shared" si="8"/>
        <v>0</v>
      </c>
      <c r="J34" s="225">
        <f t="shared" si="8"/>
        <v>0</v>
      </c>
      <c r="K34" s="225">
        <f t="shared" si="8"/>
        <v>0</v>
      </c>
      <c r="L34" s="225">
        <f t="shared" si="8"/>
        <v>0</v>
      </c>
      <c r="M34" s="225">
        <f t="shared" si="8"/>
        <v>0</v>
      </c>
      <c r="N34" s="225">
        <f t="shared" si="8"/>
        <v>0</v>
      </c>
      <c r="O34" s="225">
        <f t="shared" si="8"/>
        <v>0</v>
      </c>
      <c r="P34" s="225">
        <f t="shared" si="8"/>
        <v>0</v>
      </c>
      <c r="Q34" s="225">
        <f>G34+H34+I34+J34+K34+L34+M34+N34+O34+P34</f>
        <v>0</v>
      </c>
      <c r="R34" s="225">
        <f>D34-Q34</f>
        <v>0</v>
      </c>
    </row>
    <row r="35" spans="3:18" ht="15.75" thickTop="1">
      <c r="C35" s="1312"/>
    </row>
    <row r="36" spans="3:18" ht="16.5" thickBot="1">
      <c r="C36" s="1309" t="s">
        <v>559</v>
      </c>
      <c r="D36" s="225">
        <f>D5+D8+D12+D15+D19+D22+D25+D28+D31+D34</f>
        <v>140307.70000000001</v>
      </c>
      <c r="F36" s="225" t="e">
        <f t="shared" ref="F36:R36" si="9">F5+F8+F12+F15+F19+F22+F25+F28+F31+F34</f>
        <v>#DIV/0!</v>
      </c>
      <c r="G36" s="225">
        <f t="shared" si="9"/>
        <v>131612.70000000001</v>
      </c>
      <c r="H36" s="225">
        <f t="shared" si="9"/>
        <v>1167.33</v>
      </c>
      <c r="I36" s="225">
        <f t="shared" si="9"/>
        <v>1489</v>
      </c>
      <c r="J36" s="225">
        <f t="shared" si="9"/>
        <v>1489</v>
      </c>
      <c r="K36" s="225">
        <f t="shared" si="9"/>
        <v>1489</v>
      </c>
      <c r="L36" s="225">
        <f t="shared" si="9"/>
        <v>1489</v>
      </c>
      <c r="M36" s="225">
        <f t="shared" si="9"/>
        <v>0</v>
      </c>
      <c r="N36" s="225">
        <f t="shared" si="9"/>
        <v>0</v>
      </c>
      <c r="O36" s="225">
        <f t="shared" si="9"/>
        <v>0</v>
      </c>
      <c r="P36" s="225">
        <f t="shared" si="9"/>
        <v>0</v>
      </c>
      <c r="Q36" s="225">
        <f t="shared" si="9"/>
        <v>138736.03</v>
      </c>
      <c r="R36" s="225">
        <f t="shared" si="9"/>
        <v>1571.6700000000128</v>
      </c>
    </row>
    <row r="37"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7" type="noConversion"/>
  <pageMargins left="0.25" right="0.25" top="0.25" bottom="0.25" header="0.3" footer="0.3"/>
  <pageSetup scale="88" orientation="landscape" horizontalDpi="360" verticalDpi="360" r:id="rId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pageSetUpPr fitToPage="1"/>
  </sheetPr>
  <dimension ref="A1:AA26"/>
  <sheetViews>
    <sheetView defaultGridColor="0" topLeftCell="A6" colorId="22" zoomScale="87" workbookViewId="0">
      <selection activeCell="W40" sqref="W40:W44"/>
    </sheetView>
  </sheetViews>
  <sheetFormatPr defaultColWidth="12" defaultRowHeight="15"/>
  <cols>
    <col min="1" max="1" width="25.42578125" style="247" customWidth="1"/>
    <col min="2" max="2" width="1.5703125" style="247" customWidth="1"/>
    <col min="3" max="3" width="9.42578125" style="247" customWidth="1"/>
    <col min="4" max="4" width="1.140625" style="247" customWidth="1"/>
    <col min="5" max="5" width="9.140625" style="247" customWidth="1"/>
    <col min="6" max="6" width="1.140625" style="247" customWidth="1"/>
    <col min="7" max="7" width="8.5703125" style="247" customWidth="1"/>
    <col min="8" max="8" width="0.7109375" style="247" customWidth="1"/>
    <col min="9" max="9" width="9" style="247" customWidth="1"/>
    <col min="10" max="10" width="1.42578125" style="247" customWidth="1"/>
    <col min="11" max="11" width="7.85546875" style="247" customWidth="1"/>
    <col min="12" max="12" width="1.85546875" style="247" customWidth="1"/>
    <col min="13" max="13" width="11.5703125" style="247" customWidth="1"/>
    <col min="14" max="14" width="1.42578125" style="247" customWidth="1"/>
    <col min="15" max="15" width="12" style="247"/>
    <col min="16" max="16" width="1.85546875" style="247" customWidth="1"/>
    <col min="17" max="17" width="12.140625" style="247" customWidth="1"/>
    <col min="18" max="18" width="1.7109375" style="247" customWidth="1"/>
    <col min="19" max="19" width="12" style="247"/>
    <col min="20" max="20" width="1.85546875" style="247" customWidth="1"/>
    <col min="21" max="21" width="12" style="247"/>
    <col min="22" max="22" width="2.28515625" style="247" customWidth="1"/>
    <col min="23" max="23" width="11" style="247" customWidth="1"/>
    <col min="24" max="24" width="2.28515625" style="247" customWidth="1"/>
    <col min="25" max="25" width="12" style="247"/>
    <col min="26" max="26" width="2.28515625" style="247" customWidth="1"/>
    <col min="27" max="27" width="12.42578125" style="247" customWidth="1"/>
    <col min="28" max="16384" width="12" style="247"/>
  </cols>
  <sheetData>
    <row r="1" spans="1:27" ht="15.75">
      <c r="I1" s="555" t="s">
        <v>3669</v>
      </c>
    </row>
    <row r="2" spans="1:27" ht="15.75">
      <c r="G2" s="555" t="s">
        <v>1429</v>
      </c>
      <c r="I2" s="555"/>
    </row>
    <row r="3" spans="1:27" ht="15.75">
      <c r="I3" s="556" t="str">
        <f>'COVER PAGE'!A30</f>
        <v>FISCAL YEAR ENDING JUNE 30, 2017</v>
      </c>
    </row>
    <row r="5" spans="1:27">
      <c r="C5" s="248" t="s">
        <v>1430</v>
      </c>
      <c r="E5" s="248" t="s">
        <v>1430</v>
      </c>
      <c r="G5" s="248" t="s">
        <v>1431</v>
      </c>
      <c r="I5" s="248" t="s">
        <v>1030</v>
      </c>
      <c r="K5" s="248" t="s">
        <v>1432</v>
      </c>
      <c r="M5" s="248" t="s">
        <v>1433</v>
      </c>
      <c r="O5" s="248" t="s">
        <v>1434</v>
      </c>
      <c r="Q5" s="248" t="s">
        <v>1030</v>
      </c>
      <c r="S5" s="724" t="s">
        <v>1559</v>
      </c>
      <c r="T5" s="725"/>
      <c r="U5" s="725"/>
      <c r="V5" s="725"/>
      <c r="W5" s="725"/>
      <c r="X5" s="725"/>
      <c r="Y5" s="725"/>
      <c r="Z5" s="725"/>
      <c r="AA5" s="725"/>
    </row>
    <row r="6" spans="1:27">
      <c r="C6" s="248" t="s">
        <v>1435</v>
      </c>
      <c r="E6" s="248" t="s">
        <v>1436</v>
      </c>
      <c r="G6" s="248" t="s">
        <v>1436</v>
      </c>
      <c r="I6" s="248" t="s">
        <v>1437</v>
      </c>
      <c r="K6" s="248" t="s">
        <v>1438</v>
      </c>
      <c r="M6" s="248" t="s">
        <v>1439</v>
      </c>
      <c r="O6" s="248" t="s">
        <v>1440</v>
      </c>
      <c r="Q6" s="248" t="s">
        <v>1439</v>
      </c>
      <c r="S6" s="248" t="s">
        <v>1441</v>
      </c>
      <c r="U6" s="248" t="s">
        <v>1441</v>
      </c>
      <c r="W6" s="248" t="s">
        <v>1441</v>
      </c>
      <c r="X6" s="248"/>
      <c r="Y6" s="248" t="s">
        <v>1441</v>
      </c>
    </row>
    <row r="7" spans="1:27" ht="30">
      <c r="A7" s="248" t="s">
        <v>1017</v>
      </c>
      <c r="C7" s="248" t="s">
        <v>1437</v>
      </c>
      <c r="E7" s="248" t="s">
        <v>1437</v>
      </c>
      <c r="G7" s="248" t="s">
        <v>1437</v>
      </c>
      <c r="I7" s="248" t="s">
        <v>1430</v>
      </c>
      <c r="K7" s="248" t="s">
        <v>1442</v>
      </c>
      <c r="M7" s="248" t="s">
        <v>1443</v>
      </c>
      <c r="O7" s="248" t="s">
        <v>1444</v>
      </c>
      <c r="Q7" s="248" t="s">
        <v>1443</v>
      </c>
      <c r="S7" s="1303" t="s">
        <v>1985</v>
      </c>
      <c r="U7" s="248" t="s">
        <v>1445</v>
      </c>
      <c r="W7" s="248" t="s">
        <v>1446</v>
      </c>
      <c r="X7" s="248"/>
      <c r="Y7" s="248" t="s">
        <v>1447</v>
      </c>
      <c r="AA7" s="248" t="s">
        <v>1030</v>
      </c>
    </row>
    <row r="8" spans="1:27">
      <c r="C8" s="249"/>
      <c r="E8" s="249"/>
      <c r="G8" s="249" t="s">
        <v>1448</v>
      </c>
      <c r="I8" s="249" t="s">
        <v>1448</v>
      </c>
      <c r="K8" s="249" t="s">
        <v>1448</v>
      </c>
      <c r="M8" s="249" t="s">
        <v>1448</v>
      </c>
      <c r="O8" s="249" t="s">
        <v>1448</v>
      </c>
      <c r="Q8" s="249" t="s">
        <v>1448</v>
      </c>
      <c r="S8" s="726"/>
      <c r="U8" s="249" t="s">
        <v>1448</v>
      </c>
      <c r="W8" s="249" t="s">
        <v>1448</v>
      </c>
      <c r="X8" s="249"/>
      <c r="Y8" s="249"/>
      <c r="AA8" s="249" t="s">
        <v>1448</v>
      </c>
    </row>
    <row r="9" spans="1:27">
      <c r="A9" s="726" t="s">
        <v>3667</v>
      </c>
      <c r="C9" s="250">
        <v>34.29</v>
      </c>
      <c r="D9" s="250"/>
      <c r="E9" s="250">
        <v>8</v>
      </c>
      <c r="F9" s="250"/>
      <c r="G9" s="250">
        <f t="shared" ref="G9:G15" si="0">E9*0.25</f>
        <v>2</v>
      </c>
      <c r="H9" s="250"/>
      <c r="I9" s="250">
        <f t="shared" ref="I9:I15" si="1">C9+G9</f>
        <v>36.29</v>
      </c>
      <c r="J9" s="251" t="s">
        <v>315</v>
      </c>
      <c r="K9" s="250">
        <v>21.5</v>
      </c>
      <c r="L9" s="251" t="s">
        <v>315</v>
      </c>
      <c r="M9" s="250">
        <f t="shared" ref="M9:M15" si="2">I9*K9</f>
        <v>780.23500000000001</v>
      </c>
      <c r="N9" s="251" t="s">
        <v>315</v>
      </c>
      <c r="O9" s="250">
        <f>M9*0.2</f>
        <v>156.04700000000003</v>
      </c>
      <c r="P9" s="251" t="s">
        <v>315</v>
      </c>
      <c r="Q9" s="250">
        <f t="shared" ref="Q9:Q15" si="3">M9+O9</f>
        <v>936.28200000000004</v>
      </c>
      <c r="R9" s="251" t="s">
        <v>315</v>
      </c>
      <c r="S9" s="250">
        <f>Q9*0.25</f>
        <v>234.07050000000001</v>
      </c>
      <c r="T9" s="251" t="s">
        <v>315</v>
      </c>
      <c r="U9" s="250">
        <f>Q9*0.25</f>
        <v>234.07050000000001</v>
      </c>
      <c r="V9" s="251" t="s">
        <v>315</v>
      </c>
      <c r="W9" s="250">
        <f>Q9*0.25</f>
        <v>234.07050000000001</v>
      </c>
      <c r="X9" s="251" t="s">
        <v>315</v>
      </c>
      <c r="Y9" s="250">
        <f>Q9*0.25</f>
        <v>234.07050000000001</v>
      </c>
      <c r="Z9" s="251" t="s">
        <v>315</v>
      </c>
      <c r="AA9" s="250">
        <f>S9+U9+W9+Y9</f>
        <v>936.28200000000004</v>
      </c>
    </row>
    <row r="10" spans="1:27">
      <c r="A10" s="589" t="s">
        <v>3670</v>
      </c>
      <c r="C10" s="250">
        <v>150.43</v>
      </c>
      <c r="D10" s="250"/>
      <c r="E10" s="250">
        <v>93.66</v>
      </c>
      <c r="F10" s="250"/>
      <c r="G10" s="250">
        <f t="shared" si="0"/>
        <v>23.414999999999999</v>
      </c>
      <c r="H10" s="250"/>
      <c r="I10" s="250">
        <f t="shared" si="1"/>
        <v>173.845</v>
      </c>
      <c r="J10" s="250"/>
      <c r="K10" s="250">
        <v>21.75</v>
      </c>
      <c r="L10" s="250"/>
      <c r="M10" s="250">
        <f t="shared" si="2"/>
        <v>3781.1287499999999</v>
      </c>
      <c r="N10" s="250"/>
      <c r="O10" s="250">
        <f t="shared" ref="O10:O15" si="4">M10*0.2</f>
        <v>756.22575000000006</v>
      </c>
      <c r="P10" s="250"/>
      <c r="Q10" s="250">
        <f t="shared" si="3"/>
        <v>4537.3544999999995</v>
      </c>
      <c r="R10" s="250"/>
      <c r="S10" s="250">
        <f t="shared" ref="S10:S15" si="5">Q10*0.25</f>
        <v>1134.3386249999999</v>
      </c>
      <c r="T10" s="250"/>
      <c r="U10" s="250">
        <f t="shared" ref="U10:U15" si="6">Q10*0.25</f>
        <v>1134.3386249999999</v>
      </c>
      <c r="V10" s="250"/>
      <c r="W10" s="250">
        <f t="shared" ref="W10:W15" si="7">Q10*0.25</f>
        <v>1134.3386249999999</v>
      </c>
      <c r="X10" s="250"/>
      <c r="Y10" s="250">
        <f t="shared" ref="Y10:Y15" si="8">Q10*0.25</f>
        <v>1134.3386249999999</v>
      </c>
      <c r="Z10" s="250"/>
      <c r="AA10" s="250">
        <f t="shared" ref="AA10:AA15" si="9">S10+U10+W10+Y10</f>
        <v>4537.3544999999995</v>
      </c>
    </row>
    <row r="11" spans="1:27">
      <c r="A11" s="589" t="s">
        <v>3671</v>
      </c>
      <c r="C11" s="250">
        <v>129.52000000000001</v>
      </c>
      <c r="D11" s="250"/>
      <c r="E11" s="250">
        <v>54.26</v>
      </c>
      <c r="F11" s="250"/>
      <c r="G11" s="250">
        <f t="shared" si="0"/>
        <v>13.565</v>
      </c>
      <c r="H11" s="250"/>
      <c r="I11" s="250">
        <f t="shared" si="1"/>
        <v>143.08500000000001</v>
      </c>
      <c r="J11" s="250"/>
      <c r="K11" s="250">
        <v>17</v>
      </c>
      <c r="L11" s="250"/>
      <c r="M11" s="250">
        <f t="shared" si="2"/>
        <v>2432.4450000000002</v>
      </c>
      <c r="N11" s="250"/>
      <c r="O11" s="250">
        <f t="shared" si="4"/>
        <v>486.48900000000003</v>
      </c>
      <c r="P11" s="250"/>
      <c r="Q11" s="250">
        <f t="shared" si="3"/>
        <v>2918.9340000000002</v>
      </c>
      <c r="R11" s="250"/>
      <c r="S11" s="250">
        <f t="shared" si="5"/>
        <v>729.73350000000005</v>
      </c>
      <c r="T11" s="250"/>
      <c r="U11" s="250">
        <f t="shared" si="6"/>
        <v>729.73350000000005</v>
      </c>
      <c r="V11" s="250"/>
      <c r="W11" s="250">
        <f t="shared" si="7"/>
        <v>729.73350000000005</v>
      </c>
      <c r="X11" s="250"/>
      <c r="Y11" s="250">
        <f t="shared" si="8"/>
        <v>729.73350000000005</v>
      </c>
      <c r="Z11" s="250"/>
      <c r="AA11" s="250">
        <f t="shared" si="9"/>
        <v>2918.9340000000002</v>
      </c>
    </row>
    <row r="12" spans="1:27">
      <c r="A12" s="589" t="s">
        <v>3672</v>
      </c>
      <c r="C12" s="250">
        <v>95.81</v>
      </c>
      <c r="D12" s="250"/>
      <c r="E12" s="250">
        <v>68.510000000000005</v>
      </c>
      <c r="F12" s="250"/>
      <c r="G12" s="250">
        <f t="shared" si="0"/>
        <v>17.127500000000001</v>
      </c>
      <c r="H12" s="250"/>
      <c r="I12" s="250">
        <f t="shared" si="1"/>
        <v>112.9375</v>
      </c>
      <c r="J12" s="250"/>
      <c r="K12" s="250">
        <v>22</v>
      </c>
      <c r="L12" s="250"/>
      <c r="M12" s="250">
        <f t="shared" si="2"/>
        <v>2484.625</v>
      </c>
      <c r="N12" s="250"/>
      <c r="O12" s="250">
        <f t="shared" si="4"/>
        <v>496.92500000000001</v>
      </c>
      <c r="P12" s="250"/>
      <c r="Q12" s="250">
        <f t="shared" si="3"/>
        <v>2981.55</v>
      </c>
      <c r="R12" s="250"/>
      <c r="S12" s="250">
        <f t="shared" si="5"/>
        <v>745.38750000000005</v>
      </c>
      <c r="T12" s="250"/>
      <c r="U12" s="250">
        <f t="shared" si="6"/>
        <v>745.38750000000005</v>
      </c>
      <c r="V12" s="250"/>
      <c r="W12" s="250">
        <f t="shared" si="7"/>
        <v>745.38750000000005</v>
      </c>
      <c r="X12" s="250"/>
      <c r="Y12" s="250">
        <f t="shared" si="8"/>
        <v>745.38750000000005</v>
      </c>
      <c r="Z12" s="250"/>
      <c r="AA12" s="250">
        <f t="shared" si="9"/>
        <v>2981.55</v>
      </c>
    </row>
    <row r="13" spans="1:27">
      <c r="C13" s="250"/>
      <c r="D13" s="250"/>
      <c r="E13" s="250"/>
      <c r="F13" s="250"/>
      <c r="G13" s="250">
        <f t="shared" si="0"/>
        <v>0</v>
      </c>
      <c r="H13" s="250"/>
      <c r="I13" s="250">
        <f t="shared" si="1"/>
        <v>0</v>
      </c>
      <c r="J13" s="250"/>
      <c r="K13" s="250"/>
      <c r="L13" s="250"/>
      <c r="M13" s="250">
        <f t="shared" si="2"/>
        <v>0</v>
      </c>
      <c r="N13" s="250"/>
      <c r="O13" s="250">
        <f t="shared" si="4"/>
        <v>0</v>
      </c>
      <c r="P13" s="250"/>
      <c r="Q13" s="250">
        <f t="shared" si="3"/>
        <v>0</v>
      </c>
      <c r="R13" s="250"/>
      <c r="S13" s="250">
        <f t="shared" si="5"/>
        <v>0</v>
      </c>
      <c r="T13" s="250"/>
      <c r="U13" s="250">
        <f t="shared" si="6"/>
        <v>0</v>
      </c>
      <c r="V13" s="250"/>
      <c r="W13" s="250">
        <f t="shared" si="7"/>
        <v>0</v>
      </c>
      <c r="X13" s="250"/>
      <c r="Y13" s="250">
        <f t="shared" si="8"/>
        <v>0</v>
      </c>
      <c r="Z13" s="250"/>
      <c r="AA13" s="250">
        <f t="shared" si="9"/>
        <v>0</v>
      </c>
    </row>
    <row r="14" spans="1:27">
      <c r="C14" s="250"/>
      <c r="D14" s="250"/>
      <c r="E14" s="250"/>
      <c r="F14" s="250"/>
      <c r="G14" s="250">
        <f t="shared" si="0"/>
        <v>0</v>
      </c>
      <c r="H14" s="250"/>
      <c r="I14" s="250">
        <f t="shared" si="1"/>
        <v>0</v>
      </c>
      <c r="J14" s="250"/>
      <c r="K14" s="250"/>
      <c r="L14" s="250"/>
      <c r="M14" s="250">
        <f t="shared" si="2"/>
        <v>0</v>
      </c>
      <c r="N14" s="250"/>
      <c r="O14" s="250">
        <f t="shared" si="4"/>
        <v>0</v>
      </c>
      <c r="P14" s="250"/>
      <c r="Q14" s="250">
        <f t="shared" si="3"/>
        <v>0</v>
      </c>
      <c r="R14" s="250"/>
      <c r="S14" s="250">
        <f t="shared" si="5"/>
        <v>0</v>
      </c>
      <c r="T14" s="250"/>
      <c r="U14" s="250">
        <f t="shared" si="6"/>
        <v>0</v>
      </c>
      <c r="V14" s="250"/>
      <c r="W14" s="250">
        <f t="shared" si="7"/>
        <v>0</v>
      </c>
      <c r="X14" s="250"/>
      <c r="Y14" s="250">
        <f t="shared" si="8"/>
        <v>0</v>
      </c>
      <c r="Z14" s="250"/>
      <c r="AA14" s="250">
        <f t="shared" si="9"/>
        <v>0</v>
      </c>
    </row>
    <row r="15" spans="1:27">
      <c r="C15" s="250"/>
      <c r="D15" s="250"/>
      <c r="E15" s="250"/>
      <c r="F15" s="250"/>
      <c r="G15" s="250">
        <f t="shared" si="0"/>
        <v>0</v>
      </c>
      <c r="H15" s="250"/>
      <c r="I15" s="250">
        <f t="shared" si="1"/>
        <v>0</v>
      </c>
      <c r="J15" s="250"/>
      <c r="K15" s="250"/>
      <c r="L15" s="250"/>
      <c r="M15" s="250">
        <f t="shared" si="2"/>
        <v>0</v>
      </c>
      <c r="N15" s="250"/>
      <c r="O15" s="250">
        <f t="shared" si="4"/>
        <v>0</v>
      </c>
      <c r="P15" s="250"/>
      <c r="Q15" s="250">
        <f t="shared" si="3"/>
        <v>0</v>
      </c>
      <c r="R15" s="250"/>
      <c r="S15" s="250">
        <f t="shared" si="5"/>
        <v>0</v>
      </c>
      <c r="T15" s="250"/>
      <c r="U15" s="250">
        <f t="shared" si="6"/>
        <v>0</v>
      </c>
      <c r="V15" s="250"/>
      <c r="W15" s="250">
        <f t="shared" si="7"/>
        <v>0</v>
      </c>
      <c r="X15" s="250"/>
      <c r="Y15" s="250">
        <f t="shared" si="8"/>
        <v>0</v>
      </c>
      <c r="Z15" s="250"/>
      <c r="AA15" s="250">
        <f t="shared" si="9"/>
        <v>0</v>
      </c>
    </row>
    <row r="16" spans="1:27">
      <c r="C16" s="252" t="s">
        <v>1448</v>
      </c>
      <c r="D16" s="250"/>
      <c r="E16" s="252" t="s">
        <v>1448</v>
      </c>
      <c r="F16" s="250"/>
      <c r="G16" s="252" t="s">
        <v>1448</v>
      </c>
      <c r="H16" s="250"/>
      <c r="I16" s="252" t="s">
        <v>1448</v>
      </c>
      <c r="K16" s="249" t="s">
        <v>1448</v>
      </c>
      <c r="M16" s="249" t="s">
        <v>1448</v>
      </c>
      <c r="O16" s="249" t="s">
        <v>1448</v>
      </c>
      <c r="Q16" s="249" t="s">
        <v>1448</v>
      </c>
      <c r="S16" s="249" t="s">
        <v>1448</v>
      </c>
      <c r="U16" s="249" t="s">
        <v>1448</v>
      </c>
      <c r="W16" s="249" t="s">
        <v>1448</v>
      </c>
      <c r="Y16" s="249"/>
      <c r="AA16" s="249" t="s">
        <v>1448</v>
      </c>
    </row>
    <row r="17" spans="3:27">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row>
    <row r="18" spans="3:27">
      <c r="C18" s="250"/>
      <c r="D18" s="250"/>
      <c r="E18" s="250"/>
      <c r="F18" s="250"/>
      <c r="G18" s="250"/>
      <c r="H18" s="250"/>
      <c r="I18" s="250"/>
      <c r="J18" s="250"/>
      <c r="K18" s="250"/>
      <c r="L18" s="251" t="s">
        <v>315</v>
      </c>
      <c r="M18" s="250">
        <f>SUM(M9:M17)</f>
        <v>9478.4337500000001</v>
      </c>
      <c r="N18" s="251" t="s">
        <v>315</v>
      </c>
      <c r="O18" s="250">
        <f>SUM(O9:O17)</f>
        <v>1895.6867500000001</v>
      </c>
      <c r="P18" s="251" t="s">
        <v>315</v>
      </c>
      <c r="Q18" s="250">
        <f>SUM(Q9:Q17)</f>
        <v>11374.120500000001</v>
      </c>
      <c r="R18" s="251" t="s">
        <v>315</v>
      </c>
      <c r="S18" s="250">
        <f>SUM(S9:S17)</f>
        <v>2843.5301250000002</v>
      </c>
      <c r="T18" s="251" t="s">
        <v>315</v>
      </c>
      <c r="U18" s="250">
        <f>SUM(U9:U17)</f>
        <v>2843.5301250000002</v>
      </c>
      <c r="V18" s="251" t="s">
        <v>315</v>
      </c>
      <c r="W18" s="250">
        <f>SUM(W9:W17)</f>
        <v>2843.5301250000002</v>
      </c>
      <c r="X18" s="251" t="s">
        <v>315</v>
      </c>
      <c r="Y18" s="250">
        <f>SUM(Y9:Y17)</f>
        <v>2843.5301250000002</v>
      </c>
      <c r="Z18" s="251" t="s">
        <v>315</v>
      </c>
      <c r="AA18" s="250">
        <f>SUM(AA9:AA17)</f>
        <v>11374.120500000001</v>
      </c>
    </row>
    <row r="19" spans="3:27">
      <c r="C19" s="250"/>
      <c r="D19" s="250"/>
      <c r="E19" s="250"/>
      <c r="F19" s="250"/>
      <c r="G19" s="250"/>
      <c r="H19" s="250"/>
      <c r="I19" s="250"/>
      <c r="M19" s="249" t="s">
        <v>1449</v>
      </c>
      <c r="O19" s="249" t="s">
        <v>1449</v>
      </c>
      <c r="Q19" s="249" t="s">
        <v>1449</v>
      </c>
      <c r="S19" s="249" t="s">
        <v>1449</v>
      </c>
      <c r="U19" s="249" t="s">
        <v>1449</v>
      </c>
      <c r="W19" s="249" t="s">
        <v>1449</v>
      </c>
      <c r="X19" s="249"/>
      <c r="Y19" s="249"/>
      <c r="AA19" s="249" t="s">
        <v>1449</v>
      </c>
    </row>
    <row r="20" spans="3:27">
      <c r="C20" s="250"/>
      <c r="D20" s="250"/>
      <c r="E20" s="250"/>
      <c r="F20" s="250"/>
      <c r="G20" s="250"/>
      <c r="H20" s="250"/>
      <c r="I20" s="250"/>
    </row>
    <row r="22" spans="3:27">
      <c r="M22" s="589"/>
      <c r="Q22" s="589" t="s">
        <v>1774</v>
      </c>
      <c r="S22" s="590">
        <v>3299.98</v>
      </c>
      <c r="U22" s="590">
        <v>3299.98</v>
      </c>
      <c r="W22" s="590">
        <v>3299.98</v>
      </c>
      <c r="Y22" s="247">
        <v>3299.98</v>
      </c>
      <c r="AA22" s="590">
        <f>SUM(S22+U22+W22+Y22)</f>
        <v>13199.92</v>
      </c>
    </row>
    <row r="25" spans="3:27" ht="15.75" thickBot="1">
      <c r="Q25" s="589" t="s">
        <v>1775</v>
      </c>
      <c r="S25" s="591">
        <f>S22-S18</f>
        <v>456.44987499999979</v>
      </c>
      <c r="U25" s="591">
        <f>U22-U18</f>
        <v>456.44987499999979</v>
      </c>
      <c r="W25" s="591">
        <f>W22-W18</f>
        <v>456.44987499999979</v>
      </c>
      <c r="Y25" s="591">
        <f>Y22-Y18</f>
        <v>456.44987499999979</v>
      </c>
      <c r="AA25" s="591">
        <f>AA22-AA18</f>
        <v>1825.7994999999992</v>
      </c>
    </row>
    <row r="26" spans="3:27" ht="15.75" thickTop="1"/>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25" right="0.25" top="0.25" bottom="0.25" header="0.3" footer="0.3"/>
  <pageSetup scale="73" orientation="landscape"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topLeftCell="A19" workbookViewId="0">
      <selection activeCell="C157" sqref="C157"/>
    </sheetView>
  </sheetViews>
  <sheetFormatPr defaultRowHeight="12.75"/>
  <cols>
    <col min="1" max="1" width="4.28515625" style="254" customWidth="1"/>
    <col min="3" max="3" width="16.85546875" customWidth="1"/>
    <col min="4" max="4" width="17.7109375" customWidth="1"/>
    <col min="5" max="6" width="15.140625" customWidth="1"/>
    <col min="7" max="8" width="16.7109375" customWidth="1"/>
    <col min="9" max="9" width="16.5703125" customWidth="1"/>
  </cols>
  <sheetData>
    <row r="1" spans="1:11" ht="24.75" customHeight="1">
      <c r="B1" s="8" t="s">
        <v>1668</v>
      </c>
      <c r="C1" s="51"/>
      <c r="D1" s="51"/>
      <c r="E1" s="51"/>
    </row>
    <row r="2" spans="1:11" hidden="1">
      <c r="A2" s="1754"/>
      <c r="B2" s="50" t="s">
        <v>511</v>
      </c>
      <c r="C2" s="33" t="s">
        <v>512</v>
      </c>
      <c r="D2" s="562" t="s">
        <v>1669</v>
      </c>
      <c r="E2" s="34" t="s">
        <v>513</v>
      </c>
      <c r="F2" s="34" t="s">
        <v>514</v>
      </c>
      <c r="G2" s="238" t="s">
        <v>515</v>
      </c>
      <c r="H2" s="34"/>
      <c r="I2" s="34"/>
      <c r="J2" s="34"/>
      <c r="K2" s="533"/>
    </row>
    <row r="3" spans="1:11" hidden="1">
      <c r="A3" s="1755"/>
      <c r="B3" s="239"/>
      <c r="C3" s="240"/>
      <c r="D3" s="51"/>
      <c r="E3" s="51"/>
      <c r="K3" s="119"/>
    </row>
    <row r="4" spans="1:11" hidden="1">
      <c r="A4" s="1755"/>
      <c r="B4" s="49" t="s">
        <v>516</v>
      </c>
      <c r="C4" s="31" t="s">
        <v>517</v>
      </c>
      <c r="D4" t="s">
        <v>518</v>
      </c>
      <c r="E4" s="51" t="s">
        <v>513</v>
      </c>
      <c r="F4" t="s">
        <v>519</v>
      </c>
      <c r="G4" t="s">
        <v>520</v>
      </c>
      <c r="H4" s="51" t="s">
        <v>513</v>
      </c>
      <c r="I4" t="s">
        <v>512</v>
      </c>
      <c r="J4" t="s">
        <v>521</v>
      </c>
      <c r="K4" s="576"/>
    </row>
    <row r="5" spans="1:11" hidden="1">
      <c r="A5" s="1755"/>
      <c r="B5" s="115" t="s">
        <v>522</v>
      </c>
      <c r="C5" s="44"/>
      <c r="D5" s="32"/>
      <c r="E5" s="32"/>
      <c r="F5" s="32"/>
      <c r="G5" s="241" t="s">
        <v>523</v>
      </c>
      <c r="H5" s="242" t="s">
        <v>513</v>
      </c>
      <c r="I5" s="32" t="s">
        <v>524</v>
      </c>
      <c r="J5" s="32" t="s">
        <v>1547</v>
      </c>
      <c r="K5" s="45"/>
    </row>
    <row r="6" spans="1:11" hidden="1">
      <c r="A6" s="1755"/>
      <c r="B6" s="49"/>
      <c r="C6" s="31"/>
      <c r="G6" s="243"/>
      <c r="H6" s="51"/>
      <c r="K6" s="119"/>
    </row>
    <row r="7" spans="1:11" hidden="1">
      <c r="A7" s="1755"/>
      <c r="B7" s="49" t="s">
        <v>516</v>
      </c>
      <c r="C7" s="31" t="s">
        <v>519</v>
      </c>
      <c r="D7" t="s">
        <v>525</v>
      </c>
      <c r="E7" s="51" t="s">
        <v>513</v>
      </c>
      <c r="F7" t="s">
        <v>526</v>
      </c>
      <c r="G7" t="s">
        <v>527</v>
      </c>
      <c r="H7" s="51" t="s">
        <v>513</v>
      </c>
      <c r="I7" t="s">
        <v>528</v>
      </c>
      <c r="J7" t="s">
        <v>529</v>
      </c>
      <c r="K7" s="119"/>
    </row>
    <row r="8" spans="1:11" hidden="1">
      <c r="A8" s="1755"/>
      <c r="B8" s="115" t="s">
        <v>530</v>
      </c>
      <c r="C8" s="44"/>
      <c r="D8" s="32"/>
      <c r="E8" s="32" t="s">
        <v>531</v>
      </c>
      <c r="F8" s="32"/>
      <c r="G8" s="32"/>
      <c r="H8" s="242"/>
      <c r="I8" s="32"/>
      <c r="J8" s="32"/>
      <c r="K8" s="45"/>
    </row>
    <row r="9" spans="1:11" hidden="1">
      <c r="A9" s="1755"/>
      <c r="B9" s="49"/>
      <c r="C9" s="31"/>
      <c r="H9" s="51"/>
      <c r="K9" s="576"/>
    </row>
    <row r="10" spans="1:11" hidden="1">
      <c r="A10" s="1755"/>
      <c r="B10" s="49" t="s">
        <v>532</v>
      </c>
      <c r="C10" s="31" t="s">
        <v>517</v>
      </c>
      <c r="D10" t="s">
        <v>529</v>
      </c>
      <c r="E10" s="51" t="s">
        <v>513</v>
      </c>
      <c r="F10" t="s">
        <v>519</v>
      </c>
      <c r="G10" t="s">
        <v>533</v>
      </c>
      <c r="H10" s="51" t="s">
        <v>534</v>
      </c>
      <c r="I10" t="s">
        <v>535</v>
      </c>
      <c r="J10" t="s">
        <v>1548</v>
      </c>
      <c r="K10" s="119"/>
    </row>
    <row r="11" spans="1:11" hidden="1">
      <c r="A11" s="1755"/>
      <c r="B11" s="115" t="s">
        <v>522</v>
      </c>
      <c r="C11" s="44"/>
      <c r="D11" s="32"/>
      <c r="E11" s="32"/>
      <c r="F11" s="32"/>
      <c r="G11" s="241" t="s">
        <v>523</v>
      </c>
      <c r="H11" s="242" t="s">
        <v>513</v>
      </c>
      <c r="I11" s="32" t="s">
        <v>536</v>
      </c>
      <c r="J11" s="32" t="s">
        <v>537</v>
      </c>
      <c r="K11" s="45"/>
    </row>
    <row r="12" spans="1:11" hidden="1">
      <c r="A12" s="1755"/>
      <c r="B12" s="49" t="s">
        <v>532</v>
      </c>
      <c r="C12" s="31"/>
      <c r="G12" s="243"/>
      <c r="H12" s="51"/>
      <c r="K12" s="119"/>
    </row>
    <row r="13" spans="1:11" hidden="1">
      <c r="A13" s="1755"/>
      <c r="B13" s="115" t="s">
        <v>530</v>
      </c>
      <c r="C13" s="44" t="s">
        <v>519</v>
      </c>
      <c r="D13" s="32" t="s">
        <v>538</v>
      </c>
      <c r="E13" s="242" t="s">
        <v>513</v>
      </c>
      <c r="F13" s="32" t="s">
        <v>536</v>
      </c>
      <c r="G13" s="32" t="s">
        <v>539</v>
      </c>
      <c r="H13" s="242"/>
      <c r="I13" s="32"/>
      <c r="J13" s="32"/>
      <c r="K13" s="45"/>
    </row>
    <row r="14" spans="1:11" hidden="1">
      <c r="A14" s="1755"/>
      <c r="B14" s="49" t="s">
        <v>516</v>
      </c>
      <c r="C14" s="31"/>
      <c r="D14" s="29"/>
      <c r="E14" s="244"/>
      <c r="F14" s="29"/>
      <c r="G14" s="29"/>
      <c r="H14" s="244"/>
      <c r="I14" s="29"/>
      <c r="J14" s="29"/>
      <c r="K14" s="119"/>
    </row>
    <row r="15" spans="1:11" hidden="1">
      <c r="A15" s="1755"/>
      <c r="B15" s="49" t="s">
        <v>540</v>
      </c>
      <c r="C15" s="29" t="s">
        <v>519</v>
      </c>
      <c r="D15" s="244" t="s">
        <v>1730</v>
      </c>
      <c r="E15" s="29"/>
      <c r="F15" s="29"/>
      <c r="G15" s="29"/>
      <c r="H15" s="244" t="s">
        <v>513</v>
      </c>
      <c r="I15" s="29" t="s">
        <v>541</v>
      </c>
      <c r="J15" s="29"/>
      <c r="K15" s="119"/>
    </row>
    <row r="16" spans="1:11" hidden="1">
      <c r="A16" s="1755"/>
      <c r="B16" s="115"/>
      <c r="C16" s="44" t="s">
        <v>542</v>
      </c>
      <c r="D16" s="32" t="s">
        <v>543</v>
      </c>
      <c r="E16" s="32"/>
      <c r="F16" s="32"/>
      <c r="G16" s="32"/>
      <c r="H16" s="242"/>
      <c r="I16" s="32"/>
      <c r="J16" s="32"/>
      <c r="K16" s="45"/>
    </row>
    <row r="17" spans="1:11" hidden="1">
      <c r="A17" s="1755"/>
      <c r="B17" s="49" t="s">
        <v>532</v>
      </c>
      <c r="C17" s="31"/>
      <c r="H17" s="19"/>
      <c r="K17" s="119"/>
    </row>
    <row r="18" spans="1:11" hidden="1">
      <c r="A18" s="1755"/>
      <c r="B18" s="115" t="s">
        <v>540</v>
      </c>
      <c r="C18" s="44" t="s">
        <v>519</v>
      </c>
      <c r="D18" s="32" t="s">
        <v>544</v>
      </c>
      <c r="E18" s="32"/>
      <c r="F18" s="32"/>
      <c r="G18" s="32"/>
      <c r="H18" s="32"/>
      <c r="I18" s="32"/>
      <c r="J18" s="32"/>
      <c r="K18" s="45"/>
    </row>
    <row r="21" spans="1:11">
      <c r="A21" s="254">
        <v>1</v>
      </c>
      <c r="B21" s="18" t="s">
        <v>1561</v>
      </c>
      <c r="C21" s="574"/>
      <c r="D21" s="574"/>
      <c r="E21" s="574"/>
    </row>
    <row r="22" spans="1:11">
      <c r="B22" t="s">
        <v>512</v>
      </c>
      <c r="C22" s="558">
        <f>'GOVERNMENTAL FUNDS - BS(15)'!D72</f>
        <v>135861.18</v>
      </c>
      <c r="E22" s="51"/>
    </row>
    <row r="23" spans="1:11">
      <c r="B23" t="s">
        <v>514</v>
      </c>
      <c r="C23" s="558">
        <f>'GOVERMENTAL FUNDS-OPERATING(16)'!D57</f>
        <v>135861.18000000002</v>
      </c>
    </row>
    <row r="24" spans="1:11">
      <c r="B24" s="787" t="s">
        <v>3199</v>
      </c>
      <c r="C24" s="558">
        <f>'GENERAL FUND-OPERATING(48-53)'!E298</f>
        <v>135861.18000000005</v>
      </c>
    </row>
    <row r="26" spans="1:11">
      <c r="A26" s="254">
        <v>2</v>
      </c>
      <c r="B26" s="18" t="s">
        <v>1645</v>
      </c>
      <c r="C26" s="574"/>
    </row>
    <row r="27" spans="1:11">
      <c r="B27" s="51"/>
      <c r="C27" s="242" t="s">
        <v>1646</v>
      </c>
      <c r="D27" s="242" t="s">
        <v>1647</v>
      </c>
      <c r="E27" s="242" t="s">
        <v>1648</v>
      </c>
      <c r="F27" s="242" t="s">
        <v>1731</v>
      </c>
      <c r="G27" s="242" t="s">
        <v>1649</v>
      </c>
      <c r="H27" s="242" t="s">
        <v>1651</v>
      </c>
      <c r="I27" s="242" t="s">
        <v>1650</v>
      </c>
    </row>
    <row r="28" spans="1:11">
      <c r="B28" s="51" t="s">
        <v>512</v>
      </c>
      <c r="C28" s="558">
        <f>'GOVERNMENTAL FUNDS - BS(15)'!E72</f>
        <v>2416.62</v>
      </c>
      <c r="D28" s="558">
        <f>'GOVERNMENTAL FUNDS - BS(15)'!F72</f>
        <v>34582.89</v>
      </c>
      <c r="E28" s="558">
        <f>'GOVERNMENTAL FUNDS - BS(15)'!G72</f>
        <v>5126.08</v>
      </c>
      <c r="F28" s="558">
        <f>'GOVERNMENTAL FUNDS - BS(15)'!H72</f>
        <v>6506</v>
      </c>
      <c r="G28" s="558">
        <f>'GOVERNMENTAL FUNDS - BS(15)'!I72</f>
        <v>0</v>
      </c>
      <c r="H28" s="558">
        <f>'GOVERNMENTAL FUNDS - BS(15)'!J72</f>
        <v>0</v>
      </c>
      <c r="I28" s="558">
        <f>'GOVERNMENTAL FUNDS - BS(15)'!K72</f>
        <v>0</v>
      </c>
    </row>
    <row r="29" spans="1:11">
      <c r="B29" s="51" t="s">
        <v>514</v>
      </c>
      <c r="C29" s="558">
        <f>'GOVERMENTAL FUNDS-OPERATING(16)'!E57</f>
        <v>2416.6200000000008</v>
      </c>
      <c r="D29" s="558">
        <f>'GOVERMENTAL FUNDS-OPERATING(16)'!F57</f>
        <v>34582.89</v>
      </c>
      <c r="E29" s="558">
        <f>'GOVERMENTAL FUNDS-OPERATING(16)'!G57</f>
        <v>5126.08</v>
      </c>
      <c r="F29" s="558">
        <f>'GOVERMENTAL FUNDS-OPERATING(16)'!H57</f>
        <v>6506</v>
      </c>
      <c r="G29" s="558">
        <f>'GOVERMENTAL FUNDS-OPERATING(16)'!I57</f>
        <v>0</v>
      </c>
      <c r="H29" s="558">
        <f>'GOVERMENTAL FUNDS-OPERATING(16)'!J57</f>
        <v>0</v>
      </c>
      <c r="I29" s="558">
        <f>'GOVERMENTAL FUNDS-OPERATING(16)'!K57</f>
        <v>0</v>
      </c>
    </row>
    <row r="30" spans="1:11">
      <c r="B30" s="51" t="s">
        <v>3200</v>
      </c>
      <c r="C30" s="558">
        <f>'OPER.-MAJOR SP. REV. (B)(57-59)'!E59</f>
        <v>2416.6200000000008</v>
      </c>
      <c r="D30" s="558">
        <f>'OPER.-MAJOR SP. REV. (B)(57-59)'!I59</f>
        <v>34582.89</v>
      </c>
      <c r="E30" s="558">
        <f>'OPER.-MAJOR SP. REV. (B)(57-59)'!M59</f>
        <v>5126.08</v>
      </c>
      <c r="F30" s="558">
        <f>'OPER.-MAJOR SP. REV. (B)(57-59)'!Q59</f>
        <v>6506</v>
      </c>
      <c r="G30" s="558">
        <f>'OPER.-MAJOR SP. REV. (B)(57-59)'!U59</f>
        <v>0</v>
      </c>
      <c r="H30" s="558">
        <f>'OPER.-MAJOR SP. REV. (B)(57-59)'!Y59</f>
        <v>0</v>
      </c>
      <c r="I30" s="558">
        <f>'OPER.-MAJOR SP. REV. (B)(57-59)'!AC59</f>
        <v>0</v>
      </c>
    </row>
    <row r="32" spans="1:11">
      <c r="A32" s="254">
        <v>3</v>
      </c>
      <c r="B32" s="18" t="s">
        <v>1652</v>
      </c>
      <c r="C32" s="574"/>
      <c r="D32" s="574"/>
      <c r="E32" s="574"/>
    </row>
    <row r="33" spans="1:7">
      <c r="B33" s="51" t="s">
        <v>512</v>
      </c>
      <c r="C33" s="558">
        <f>'GOVERNMENTAL FUNDS - BS(15)'!L72</f>
        <v>39017.380000000005</v>
      </c>
    </row>
    <row r="34" spans="1:7">
      <c r="B34" s="51" t="s">
        <v>514</v>
      </c>
      <c r="C34" s="558">
        <f>'GOVERMENTAL FUNDS-OPERATING(16)'!L57</f>
        <v>39017.379999999997</v>
      </c>
    </row>
    <row r="36" spans="1:7">
      <c r="A36" s="254">
        <v>4</v>
      </c>
      <c r="B36" s="18" t="s">
        <v>1653</v>
      </c>
      <c r="C36" s="574"/>
      <c r="D36" s="574"/>
    </row>
    <row r="37" spans="1:7">
      <c r="B37" s="51" t="s">
        <v>512</v>
      </c>
      <c r="C37" s="558">
        <f>'GOVERNMENTAL FUNDS - BS(15)'!M72</f>
        <v>223510.15</v>
      </c>
      <c r="E37" s="19" t="s">
        <v>1654</v>
      </c>
    </row>
    <row r="38" spans="1:7">
      <c r="B38" s="51" t="s">
        <v>514</v>
      </c>
      <c r="C38" s="558">
        <f>'GOVERMENTAL FUNDS-OPERATING(16)'!M57</f>
        <v>223510.15000000002</v>
      </c>
      <c r="E38" s="19" t="s">
        <v>1655</v>
      </c>
    </row>
    <row r="40" spans="1:7">
      <c r="A40" s="257" t="s">
        <v>1662</v>
      </c>
      <c r="B40" s="18" t="s">
        <v>1656</v>
      </c>
      <c r="C40" s="574"/>
      <c r="D40" s="574"/>
      <c r="E40" s="574"/>
    </row>
    <row r="41" spans="1:7">
      <c r="B41" s="51" t="s">
        <v>1705</v>
      </c>
      <c r="C41" s="558">
        <f>'BS-NONMAJOR SP. REVENUE(63-64) '!BN60</f>
        <v>30022.36</v>
      </c>
    </row>
    <row r="42" spans="1:7">
      <c r="B42" s="51" t="s">
        <v>3201</v>
      </c>
      <c r="C42" s="558">
        <f>'OPER.-NONMAJOR SP. REVE (B)(66)'!IS59</f>
        <v>30022.36</v>
      </c>
    </row>
    <row r="44" spans="1:7">
      <c r="A44" s="257" t="s">
        <v>1663</v>
      </c>
      <c r="B44" s="18" t="s">
        <v>1657</v>
      </c>
      <c r="C44" s="574"/>
      <c r="D44" s="574"/>
    </row>
    <row r="45" spans="1:7">
      <c r="B45" s="51" t="s">
        <v>3202</v>
      </c>
      <c r="C45" s="558">
        <f>'BS-NONMAJOR DEBT SERVICE(67-68)'!M58</f>
        <v>0</v>
      </c>
    </row>
    <row r="46" spans="1:7">
      <c r="B46" s="51" t="s">
        <v>1723</v>
      </c>
      <c r="C46" s="558">
        <f>'OPER.-NONMAJOR DEBT SER.(69-70)'!AS49</f>
        <v>0</v>
      </c>
      <c r="G46" s="51" t="s">
        <v>1660</v>
      </c>
    </row>
    <row r="47" spans="1:7">
      <c r="G47" s="51" t="s">
        <v>1661</v>
      </c>
    </row>
    <row r="48" spans="1:7">
      <c r="A48" s="257" t="s">
        <v>1664</v>
      </c>
      <c r="B48" s="18" t="s">
        <v>1658</v>
      </c>
      <c r="C48" s="574"/>
      <c r="D48" s="574"/>
      <c r="E48" s="574"/>
      <c r="G48" s="51" t="s">
        <v>1667</v>
      </c>
    </row>
    <row r="49" spans="1:7">
      <c r="B49" s="51" t="s">
        <v>3203</v>
      </c>
      <c r="C49" s="558">
        <f>'BS-NONMAJOR CAP. PROJ.(71-72)'!N58</f>
        <v>8995.02</v>
      </c>
      <c r="G49" s="51" t="s">
        <v>1666</v>
      </c>
    </row>
    <row r="50" spans="1:7">
      <c r="B50" s="51" t="s">
        <v>3204</v>
      </c>
      <c r="C50" s="558">
        <f>'OPER.-NONMAJOR CAP. PROJ(73-74)'!AW52</f>
        <v>8995.02</v>
      </c>
    </row>
    <row r="52" spans="1:7">
      <c r="A52" s="257" t="s">
        <v>1665</v>
      </c>
      <c r="B52" s="18" t="s">
        <v>1659</v>
      </c>
      <c r="C52" s="574"/>
      <c r="D52" s="574"/>
    </row>
    <row r="53" spans="1:7">
      <c r="B53" s="51" t="s">
        <v>3205</v>
      </c>
      <c r="C53" s="558">
        <f>'BS-PERMANENT FUNDS(75-76)'!H58</f>
        <v>0</v>
      </c>
    </row>
    <row r="54" spans="1:7">
      <c r="B54" s="51" t="s">
        <v>3206</v>
      </c>
      <c r="C54" s="558">
        <f>'OPER.-PERMANENT FUNDS(77-78)'!H52</f>
        <v>0</v>
      </c>
    </row>
    <row r="59" spans="1:7">
      <c r="B59" s="18" t="s">
        <v>1679</v>
      </c>
    </row>
    <row r="60" spans="1:7">
      <c r="A60" s="257" t="s">
        <v>1676</v>
      </c>
      <c r="B60" s="51" t="s">
        <v>1680</v>
      </c>
    </row>
    <row r="61" spans="1:7">
      <c r="B61" s="51" t="s">
        <v>1670</v>
      </c>
      <c r="C61" s="558">
        <f>'GOV CAP ASSETS-9000(GCAAG)'!E11+'GOV CAP ASSETS-9000(GCAAG)'!E12+'GOV CAP ASSETS-9000(GCAAG)'!E13+'GOV CAP ASSETS-9000(GCAAG)'!E16+'GOV CAP ASSETS-9000(GCAAG)'!E19+'GOV CAP ASSETS-9000(GCAAG)'!E22+'GOV CAP ASSETS-9000(GCAAG)'!E25</f>
        <v>70261.59</v>
      </c>
    </row>
    <row r="62" spans="1:7">
      <c r="B62" s="51" t="s">
        <v>1671</v>
      </c>
      <c r="C62" s="558">
        <f>'OP Conversion'!C35</f>
        <v>70261.59</v>
      </c>
    </row>
    <row r="64" spans="1:7">
      <c r="A64" s="257" t="s">
        <v>1677</v>
      </c>
      <c r="B64" s="51" t="s">
        <v>1681</v>
      </c>
    </row>
    <row r="65" spans="1:3">
      <c r="B65" s="51" t="s">
        <v>1672</v>
      </c>
      <c r="C65" s="558">
        <f>'GOV DEBT-9500(GLTDAG)'!D20+'GOV DEBT-9500(GLTDAG)'!D22+'GOV DEBT-9500(GLTDAG)'!D24+'GOV DEBT-9500(GLTDAG)'!D25+'GOV DEBT-9500(GLTDAG)'!D26+'GOV DEBT-9500(GLTDAG)'!D27+'GOV DEBT-9500(GLTDAG)'!D29+'GOV DEBT-9500(GLTDAG)'!D31+'GOV DEBT-9500(GLTDAG)'!D33+'GOV DEBT-9500(GLTDAG)'!D35+'GOV DEBT-9500(GLTDAG)'!D37</f>
        <v>6927.17</v>
      </c>
    </row>
    <row r="66" spans="1:3">
      <c r="B66" s="51" t="s">
        <v>1671</v>
      </c>
      <c r="C66" s="558">
        <f>'OP Conversion'!C32</f>
        <v>6927.17</v>
      </c>
    </row>
    <row r="68" spans="1:3">
      <c r="A68" s="257" t="s">
        <v>1678</v>
      </c>
      <c r="B68" s="51" t="s">
        <v>1673</v>
      </c>
    </row>
    <row r="69" spans="1:3">
      <c r="B69" s="51" t="s">
        <v>1674</v>
      </c>
      <c r="C69" s="558">
        <f>'GOV DEBT-9500(GLTDAG)'!D40+'GOV DEBT-9500(GLTDAG)'!E40</f>
        <v>456.45</v>
      </c>
    </row>
    <row r="70" spans="1:3">
      <c r="B70" s="51" t="s">
        <v>1675</v>
      </c>
      <c r="C70" s="558">
        <f>'OP Conversion'!M38</f>
        <v>-456.45</v>
      </c>
    </row>
    <row r="72" spans="1:3">
      <c r="A72" s="254">
        <v>7</v>
      </c>
      <c r="B72" s="18" t="s">
        <v>1682</v>
      </c>
    </row>
    <row r="73" spans="1:3">
      <c r="B73" s="51" t="s">
        <v>1683</v>
      </c>
      <c r="C73" s="558">
        <f>'BS Conversion'!M68</f>
        <v>274373.53000000014</v>
      </c>
    </row>
    <row r="74" spans="1:3">
      <c r="B74" s="51" t="s">
        <v>526</v>
      </c>
      <c r="C74" s="558">
        <f>'OP Conversion'!Q57</f>
        <v>274373.53000000009</v>
      </c>
    </row>
    <row r="76" spans="1:3">
      <c r="A76" s="254">
        <v>8</v>
      </c>
      <c r="B76" s="18" t="s">
        <v>1684</v>
      </c>
    </row>
    <row r="77" spans="1:3">
      <c r="B77" s="51" t="s">
        <v>1685</v>
      </c>
      <c r="C77" s="558">
        <f>'Revenue Analysis'!N8</f>
        <v>291332.52999999997</v>
      </c>
    </row>
    <row r="78" spans="1:3">
      <c r="B78" s="51" t="s">
        <v>1686</v>
      </c>
      <c r="C78" s="558">
        <f>'Revenue Analysis'!N37</f>
        <v>291332.52999999997</v>
      </c>
    </row>
    <row r="80" spans="1:3">
      <c r="A80" s="254">
        <v>9</v>
      </c>
      <c r="B80" s="18" t="s">
        <v>1687</v>
      </c>
    </row>
    <row r="81" spans="1:7">
      <c r="B81" s="51" t="s">
        <v>3207</v>
      </c>
      <c r="C81" s="577">
        <f>'FED.-ST. INTERGOVERNMENTAL(85)'!D64</f>
        <v>146049.54999999999</v>
      </c>
    </row>
    <row r="82" spans="1:7">
      <c r="B82" s="257" t="s">
        <v>1688</v>
      </c>
      <c r="C82" s="558">
        <f>'GOVERMENTAL FUNDS-OPERATING(16)'!M13</f>
        <v>133039.45000000001</v>
      </c>
    </row>
    <row r="83" spans="1:7">
      <c r="B83" s="257" t="s">
        <v>1690</v>
      </c>
      <c r="C83" s="558">
        <f>'CHANGE NET POSITION-PROP.(19)'!H32</f>
        <v>13010.1</v>
      </c>
    </row>
    <row r="84" spans="1:7">
      <c r="B84" s="257" t="s">
        <v>1691</v>
      </c>
      <c r="C84" s="577">
        <f>'CHANGE NET POSITION-FIDUC(22)'!D13+'CHANGE NET POSITION-FIDUC(22)'!E13+'CHANGE NET POSITION-FIDUC(22)'!F13</f>
        <v>0</v>
      </c>
    </row>
    <row r="85" spans="1:7">
      <c r="B85" s="51" t="s">
        <v>1689</v>
      </c>
      <c r="C85" s="558">
        <f>C82+C83+C84</f>
        <v>146049.55000000002</v>
      </c>
    </row>
    <row r="86" spans="1:7">
      <c r="B86" s="51"/>
      <c r="C86" s="558"/>
    </row>
    <row r="87" spans="1:7">
      <c r="A87" s="254">
        <v>10</v>
      </c>
      <c r="B87" s="17" t="s">
        <v>1819</v>
      </c>
      <c r="C87" s="558"/>
    </row>
    <row r="88" spans="1:7">
      <c r="B88" s="51" t="s">
        <v>519</v>
      </c>
      <c r="C88" s="558">
        <f>'GW-STATEMENT OF ACTIVITIES(14)'!H57</f>
        <v>-16586.250000000058</v>
      </c>
    </row>
    <row r="89" spans="1:7">
      <c r="B89" s="51" t="s">
        <v>528</v>
      </c>
      <c r="C89" s="558">
        <f>'RECONCILIATION OF OPERATING(17)'!C57</f>
        <v>-16586.250000000036</v>
      </c>
    </row>
    <row r="90" spans="1:7">
      <c r="B90" s="51" t="s">
        <v>526</v>
      </c>
      <c r="C90" s="558">
        <f>'OP Conversion'!Q53</f>
        <v>-16586.250000000058</v>
      </c>
    </row>
    <row r="92" spans="1:7">
      <c r="A92" s="254">
        <v>11</v>
      </c>
      <c r="B92" s="18" t="s">
        <v>1692</v>
      </c>
      <c r="C92" s="18"/>
    </row>
    <row r="93" spans="1:7">
      <c r="B93" s="51" t="s">
        <v>1693</v>
      </c>
      <c r="C93" s="558">
        <f>'GW-STATEMENT NET POSITION(13)'!B67</f>
        <v>274373.53000000014</v>
      </c>
    </row>
    <row r="94" spans="1:7">
      <c r="B94" s="51" t="s">
        <v>519</v>
      </c>
      <c r="C94" s="558">
        <f>'GW-STATEMENT OF ACTIVITIES(14)'!H61</f>
        <v>274373.53000000009</v>
      </c>
      <c r="G94" s="51" t="s">
        <v>1695</v>
      </c>
    </row>
    <row r="95" spans="1:7">
      <c r="B95" s="51" t="s">
        <v>512</v>
      </c>
      <c r="C95" s="558">
        <f>'GOVERNMENTAL FUNDS - BS(15)'!M92</f>
        <v>274373.53000000009</v>
      </c>
      <c r="G95" s="51" t="s">
        <v>1696</v>
      </c>
    </row>
    <row r="96" spans="1:7">
      <c r="B96" s="51" t="s">
        <v>1694</v>
      </c>
      <c r="C96" s="558">
        <f>'BS Conversion'!M68</f>
        <v>274373.53000000014</v>
      </c>
      <c r="G96" s="51" t="s">
        <v>1732</v>
      </c>
    </row>
    <row r="97" spans="1:8">
      <c r="B97" s="51" t="s">
        <v>526</v>
      </c>
      <c r="C97" s="558">
        <f>'OP Conversion'!Q57</f>
        <v>274373.53000000009</v>
      </c>
    </row>
    <row r="99" spans="1:8">
      <c r="A99" s="254">
        <v>12</v>
      </c>
      <c r="B99" s="18" t="s">
        <v>1728</v>
      </c>
    </row>
    <row r="100" spans="1:8">
      <c r="B100" s="51"/>
      <c r="C100" s="51" t="s">
        <v>680</v>
      </c>
      <c r="D100" s="51" t="s">
        <v>1699</v>
      </c>
      <c r="E100" s="51" t="s">
        <v>1700</v>
      </c>
    </row>
    <row r="101" spans="1:8">
      <c r="B101" s="51" t="s">
        <v>1697</v>
      </c>
      <c r="C101" s="558">
        <f>'NET POSITION-FIDUCIARY(21)'!D36</f>
        <v>0</v>
      </c>
      <c r="D101" s="558">
        <f>'NET POSITION-FIDUCIARY(21)'!E36</f>
        <v>0</v>
      </c>
      <c r="E101" s="558">
        <f>'NET POSITION-FIDUCIARY(21)'!F36</f>
        <v>0</v>
      </c>
    </row>
    <row r="102" spans="1:8">
      <c r="B102" s="51" t="s">
        <v>1698</v>
      </c>
      <c r="C102" s="558">
        <f>'CHANGE NET POSITION-FIDUC(22)'!D34</f>
        <v>0</v>
      </c>
      <c r="D102" s="558">
        <f>'CHANGE NET POSITION-FIDUC(22)'!E34</f>
        <v>0</v>
      </c>
      <c r="E102" s="558">
        <f>'CHANGE NET POSITION-FIDUC(22)'!F34</f>
        <v>0</v>
      </c>
    </row>
    <row r="104" spans="1:8">
      <c r="A104" s="254">
        <v>13</v>
      </c>
      <c r="B104" s="18" t="s">
        <v>1701</v>
      </c>
      <c r="C104" s="18"/>
    </row>
    <row r="105" spans="1:8">
      <c r="B105" s="51"/>
      <c r="C105" s="51" t="s">
        <v>1702</v>
      </c>
      <c r="D105" s="51" t="s">
        <v>1703</v>
      </c>
      <c r="E105" s="51" t="s">
        <v>1646</v>
      </c>
      <c r="F105" s="51" t="s">
        <v>1647</v>
      </c>
      <c r="G105" s="51" t="s">
        <v>1707</v>
      </c>
      <c r="H105" s="560" t="s">
        <v>1704</v>
      </c>
    </row>
    <row r="106" spans="1:8">
      <c r="B106" s="51" t="s">
        <v>535</v>
      </c>
      <c r="C106" s="558">
        <f>'NET POSITION-PROPRIETARY(18)'!C85</f>
        <v>258344.81999999995</v>
      </c>
      <c r="D106" s="558">
        <f>'NET POSITION-PROPRIETARY(18)'!D85</f>
        <v>117106.36</v>
      </c>
      <c r="E106" s="558">
        <f>'NET POSITION-PROPRIETARY(18)'!E85</f>
        <v>13714.840000000007</v>
      </c>
      <c r="F106" s="558">
        <f>'NET POSITION-PROPRIETARY(18)'!F85</f>
        <v>0</v>
      </c>
      <c r="G106" s="558">
        <f>'NET POSITION-PROPRIETARY(18)'!G85</f>
        <v>0</v>
      </c>
      <c r="H106" s="558">
        <f>'NET POSITION-PROPRIETARY(18)'!H85</f>
        <v>389166.0199999999</v>
      </c>
    </row>
    <row r="107" spans="1:8">
      <c r="B107" s="51" t="s">
        <v>536</v>
      </c>
      <c r="C107" s="558">
        <f>'CHANGE NET POSITION-PROP.(19)'!C48</f>
        <v>258344.81999999998</v>
      </c>
      <c r="D107" s="558">
        <f>'CHANGE NET POSITION-PROP.(19)'!D48</f>
        <v>117106.36000000002</v>
      </c>
      <c r="E107" s="558">
        <f>'CHANGE NET POSITION-PROP.(19)'!E48</f>
        <v>13714.84</v>
      </c>
      <c r="F107" s="558">
        <f>'CHANGE NET POSITION-PROP.(19)'!F48</f>
        <v>0</v>
      </c>
      <c r="G107" s="558">
        <f>'CHANGE NET POSITION-PROP.(19)'!G48</f>
        <v>0</v>
      </c>
      <c r="H107" s="558">
        <f>'CHANGE NET POSITION-PROP.(19)'!H48</f>
        <v>389166.02</v>
      </c>
    </row>
    <row r="109" spans="1:8">
      <c r="A109" s="257" t="s">
        <v>1711</v>
      </c>
      <c r="B109" s="19" t="s">
        <v>1706</v>
      </c>
    </row>
    <row r="110" spans="1:8">
      <c r="B110" s="51"/>
      <c r="C110" s="51" t="s">
        <v>1703</v>
      </c>
      <c r="D110" s="51" t="s">
        <v>1646</v>
      </c>
      <c r="E110" s="51" t="s">
        <v>1647</v>
      </c>
      <c r="F110" s="51" t="s">
        <v>1648</v>
      </c>
      <c r="G110" s="560" t="s">
        <v>1704</v>
      </c>
    </row>
    <row r="111" spans="1:8">
      <c r="B111" s="51" t="s">
        <v>3208</v>
      </c>
      <c r="C111" s="558">
        <f>'NET POSIT-NONMAJOR ENTERPR(79)'!D84</f>
        <v>0</v>
      </c>
      <c r="D111" s="558">
        <f>'NET POSIT-NONMAJOR ENTERPR(79)'!E84</f>
        <v>0</v>
      </c>
      <c r="E111" s="558">
        <f>'NET POSIT-NONMAJOR ENTERPR(79)'!F84</f>
        <v>0</v>
      </c>
      <c r="F111" s="558">
        <f>'NET POSIT-NONMAJOR ENTERPR(79)'!G84</f>
        <v>0</v>
      </c>
      <c r="G111" s="558">
        <f>'NET POSIT-NONMAJOR ENTERPR(79)'!H84</f>
        <v>0</v>
      </c>
    </row>
    <row r="112" spans="1:8">
      <c r="B112" s="51" t="s">
        <v>3209</v>
      </c>
      <c r="C112" s="558">
        <f>'CHG. IN NP-NONMAJOR ENTERPR(80)'!D48</f>
        <v>0</v>
      </c>
      <c r="D112" s="558">
        <f>'CHG. IN NP-NONMAJOR ENTERPR(80)'!E48</f>
        <v>0</v>
      </c>
      <c r="E112" s="558">
        <f>'CHG. IN NP-NONMAJOR ENTERPR(80)'!F48</f>
        <v>0</v>
      </c>
      <c r="F112" s="558">
        <f>'CHG. IN NP-NONMAJOR ENTERPR(80)'!G48</f>
        <v>0</v>
      </c>
      <c r="G112" s="558">
        <f>'CHG. IN NP-NONMAJOR ENTERPR(80)'!H48</f>
        <v>0</v>
      </c>
    </row>
    <row r="113" spans="1:8">
      <c r="B113" s="51"/>
      <c r="C113" s="558"/>
      <c r="D113" s="558"/>
      <c r="E113" s="558"/>
      <c r="F113" s="558"/>
      <c r="G113" s="558"/>
    </row>
    <row r="114" spans="1:8">
      <c r="B114" s="51"/>
      <c r="C114" s="558"/>
      <c r="D114" s="558"/>
      <c r="E114" s="558"/>
      <c r="F114" s="558"/>
      <c r="G114" s="558"/>
    </row>
    <row r="115" spans="1:8">
      <c r="B115" s="51"/>
      <c r="C115" s="558"/>
      <c r="D115" s="558"/>
      <c r="E115" s="558"/>
      <c r="F115" s="558"/>
      <c r="G115" s="558"/>
    </row>
    <row r="117" spans="1:8">
      <c r="A117" s="254">
        <v>14</v>
      </c>
      <c r="B117" s="18" t="s">
        <v>1708</v>
      </c>
    </row>
    <row r="118" spans="1:8">
      <c r="B118" s="51"/>
      <c r="C118" s="51" t="s">
        <v>1702</v>
      </c>
      <c r="D118" s="51" t="s">
        <v>1703</v>
      </c>
      <c r="E118" s="51" t="s">
        <v>1646</v>
      </c>
      <c r="F118" s="51" t="s">
        <v>1647</v>
      </c>
      <c r="G118" s="51" t="s">
        <v>1707</v>
      </c>
      <c r="H118" s="560" t="s">
        <v>1704</v>
      </c>
    </row>
    <row r="119" spans="1:8">
      <c r="B119" s="51" t="s">
        <v>535</v>
      </c>
      <c r="C119" s="558">
        <f>'NET POSITION-PROPRIETARY(18)'!C13+'NET POSITION-PROPRIETARY(18)'!C14+'NET POSITION-PROPRIETARY(18)'!C15+'NET POSITION-PROPRIETARY(18)'!C25+'NET POSITION-PROPRIETARY(18)'!C26</f>
        <v>223994.42</v>
      </c>
      <c r="D119" s="558">
        <f>'NET POSITION-PROPRIETARY(18)'!D13+'NET POSITION-PROPRIETARY(18)'!D14+'NET POSITION-PROPRIETARY(18)'!D15+'NET POSITION-PROPRIETARY(18)'!D25+'NET POSITION-PROPRIETARY(18)'!D26</f>
        <v>71032.33</v>
      </c>
      <c r="E119" s="558">
        <f>'NET POSITION-PROPRIETARY(18)'!E13+'NET POSITION-PROPRIETARY(18)'!E14+'NET POSITION-PROPRIETARY(18)'!E15+'NET POSITION-PROPRIETARY(18)'!E25+'NET POSITION-PROPRIETARY(18)'!E26</f>
        <v>39283.949999999997</v>
      </c>
      <c r="F119" s="558">
        <f>'NET POSITION-PROPRIETARY(18)'!F13+'NET POSITION-PROPRIETARY(18)'!F14+'NET POSITION-PROPRIETARY(18)'!F15+'NET POSITION-PROPRIETARY(18)'!F25+'NET POSITION-PROPRIETARY(18)'!F26</f>
        <v>0</v>
      </c>
      <c r="G119" s="558">
        <f>'NET POSITION-PROPRIETARY(18)'!G13+'NET POSITION-PROPRIETARY(18)'!G14+'NET POSITION-PROPRIETARY(18)'!G15+'NET POSITION-PROPRIETARY(18)'!G25+'NET POSITION-PROPRIETARY(18)'!G26</f>
        <v>0</v>
      </c>
      <c r="H119" s="558">
        <f>'NET POSITION-PROPRIETARY(18)'!H13+'NET POSITION-PROPRIETARY(18)'!H14+'NET POSITION-PROPRIETARY(18)'!H15+'NET POSITION-PROPRIETARY(18)'!H25+'NET POSITION-PROPRIETARY(18)'!H26</f>
        <v>334310.7</v>
      </c>
    </row>
    <row r="120" spans="1:8">
      <c r="B120" s="51" t="s">
        <v>1709</v>
      </c>
      <c r="C120" s="558">
        <f>'ST. OF CASH FLOWS-PROP.(20)'!B39</f>
        <v>223994.41999999998</v>
      </c>
      <c r="D120" s="558">
        <f>'ST. OF CASH FLOWS-PROP.(20)'!C39</f>
        <v>71032.330000000016</v>
      </c>
      <c r="E120" s="558">
        <f>'ST. OF CASH FLOWS-PROP.(20)'!D39</f>
        <v>39283.949999999997</v>
      </c>
      <c r="F120" s="558">
        <f>'ST. OF CASH FLOWS-PROP.(20)'!E39</f>
        <v>0</v>
      </c>
      <c r="G120" s="558">
        <f>'ST. OF CASH FLOWS-PROP.(20)'!F39</f>
        <v>0</v>
      </c>
      <c r="H120" s="558">
        <f>'ST. OF CASH FLOWS-PROP.(20)'!G39</f>
        <v>334310.70000000007</v>
      </c>
    </row>
    <row r="122" spans="1:8">
      <c r="A122" s="257" t="s">
        <v>1717</v>
      </c>
      <c r="B122" s="19" t="s">
        <v>1710</v>
      </c>
    </row>
    <row r="123" spans="1:8">
      <c r="B123" s="51"/>
      <c r="C123" s="51" t="s">
        <v>1703</v>
      </c>
      <c r="D123" s="51" t="s">
        <v>1646</v>
      </c>
      <c r="E123" s="51" t="s">
        <v>1647</v>
      </c>
      <c r="F123" s="51" t="s">
        <v>1648</v>
      </c>
      <c r="G123" s="560" t="s">
        <v>1704</v>
      </c>
    </row>
    <row r="124" spans="1:8">
      <c r="B124" s="51" t="s">
        <v>3208</v>
      </c>
      <c r="C124" s="558">
        <f>'NET POSIT-NONMAJOR ENTERPR(79)'!D12+'NET POSIT-NONMAJOR ENTERPR(79)'!D13+'NET POSIT-NONMAJOR ENTERPR(79)'!D14+'NET POSIT-NONMAJOR ENTERPR(79)'!D24+'NET POSIT-NONMAJOR ENTERPR(79)'!D25</f>
        <v>0</v>
      </c>
      <c r="D124" s="558">
        <f>'NET POSIT-NONMAJOR ENTERPR(79)'!E12+'NET POSIT-NONMAJOR ENTERPR(79)'!E13+'NET POSIT-NONMAJOR ENTERPR(79)'!E14+'NET POSIT-NONMAJOR ENTERPR(79)'!E24+'NET POSIT-NONMAJOR ENTERPR(79)'!E25</f>
        <v>0</v>
      </c>
      <c r="E124" s="558">
        <f>'NET POSIT-NONMAJOR ENTERPR(79)'!F12+'NET POSIT-NONMAJOR ENTERPR(79)'!F13+'NET POSIT-NONMAJOR ENTERPR(79)'!F14+'NET POSIT-NONMAJOR ENTERPR(79)'!F24+'NET POSIT-NONMAJOR ENTERPR(79)'!F25</f>
        <v>0</v>
      </c>
      <c r="F124" s="558">
        <f>'NET POSIT-NONMAJOR ENTERPR(79)'!G12+'NET POSIT-NONMAJOR ENTERPR(79)'!G13+'NET POSIT-NONMAJOR ENTERPR(79)'!G14+'NET POSIT-NONMAJOR ENTERPR(79)'!G24+'NET POSIT-NONMAJOR ENTERPR(79)'!G25</f>
        <v>0</v>
      </c>
      <c r="G124" s="558">
        <f>'NET POSIT-NONMAJOR ENTERPR(79)'!H12+'NET POSIT-NONMAJOR ENTERPR(79)'!H13+'NET POSIT-NONMAJOR ENTERPR(79)'!H14+'NET POSIT-NONMAJOR ENTERPR(79)'!H24+'NET POSIT-NONMAJOR ENTERPR(79)'!H25</f>
        <v>0</v>
      </c>
    </row>
    <row r="125" spans="1:8">
      <c r="B125" s="51" t="s">
        <v>3213</v>
      </c>
      <c r="C125" s="558">
        <f>'NONMAJOR ENTERPR. CASH FLOW(81)'!B37</f>
        <v>0</v>
      </c>
      <c r="D125" s="558">
        <f>'NONMAJOR ENTERPR. CASH FLOW(81)'!C37</f>
        <v>0</v>
      </c>
      <c r="E125" s="558">
        <f>'NONMAJOR ENTERPR. CASH FLOW(81)'!D37</f>
        <v>0</v>
      </c>
      <c r="F125" s="558">
        <f>'NONMAJOR ENTERPR. CASH FLOW(81)'!E37</f>
        <v>0</v>
      </c>
      <c r="G125" s="558">
        <f>'NONMAJOR ENTERPR. CASH FLOW(81)'!F37</f>
        <v>0</v>
      </c>
    </row>
    <row r="126" spans="1:8">
      <c r="B126" s="51"/>
      <c r="C126" s="558"/>
      <c r="D126" s="558"/>
      <c r="E126" s="558"/>
      <c r="F126" s="558"/>
      <c r="G126" s="558"/>
    </row>
    <row r="127" spans="1:8">
      <c r="A127" s="254">
        <v>15</v>
      </c>
      <c r="B127" s="18" t="s">
        <v>1819</v>
      </c>
      <c r="C127" s="558"/>
      <c r="D127" s="558"/>
      <c r="E127" s="558"/>
      <c r="F127" s="558"/>
      <c r="G127" s="558"/>
    </row>
    <row r="128" spans="1:8">
      <c r="B128" s="51" t="s">
        <v>536</v>
      </c>
      <c r="C128" s="558">
        <f>'CHANGE NET POSITION-PROP.(19)'!H53</f>
        <v>61747.319999999992</v>
      </c>
      <c r="D128" s="558"/>
      <c r="E128" s="558"/>
      <c r="F128" s="558"/>
      <c r="G128" s="558"/>
    </row>
    <row r="129" spans="1:7">
      <c r="B129" s="51" t="s">
        <v>519</v>
      </c>
      <c r="C129" s="558">
        <f>'GW-STATEMENT OF ACTIVITIES(14)'!I57</f>
        <v>61747.319999999992</v>
      </c>
      <c r="D129" s="558"/>
      <c r="E129" s="558"/>
      <c r="F129" s="558"/>
      <c r="G129" s="558"/>
    </row>
    <row r="131" spans="1:7">
      <c r="A131" s="254">
        <v>16</v>
      </c>
      <c r="B131" s="18" t="s">
        <v>1716</v>
      </c>
    </row>
    <row r="132" spans="1:7">
      <c r="B132" s="51" t="s">
        <v>1712</v>
      </c>
      <c r="C132" s="558">
        <f>'GW-STATEMENT NET POSITION(13)'!C67</f>
        <v>389166.0199999999</v>
      </c>
    </row>
    <row r="133" spans="1:7">
      <c r="B133" s="51" t="s">
        <v>519</v>
      </c>
      <c r="C133" s="558">
        <f>'GW-STATEMENT OF ACTIVITIES(14)'!I61</f>
        <v>389166.02</v>
      </c>
      <c r="G133" s="51" t="s">
        <v>1714</v>
      </c>
    </row>
    <row r="134" spans="1:7">
      <c r="B134" s="51" t="s">
        <v>535</v>
      </c>
      <c r="C134" s="558">
        <f>'NET POSITION-PROPRIETARY(18)'!H85</f>
        <v>389166.0199999999</v>
      </c>
      <c r="G134" s="51" t="s">
        <v>1713</v>
      </c>
    </row>
    <row r="135" spans="1:7">
      <c r="B135" s="51" t="s">
        <v>536</v>
      </c>
      <c r="C135" s="558">
        <f>'CHANGE NET POSITION-PROP.(19)'!H48</f>
        <v>389166.02</v>
      </c>
      <c r="G135" s="51" t="s">
        <v>1715</v>
      </c>
    </row>
    <row r="137" spans="1:7">
      <c r="A137" s="254">
        <v>17</v>
      </c>
      <c r="B137" s="18" t="s">
        <v>1820</v>
      </c>
    </row>
    <row r="138" spans="1:7">
      <c r="B138" s="51" t="s">
        <v>1712</v>
      </c>
      <c r="C138" s="558">
        <f>'GW-STATEMENT NET POSITION(13)'!D67</f>
        <v>663539.55000000005</v>
      </c>
    </row>
    <row r="139" spans="1:7">
      <c r="B139" s="51" t="s">
        <v>519</v>
      </c>
      <c r="C139" s="558">
        <f>'GW-STATEMENT OF ACTIVITIES(14)'!J61</f>
        <v>663539.55000000016</v>
      </c>
    </row>
    <row r="141" spans="1:7">
      <c r="A141" s="254">
        <v>18</v>
      </c>
      <c r="B141" s="18" t="s">
        <v>1724</v>
      </c>
    </row>
    <row r="142" spans="1:7">
      <c r="B142" s="51" t="s">
        <v>3210</v>
      </c>
      <c r="C142" s="558">
        <f>'SCHEDULE OF REC. &amp; DISB.'!H141</f>
        <v>592852.10000000009</v>
      </c>
    </row>
    <row r="143" spans="1:7">
      <c r="B143" s="51" t="s">
        <v>3211</v>
      </c>
      <c r="C143" s="558">
        <f>'CASH RECONCILIATION(89)'!F43</f>
        <v>592852.1</v>
      </c>
    </row>
    <row r="145" spans="1:4">
      <c r="A145" s="254">
        <v>19</v>
      </c>
      <c r="B145" s="18" t="s">
        <v>1725</v>
      </c>
    </row>
    <row r="146" spans="1:4">
      <c r="B146" s="19" t="s">
        <v>1726</v>
      </c>
      <c r="D146" s="51" t="s">
        <v>1729</v>
      </c>
    </row>
    <row r="147" spans="1:4">
      <c r="B147" s="51" t="s">
        <v>1712</v>
      </c>
      <c r="C147" s="558">
        <f>'GW-STATEMENT NET POSITION(13)'!B9+'GW-STATEMENT NET POSITION(13)'!B10+'GW-STATEMENT NET POSITION(13)'!B11+'GW-STATEMENT NET POSITION(13)'!B13+'GW-STATEMENT NET POSITION(13)'!B14</f>
        <v>223387.40999999997</v>
      </c>
    </row>
    <row r="148" spans="1:4">
      <c r="B148" s="51" t="s">
        <v>3210</v>
      </c>
      <c r="C148" s="558">
        <f>'SCHEDULE OF REC. &amp; DISB.'!H6+'SCHEDULE OF REC. &amp; DISB.'!H61+'SCHEDULE OF REC. &amp; DISB.'!H69+'SCHEDULE OF REC. &amp; DISB.'!H75+'SCHEDULE OF REC. &amp; DISB.'!H140</f>
        <v>223387.41</v>
      </c>
      <c r="D148" s="783" t="s">
        <v>2615</v>
      </c>
    </row>
    <row r="150" spans="1:4">
      <c r="B150" s="19" t="s">
        <v>1727</v>
      </c>
      <c r="D150" s="51" t="s">
        <v>1729</v>
      </c>
    </row>
    <row r="151" spans="1:4">
      <c r="B151" s="51" t="s">
        <v>1712</v>
      </c>
      <c r="C151" s="558">
        <f>'GW-STATEMENT NET POSITION(13)'!C9+'GW-STATEMENT NET POSITION(13)'!C10+'GW-STATEMENT NET POSITION(13)'!C11+'GW-STATEMENT NET POSITION(13)'!C13+'GW-STATEMENT NET POSITION(13)'!C14</f>
        <v>334310.7</v>
      </c>
    </row>
    <row r="152" spans="1:4">
      <c r="B152" s="51" t="s">
        <v>535</v>
      </c>
      <c r="C152" s="558">
        <f>'NET POSITION-PROPRIETARY(18)'!H13+'NET POSITION-PROPRIETARY(18)'!H14+'NET POSITION-PROPRIETARY(18)'!H15+'NET POSITION-PROPRIETARY(18)'!H25+'NET POSITION-PROPRIETARY(18)'!H26</f>
        <v>334310.7</v>
      </c>
    </row>
    <row r="153" spans="1:4">
      <c r="B153" s="51" t="s">
        <v>3210</v>
      </c>
      <c r="C153" s="558">
        <f>'SCHEDULE OF REC. &amp; DISB.'!H84</f>
        <v>334310.70000000007</v>
      </c>
      <c r="D153" s="784" t="s">
        <v>2615</v>
      </c>
    </row>
    <row r="155" spans="1:4">
      <c r="B155" s="785" t="s">
        <v>1704</v>
      </c>
    </row>
    <row r="156" spans="1:4">
      <c r="B156" s="787" t="s">
        <v>1693</v>
      </c>
      <c r="C156" s="789">
        <f>'GW-STATEMENT NET POSITION(13)'!D9+'GW-STATEMENT NET POSITION(13)'!D10+'GW-STATEMENT NET POSITION(13)'!D11+'GW-STATEMENT NET POSITION(13)'!D13+'GW-STATEMENT NET POSITION(13)'!D14</f>
        <v>557698.11</v>
      </c>
    </row>
    <row r="157" spans="1:4">
      <c r="B157" s="787" t="s">
        <v>2616</v>
      </c>
      <c r="C157" s="789">
        <f>'NET POSITION-FIDUCIARY(21)'!D12+'NET POSITION-FIDUCIARY(21)'!E12+'NET POSITION-FIDUCIARY(21)'!F12+'NET POSITION-FIDUCIARY(21)'!G12+'NET POSITION-FIDUCIARY(21)'!D17+'NET POSITION-FIDUCIARY(21)'!E17+'NET POSITION-FIDUCIARY(21)'!F17+'NET POSITION-FIDUCIARY(21)'!G17</f>
        <v>35153.99</v>
      </c>
    </row>
    <row r="158" spans="1:4">
      <c r="B158" s="787" t="s">
        <v>3214</v>
      </c>
      <c r="C158" s="790">
        <f>'COMB. NET POS-IN. SER.(82)'!F12+'COMB. NET POS-IN. SER.(82)'!F13+'COMB. NET POS-IN. SER.(82)'!F14+'COMB. NET POS-IN. SER.(82)'!F24+'COMB. NET POS-IN. SER.(82)'!F25</f>
        <v>0</v>
      </c>
    </row>
    <row r="159" spans="1:4">
      <c r="B159" s="788" t="s">
        <v>2617</v>
      </c>
      <c r="C159" s="789">
        <f>SUM(C156:C158)</f>
        <v>592852.1</v>
      </c>
    </row>
    <row r="161" spans="2:4">
      <c r="B161" s="787" t="s">
        <v>3212</v>
      </c>
      <c r="C161" s="789">
        <f>'CASH RECONCILIATION(89)'!F43</f>
        <v>592852.1</v>
      </c>
      <c r="D161" s="787" t="s">
        <v>2618</v>
      </c>
    </row>
    <row r="162" spans="2:4">
      <c r="D162" s="787" t="s">
        <v>2619</v>
      </c>
    </row>
    <row r="163" spans="2:4">
      <c r="D163" s="787" t="s">
        <v>2620</v>
      </c>
    </row>
    <row r="164" spans="2:4">
      <c r="B164" s="787" t="s">
        <v>459</v>
      </c>
      <c r="C164" s="789">
        <f>'CASH RECONCILIATION(89)'!F21</f>
        <v>34475.99</v>
      </c>
    </row>
    <row r="165" spans="2:4">
      <c r="B165" s="787" t="s">
        <v>2621</v>
      </c>
      <c r="C165" s="786"/>
    </row>
    <row r="166" spans="2:4">
      <c r="C166" s="789">
        <f>C161+C164</f>
        <v>627328.09</v>
      </c>
      <c r="D166" s="787" t="s">
        <v>2622</v>
      </c>
    </row>
    <row r="167" spans="2:4">
      <c r="D167" s="787" t="s">
        <v>2623</v>
      </c>
    </row>
  </sheetData>
  <sheetProtection algorithmName="SHA-512" hashValue="wP5U/g79ZnhFcb6NyQdpB2YSpCi+uhPCUh/W+Altp0NyaQG+tGUn1zbSfWOpgPWgckcl/R0yw5Vh/sDLZ4aknQ==" saltValue="HviU1esifHFTrWdCznrA+A==" spinCount="100000" sheet="1" objects="1" scenarios="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F367"/>
  <sheetViews>
    <sheetView topLeftCell="A31" workbookViewId="0">
      <selection activeCell="M50" sqref="M50"/>
    </sheetView>
  </sheetViews>
  <sheetFormatPr defaultRowHeight="12.75"/>
  <cols>
    <col min="1" max="1" width="28.5703125" customWidth="1"/>
  </cols>
  <sheetData>
    <row r="1" spans="1:2" ht="18">
      <c r="A1" s="743" t="s">
        <v>2035</v>
      </c>
    </row>
    <row r="3" spans="1:2">
      <c r="A3" s="711" t="s">
        <v>2036</v>
      </c>
      <c r="B3" s="32"/>
    </row>
    <row r="4" spans="1:2">
      <c r="A4" t="str">
        <f>'COVER PAGE'!A30</f>
        <v>FISCAL YEAR ENDING JUNE 30, 2017</v>
      </c>
    </row>
    <row r="5" spans="1:2">
      <c r="A5" s="745">
        <f>VLOOKUP(A4,Year,2,FALSE)</f>
        <v>2017</v>
      </c>
    </row>
    <row r="6" spans="1:2">
      <c r="A6" s="51" t="s">
        <v>2037</v>
      </c>
      <c r="B6" s="51" t="s">
        <v>2038</v>
      </c>
    </row>
    <row r="7" spans="1:2">
      <c r="A7" s="744" t="s">
        <v>2039</v>
      </c>
      <c r="B7">
        <v>2013</v>
      </c>
    </row>
    <row r="8" spans="1:2">
      <c r="A8" s="744" t="s">
        <v>2040</v>
      </c>
      <c r="B8">
        <v>2014</v>
      </c>
    </row>
    <row r="9" spans="1:2">
      <c r="A9" s="579" t="s">
        <v>2041</v>
      </c>
      <c r="B9">
        <v>2015</v>
      </c>
    </row>
    <row r="10" spans="1:2">
      <c r="A10" s="579" t="s">
        <v>2042</v>
      </c>
      <c r="B10">
        <v>2016</v>
      </c>
    </row>
    <row r="11" spans="1:2">
      <c r="A11" s="579" t="s">
        <v>2043</v>
      </c>
      <c r="B11">
        <v>2017</v>
      </c>
    </row>
    <row r="12" spans="1:2">
      <c r="A12" s="579" t="s">
        <v>2044</v>
      </c>
      <c r="B12">
        <v>2018</v>
      </c>
    </row>
    <row r="13" spans="1:2">
      <c r="A13" s="579" t="s">
        <v>2053</v>
      </c>
      <c r="B13">
        <v>2019</v>
      </c>
    </row>
    <row r="14" spans="1:2">
      <c r="A14" s="579" t="s">
        <v>2045</v>
      </c>
      <c r="B14">
        <v>2020</v>
      </c>
    </row>
    <row r="15" spans="1:2">
      <c r="A15" s="579" t="s">
        <v>2046</v>
      </c>
      <c r="B15">
        <v>2021</v>
      </c>
    </row>
    <row r="16" spans="1:2">
      <c r="A16" s="579" t="s">
        <v>2047</v>
      </c>
      <c r="B16">
        <v>2022</v>
      </c>
    </row>
    <row r="17" spans="1:2">
      <c r="A17" s="579" t="s">
        <v>2048</v>
      </c>
      <c r="B17">
        <v>2023</v>
      </c>
    </row>
    <row r="18" spans="1:2">
      <c r="A18" s="579" t="s">
        <v>2049</v>
      </c>
      <c r="B18">
        <v>2024</v>
      </c>
    </row>
    <row r="19" spans="1:2">
      <c r="A19" s="579" t="s">
        <v>2050</v>
      </c>
      <c r="B19">
        <v>2025</v>
      </c>
    </row>
    <row r="20" spans="1:2">
      <c r="A20" s="579" t="s">
        <v>2051</v>
      </c>
      <c r="B20">
        <v>2026</v>
      </c>
    </row>
    <row r="21" spans="1:2">
      <c r="A21" s="579" t="s">
        <v>2052</v>
      </c>
      <c r="B21">
        <v>2027</v>
      </c>
    </row>
    <row r="22" spans="1:2">
      <c r="A22" s="579" t="s">
        <v>2054</v>
      </c>
      <c r="B22">
        <v>2028</v>
      </c>
    </row>
    <row r="23" spans="1:2">
      <c r="A23" s="579" t="s">
        <v>2055</v>
      </c>
      <c r="B23">
        <v>2029</v>
      </c>
    </row>
    <row r="24" spans="1:2">
      <c r="A24" s="579" t="s">
        <v>2056</v>
      </c>
      <c r="B24">
        <v>2030</v>
      </c>
    </row>
    <row r="25" spans="1:2">
      <c r="A25" s="579" t="s">
        <v>2057</v>
      </c>
      <c r="B25">
        <v>2031</v>
      </c>
    </row>
    <row r="26" spans="1:2">
      <c r="A26" s="579" t="s">
        <v>2058</v>
      </c>
      <c r="B26">
        <v>2032</v>
      </c>
    </row>
    <row r="27" spans="1:2">
      <c r="A27" s="579" t="s">
        <v>2059</v>
      </c>
      <c r="B27">
        <v>2033</v>
      </c>
    </row>
    <row r="28" spans="1:2">
      <c r="A28" s="579" t="s">
        <v>2060</v>
      </c>
      <c r="B28">
        <v>2034</v>
      </c>
    </row>
    <row r="29" spans="1:2">
      <c r="A29" s="579" t="s">
        <v>2061</v>
      </c>
      <c r="B29">
        <v>2035</v>
      </c>
    </row>
    <row r="30" spans="1:2">
      <c r="A30" s="579" t="s">
        <v>2062</v>
      </c>
      <c r="B30">
        <v>2036</v>
      </c>
    </row>
    <row r="31" spans="1:2">
      <c r="A31" s="579" t="s">
        <v>2063</v>
      </c>
      <c r="B31">
        <v>2037</v>
      </c>
    </row>
    <row r="32" spans="1:2">
      <c r="A32" s="579" t="s">
        <v>2064</v>
      </c>
      <c r="B32">
        <v>2038</v>
      </c>
    </row>
    <row r="33" spans="1:58">
      <c r="A33" s="579" t="s">
        <v>2065</v>
      </c>
      <c r="B33">
        <v>2039</v>
      </c>
    </row>
    <row r="34" spans="1:58">
      <c r="BA34" s="29"/>
      <c r="BB34" s="29"/>
      <c r="BC34" s="29"/>
      <c r="BD34" s="29"/>
      <c r="BE34" s="29"/>
      <c r="BF34" s="29"/>
    </row>
    <row r="35" spans="1:58">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BA35" s="32"/>
      <c r="BB35" s="32"/>
      <c r="BC35" s="32"/>
      <c r="BD35" s="32"/>
      <c r="BE35" s="32"/>
      <c r="BF35" s="32"/>
    </row>
    <row r="36" spans="1:58">
      <c r="A36" s="19" t="s">
        <v>1628</v>
      </c>
      <c r="F36" s="51" t="s">
        <v>2080</v>
      </c>
      <c r="M36" s="51" t="s">
        <v>2082</v>
      </c>
      <c r="T36" s="51" t="s">
        <v>2083</v>
      </c>
      <c r="AA36" s="51" t="s">
        <v>2084</v>
      </c>
      <c r="AH36" s="748" t="s">
        <v>2085</v>
      </c>
      <c r="AO36" s="51" t="s">
        <v>2086</v>
      </c>
      <c r="AV36" s="51" t="s">
        <v>2087</v>
      </c>
      <c r="BC36" s="19" t="s">
        <v>2088</v>
      </c>
      <c r="BD36" s="19"/>
      <c r="BE36" s="19"/>
      <c r="BF36" s="19"/>
    </row>
    <row r="37" spans="1:58">
      <c r="F37">
        <v>2000</v>
      </c>
      <c r="G37">
        <v>3000</v>
      </c>
      <c r="H37">
        <v>4000</v>
      </c>
      <c r="I37">
        <v>8000</v>
      </c>
      <c r="M37">
        <v>2000</v>
      </c>
      <c r="N37">
        <v>3000</v>
      </c>
      <c r="O37">
        <v>4000</v>
      </c>
      <c r="P37">
        <v>8000</v>
      </c>
      <c r="T37">
        <v>2000</v>
      </c>
      <c r="U37">
        <v>3000</v>
      </c>
      <c r="V37">
        <v>4000</v>
      </c>
      <c r="W37">
        <v>8000</v>
      </c>
      <c r="AA37">
        <v>2000</v>
      </c>
      <c r="AB37">
        <v>3000</v>
      </c>
      <c r="AC37">
        <v>4000</v>
      </c>
      <c r="AD37">
        <v>8000</v>
      </c>
      <c r="AH37">
        <v>2000</v>
      </c>
      <c r="AI37">
        <v>3000</v>
      </c>
      <c r="AJ37">
        <v>4000</v>
      </c>
      <c r="AK37">
        <v>8000</v>
      </c>
      <c r="AO37">
        <v>2000</v>
      </c>
      <c r="AP37">
        <v>3000</v>
      </c>
      <c r="AQ37">
        <v>4000</v>
      </c>
      <c r="AR37">
        <v>8000</v>
      </c>
      <c r="AV37">
        <v>2000</v>
      </c>
      <c r="AW37">
        <v>3000</v>
      </c>
      <c r="AX37">
        <v>4000</v>
      </c>
      <c r="AY37">
        <v>8000</v>
      </c>
      <c r="BC37" s="19">
        <v>2000</v>
      </c>
      <c r="BD37" s="19">
        <v>3000</v>
      </c>
      <c r="BE37" s="19">
        <v>4000</v>
      </c>
      <c r="BF37" s="19">
        <v>8000</v>
      </c>
    </row>
    <row r="38" spans="1:58">
      <c r="A38" s="51" t="s">
        <v>2073</v>
      </c>
      <c r="B38">
        <v>2000</v>
      </c>
      <c r="D38" s="741">
        <v>100000</v>
      </c>
      <c r="F38" s="751">
        <f>IF(B44=2000,'GOVERNMENTAL FUNDS - BS(15)'!E11+'GOVERNMENTAL FUNDS - BS(15)'!E12+'GOVERNMENTAL FUNDS - BS(15)'!E13+'GOVERNMENTAL FUNDS - BS(15)'!E15+'GOVERNMENTAL FUNDS - BS(15)'!E16+'GOVERNMENTAL FUNDS - BS(15)'!E17,0)</f>
        <v>2416.62</v>
      </c>
      <c r="G38" s="751">
        <f>IF(B44=3000,'GOVERNMENTAL FUNDS - BS(15)'!E11+'GOVERNMENTAL FUNDS - BS(15)'!E12+'GOVERNMENTAL FUNDS - BS(15)'!E13+'GOVERNMENTAL FUNDS - BS(15)'!E15+'GOVERNMENTAL FUNDS - BS(15)'!E16+'GOVERNMENTAL FUNDS - BS(15)'!E17,0)</f>
        <v>0</v>
      </c>
      <c r="H38" s="751">
        <f>IF(B44=4000,'GOVERNMENTAL FUNDS - BS(15)'!E11+'GOVERNMENTAL FUNDS - BS(15)'!E12+'GOVERNMENTAL FUNDS - BS(15)'!E13+'GOVERNMENTAL FUNDS - BS(15)'!E15+'GOVERNMENTAL FUNDS - BS(15)'!E16+'GOVERNMENTAL FUNDS - BS(15)'!E17,0)</f>
        <v>0</v>
      </c>
      <c r="I38" s="751">
        <f>IF(B44=8000,'GOVERNMENTAL FUNDS - BS(15)'!E11+'GOVERNMENTAL FUNDS - BS(15)'!E12+'GOVERNMENTAL FUNDS - BS(15)'!E13+'GOVERNMENTAL FUNDS - BS(15)'!E15+'GOVERNMENTAL FUNDS - BS(15)'!E16+'GOVERNMENTAL FUNDS - BS(15)'!E17,0)</f>
        <v>0</v>
      </c>
      <c r="K38" s="741">
        <v>100000</v>
      </c>
      <c r="M38" s="751">
        <f>IF(B45=2000,'GOVERNMENTAL FUNDS - BS(15)'!F11+'GOVERNMENTAL FUNDS - BS(15)'!F12+'GOVERNMENTAL FUNDS - BS(15)'!F13+'GOVERNMENTAL FUNDS - BS(15)'!F15+'GOVERNMENTAL FUNDS - BS(15)'!F16+'GOVERNMENTAL FUNDS - BS(15)'!F17,0)</f>
        <v>33922.81</v>
      </c>
      <c r="N38" s="751">
        <f>IF(B45=3000,'GOVERNMENTAL FUNDS - BS(15)'!F11+'GOVERNMENTAL FUNDS - BS(15)'!F12+'GOVERNMENTAL FUNDS - BS(15)'!F13+'GOVERNMENTAL FUNDS - BS(15)'!F15+'GOVERNMENTAL FUNDS - BS(15)'!F16+'GOVERNMENTAL FUNDS - BS(15)'!F17,0)</f>
        <v>0</v>
      </c>
      <c r="O38" s="751">
        <f>IF(B45=4000,'GOVERNMENTAL FUNDS - BS(15)'!F11+'GOVERNMENTAL FUNDS - BS(15)'!F12+'GOVERNMENTAL FUNDS - BS(15)'!F13+'GOVERNMENTAL FUNDS - BS(15)'!F15+'GOVERNMENTAL FUNDS - BS(15)'!F16+'GOVERNMENTAL FUNDS - BS(15)'!F17,0)</f>
        <v>0</v>
      </c>
      <c r="P38" s="751">
        <f>IF(B45=8000,'GOVERNMENTAL FUNDS - BS(15)'!F11+'GOVERNMENTAL FUNDS - BS(15)'!F12+'GOVERNMENTAL FUNDS - BS(15)'!F13+'GOVERNMENTAL FUNDS - BS(15)'!F15+'GOVERNMENTAL FUNDS - BS(15)'!F16+'GOVERNMENTAL FUNDS - BS(15)'!F17,0)</f>
        <v>0</v>
      </c>
      <c r="R38" s="741">
        <v>100000</v>
      </c>
      <c r="T38" s="751">
        <f>IF(B46=2000,'GOVERNMENTAL FUNDS - BS(15)'!G11+'GOVERNMENTAL FUNDS - BS(15)'!G12+'GOVERNMENTAL FUNDS - BS(15)'!G13+'GOVERNMENTAL FUNDS - BS(15)'!G15+'GOVERNMENTAL FUNDS - BS(15)'!G16+'GOVERNMENTAL FUNDS - BS(15)'!G17,0)</f>
        <v>5126.08</v>
      </c>
      <c r="U38" s="751">
        <f>IF(B46=3000,'GOVERNMENTAL FUNDS - BS(15)'!G11+'GOVERNMENTAL FUNDS - BS(15)'!G12+'GOVERNMENTAL FUNDS - BS(15)'!G13+'GOVERNMENTAL FUNDS - BS(15)'!G15+'GOVERNMENTAL FUNDS - BS(15)'!G16+'GOVERNMENTAL FUNDS - BS(15)'!G17,0)</f>
        <v>0</v>
      </c>
      <c r="V38" s="751">
        <f>IF(B46=4000,'GOVERNMENTAL FUNDS - BS(15)'!G11+'GOVERNMENTAL FUNDS - BS(15)'!G12+'GOVERNMENTAL FUNDS - BS(15)'!G13+'GOVERNMENTAL FUNDS - BS(15)'!G15+'GOVERNMENTAL FUNDS - BS(15)'!G16+'GOVERNMENTAL FUNDS - BS(15)'!G17,0)</f>
        <v>0</v>
      </c>
      <c r="W38" s="751">
        <f>IF(B46=8000,'GOVERNMENTAL FUNDS - BS(15)'!G11+'GOVERNMENTAL FUNDS - BS(15)'!G12+'GOVERNMENTAL FUNDS - BS(15)'!G13+'GOVERNMENTAL FUNDS - BS(15)'!G15+'GOVERNMENTAL FUNDS - BS(15)'!G16+'GOVERNMENTAL FUNDS - BS(15)'!G17,0)</f>
        <v>0</v>
      </c>
      <c r="Y38" s="741">
        <v>100000</v>
      </c>
      <c r="AA38" s="751">
        <f>IF(B47=2000,'GOVERNMENTAL FUNDS - BS(15)'!H11+'GOVERNMENTAL FUNDS - BS(15)'!H12+'GOVERNMENTAL FUNDS - BS(15)'!H13+'GOVERNMENTAL FUNDS - BS(15)'!H15+'GOVERNMENTAL FUNDS - BS(15)'!H16+'GOVERNMENTAL FUNDS - BS(15)'!H17,0)</f>
        <v>0</v>
      </c>
      <c r="AB38" s="751">
        <f>IF(B47=3000,'GOVERNMENTAL FUNDS - BS(15)'!H11+'GOVERNMENTAL FUNDS - BS(15)'!H12+'GOVERNMENTAL FUNDS - BS(15)'!H13+'GOVERNMENTAL FUNDS - BS(15)'!H15+'GOVERNMENTAL FUNDS - BS(15)'!H16+'GOVERNMENTAL FUNDS - BS(15)'!H17,0)</f>
        <v>0</v>
      </c>
      <c r="AC38" s="751">
        <f>IF(B47=4000,'GOVERNMENTAL FUNDS - BS(15)'!H11+'GOVERNMENTAL FUNDS - BS(15)'!H12+'GOVERNMENTAL FUNDS - BS(15)'!H13+'GOVERNMENTAL FUNDS - BS(15)'!H15+'GOVERNMENTAL FUNDS - BS(15)'!H16+'GOVERNMENTAL FUNDS - BS(15)'!H17,0)</f>
        <v>6506</v>
      </c>
      <c r="AD38" s="751">
        <f>IF(B47=8000,'GOVERNMENTAL FUNDS - BS(15)'!H11+'GOVERNMENTAL FUNDS - BS(15)'!H12+'GOVERNMENTAL FUNDS - BS(15)'!H13+'GOVERNMENTAL FUNDS - BS(15)'!H15+'GOVERNMENTAL FUNDS - BS(15)'!H16+'GOVERNMENTAL FUNDS - BS(15)'!H17,0)</f>
        <v>0</v>
      </c>
      <c r="AF38" s="741">
        <v>100000</v>
      </c>
      <c r="AH38" s="751">
        <f>IF(B48=2000,'GOVERNMENTAL FUNDS - BS(15)'!I11+'GOVERNMENTAL FUNDS - BS(15)'!I12+'GOVERNMENTAL FUNDS - BS(15)'!I13+'GOVERNMENTAL FUNDS - BS(15)'!I15+'GOVERNMENTAL FUNDS - BS(15)'!I16+'GOVERNMENTAL FUNDS - BS(15)'!I17,0)</f>
        <v>0</v>
      </c>
      <c r="AI38" s="751">
        <f>IF(B48=3000,'GOVERNMENTAL FUNDS - BS(15)'!I11+'GOVERNMENTAL FUNDS - BS(15)'!I12+'GOVERNMENTAL FUNDS - BS(15)'!I13+'GOVERNMENTAL FUNDS - BS(15)'!I15+'GOVERNMENTAL FUNDS - BS(15)'!I16+'GOVERNMENTAL FUNDS - BS(15)'!I17,0)</f>
        <v>0</v>
      </c>
      <c r="AJ38" s="751">
        <f>IF(B48=4000,'GOVERNMENTAL FUNDS - BS(15)'!I11+'GOVERNMENTAL FUNDS - BS(15)'!I12+'GOVERNMENTAL FUNDS - BS(15)'!I13+'GOVERNMENTAL FUNDS - BS(15)'!I15+'GOVERNMENTAL FUNDS - BS(15)'!I16+'GOVERNMENTAL FUNDS - BS(15)'!I17,0)</f>
        <v>0</v>
      </c>
      <c r="AK38" s="751">
        <f>IF(B48=8000,'GOVERNMENTAL FUNDS - BS(15)'!I11+'GOVERNMENTAL FUNDS - BS(15)'!I12+'GOVERNMENTAL FUNDS - BS(15)'!I13+'GOVERNMENTAL FUNDS - BS(15)'!I15+'GOVERNMENTAL FUNDS - BS(15)'!I16+'GOVERNMENTAL FUNDS - BS(15)'!I17,0)</f>
        <v>0</v>
      </c>
      <c r="AM38" s="741">
        <v>100000</v>
      </c>
      <c r="AO38" s="751">
        <f>IF(B49=2000,'GOVERNMENTAL FUNDS - BS(15)'!J11+'GOVERNMENTAL FUNDS - BS(15)'!J12+'GOVERNMENTAL FUNDS - BS(15)'!J13+'GOVERNMENTAL FUNDS - BS(15)'!J15+'GOVERNMENTAL FUNDS - BS(15)'!J16+'GOVERNMENTAL FUNDS - BS(15)'!J17,0)</f>
        <v>0</v>
      </c>
      <c r="AP38" s="751">
        <f>IF(B49=3000,'GOVERNMENTAL FUNDS - BS(15)'!J11+'GOVERNMENTAL FUNDS - BS(15)'!J12+'GOVERNMENTAL FUNDS - BS(15)'!J13+'GOVERNMENTAL FUNDS - BS(15)'!J15+'GOVERNMENTAL FUNDS - BS(15)'!J16+'GOVERNMENTAL FUNDS - BS(15)'!J17,0)</f>
        <v>0</v>
      </c>
      <c r="AQ38" s="751">
        <f>IF(B49=4000,'GOVERNMENTAL FUNDS - BS(15)'!J11+'GOVERNMENTAL FUNDS - BS(15)'!J12+'GOVERNMENTAL FUNDS - BS(15)'!J13+'GOVERNMENTAL FUNDS - BS(15)'!J15+'GOVERNMENTAL FUNDS - BS(15)'!J16+'GOVERNMENTAL FUNDS - BS(15)'!J17,0)</f>
        <v>0</v>
      </c>
      <c r="AR38" s="751">
        <f>IF(B49=8000,'GOVERNMENTAL FUNDS - BS(15)'!J11+'GOVERNMENTAL FUNDS - BS(15)'!J12+'GOVERNMENTAL FUNDS - BS(15)'!J13+'GOVERNMENTAL FUNDS - BS(15)'!J15+'GOVERNMENTAL FUNDS - BS(15)'!J16+'GOVERNMENTAL FUNDS - BS(15)'!J17,0)</f>
        <v>0</v>
      </c>
      <c r="AT38" s="741">
        <v>100000</v>
      </c>
      <c r="AV38" s="751">
        <f>IF(B50=2000,'GOVERNMENTAL FUNDS - BS(15)'!K11+'GOVERNMENTAL FUNDS - BS(15)'!K12+'GOVERNMENTAL FUNDS - BS(15)'!K13+'GOVERNMENTAL FUNDS - BS(15)'!K15+'GOVERNMENTAL FUNDS - BS(15)'!K16+'GOVERNMENTAL FUNDS - BS(15)'!K17,0)</f>
        <v>0</v>
      </c>
      <c r="AW38" s="751">
        <f>IF(B50=3000,'GOVERNMENTAL FUNDS - BS(15)'!K11+'GOVERNMENTAL FUNDS - BS(15)'!K12+'GOVERNMENTAL FUNDS - BS(15)'!K13+'GOVERNMENTAL FUNDS - BS(15)'!K15+'GOVERNMENTAL FUNDS - BS(15)'!K16+'GOVERNMENTAL FUNDS - BS(15)'!K17,0)</f>
        <v>0</v>
      </c>
      <c r="AX38" s="751">
        <f>IF(B50=4000,'GOVERNMENTAL FUNDS - BS(15)'!K11+'GOVERNMENTAL FUNDS - BS(15)'!K12+'GOVERNMENTAL FUNDS - BS(15)'!K13+'GOVERNMENTAL FUNDS - BS(15)'!K15+'GOVERNMENTAL FUNDS - BS(15)'!K16+'GOVERNMENTAL FUNDS - BS(15)'!K17,0)</f>
        <v>0</v>
      </c>
      <c r="AY38" s="751">
        <f>IF(B50=8000,'GOVERNMENTAL FUNDS - BS(15)'!K11+'GOVERNMENTAL FUNDS - BS(15)'!K12+'GOVERNMENTAL FUNDS - BS(15)'!K13+'GOVERNMENTAL FUNDS - BS(15)'!K15+'GOVERNMENTAL FUNDS - BS(15)'!K16+'GOVERNMENTAL FUNDS - BS(15)'!K17,0)</f>
        <v>0</v>
      </c>
      <c r="BA38" s="749">
        <v>100000</v>
      </c>
      <c r="BB38" s="19"/>
      <c r="BC38" s="751">
        <f>F38+M38+T38+AA38+AH38+AO38+AV38</f>
        <v>41465.51</v>
      </c>
      <c r="BD38" s="753">
        <f t="shared" ref="BD38:BF38" si="0">G38+N38+U38+AB38+AI38+AP38+AW38</f>
        <v>0</v>
      </c>
      <c r="BE38" s="753">
        <f t="shared" si="0"/>
        <v>6506</v>
      </c>
      <c r="BF38" s="753">
        <f t="shared" si="0"/>
        <v>0</v>
      </c>
    </row>
    <row r="39" spans="1:58">
      <c r="A39" s="51" t="s">
        <v>2074</v>
      </c>
      <c r="B39">
        <v>3000</v>
      </c>
      <c r="D39" s="741">
        <v>110000</v>
      </c>
      <c r="F39" s="751">
        <f>IF(B44=2000,'GOVERNMENTAL FUNDS - BS(15)'!E18,0)</f>
        <v>695.14</v>
      </c>
      <c r="G39" s="751">
        <f>IF(B44=3000,'GOVERNMENTAL FUNDS - BS(15)'!E18,0)</f>
        <v>0</v>
      </c>
      <c r="H39" s="751">
        <f>IF(B44=4000,'GOVERNMENTAL FUNDS - BS(15)'!E18,0)</f>
        <v>0</v>
      </c>
      <c r="I39" s="751">
        <f>IF(B44=8000,'GOVERNMENTAL FUNDS - BS(15)'!E18,0)</f>
        <v>0</v>
      </c>
      <c r="K39" s="741">
        <v>110000</v>
      </c>
      <c r="M39" s="751">
        <f>IF(B45=2000,'GOVERNMENTAL FUNDS - BS(15)'!F18,0)</f>
        <v>4020.1</v>
      </c>
      <c r="N39" s="751">
        <f>IF(B45=3000,'GOVERNMENTAL FUNDS - BS(15)'!F18,0)</f>
        <v>0</v>
      </c>
      <c r="O39" s="751">
        <f>IF(B45=4000,'GOVERNMENTAL FUNDS - BS(15)'!F18,0)</f>
        <v>0</v>
      </c>
      <c r="P39" s="751">
        <f>IF(B45=8000,'GOVERNMENTAL FUNDS - BS(15)'!F18,0)</f>
        <v>0</v>
      </c>
      <c r="R39" s="741">
        <v>110000</v>
      </c>
      <c r="T39" s="751">
        <f>IF(B46=2000,'GOVERNMENTAL FUNDS - BS(15)'!G18,0)</f>
        <v>0</v>
      </c>
      <c r="U39" s="751">
        <f>IF(B46=3000,'GOVERNMENTAL FUNDS - BS(15)'!G18,0)</f>
        <v>0</v>
      </c>
      <c r="V39" s="751">
        <f>IF(B46=4000,'GOVERNMENTAL FUNDS - BS(15)'!G18,0)</f>
        <v>0</v>
      </c>
      <c r="W39" s="751">
        <f>IF(B46=8000,'GOVERNMENTAL FUNDS - BS(15)'!G18,0)</f>
        <v>0</v>
      </c>
      <c r="Y39" s="741">
        <v>110000</v>
      </c>
      <c r="AA39" s="751">
        <f>IF(B47=2000,'GOVERNMENTAL FUNDS - BS(15)'!H18,0)</f>
        <v>0</v>
      </c>
      <c r="AB39" s="751">
        <f>IF(B47=3000,'GOVERNMENTAL FUNDS - BS(15)'!H18,0)</f>
        <v>0</v>
      </c>
      <c r="AC39" s="751">
        <f>IF(B47=4000,'GOVERNMENTAL FUNDS - BS(15)'!H18,0)</f>
        <v>0</v>
      </c>
      <c r="AD39" s="751">
        <f>IF(B47=8000,'GOVERNMENTAL FUNDS - BS(15)'!H18,0)</f>
        <v>0</v>
      </c>
      <c r="AF39" s="741">
        <v>110000</v>
      </c>
      <c r="AH39" s="751">
        <f>IF(B48=2000,'GOVERNMENTAL FUNDS - BS(15)'!I18,0)</f>
        <v>0</v>
      </c>
      <c r="AI39" s="751">
        <f>IF(B48=3000,'GOVERNMENTAL FUNDS - BS(15)'!I18,0)</f>
        <v>0</v>
      </c>
      <c r="AJ39" s="751">
        <f>IF(B48=4000,'GOVERNMENTAL FUNDS - BS(15)'!I18,0)</f>
        <v>0</v>
      </c>
      <c r="AK39" s="751">
        <f>IF(B48=8000,'GOVERNMENTAL FUNDS - BS(15)'!I18,0)</f>
        <v>0</v>
      </c>
      <c r="AM39" s="741">
        <v>110000</v>
      </c>
      <c r="AO39" s="751">
        <f>IF(B49=2000,'GOVERNMENTAL FUNDS - BS(15)'!J18,0)</f>
        <v>0</v>
      </c>
      <c r="AP39" s="751">
        <f>IF(B49=3000,'GOVERNMENTAL FUNDS - BS(15)'!J18,0)</f>
        <v>0</v>
      </c>
      <c r="AQ39" s="751">
        <f>IF(B49=4000,'GOVERNMENTAL FUNDS - BS(15)'!J18,0)</f>
        <v>0</v>
      </c>
      <c r="AR39" s="751">
        <f>IF(B49=8000,'GOVERNMENTAL FUNDS - BS(15)'!J18,0)</f>
        <v>0</v>
      </c>
      <c r="AT39" s="741">
        <v>110000</v>
      </c>
      <c r="AV39" s="751">
        <f>IF(B50=2000,'GOVERNMENTAL FUNDS - BS(15)'!K18,0)</f>
        <v>0</v>
      </c>
      <c r="AW39" s="751">
        <f>IF(B50=3000,'GOVERNMENTAL FUNDS - BS(15)'!K18,0)</f>
        <v>0</v>
      </c>
      <c r="AX39" s="751">
        <f>IF(B50=4000,'GOVERNMENTAL FUNDS - BS(15)'!K18,0)</f>
        <v>0</v>
      </c>
      <c r="AY39" s="751">
        <f>IF(B50=8000,'GOVERNMENTAL FUNDS - BS(15)'!K18,0)</f>
        <v>0</v>
      </c>
      <c r="BA39" s="749">
        <v>110000</v>
      </c>
      <c r="BB39" s="19"/>
      <c r="BC39" s="751">
        <f t="shared" ref="BC39:BC102" si="1">F39+M39+T39+AA39+AH39+AO39+AV39</f>
        <v>4715.24</v>
      </c>
      <c r="BD39" s="753">
        <f t="shared" ref="BD39:BD102" si="2">G39+N39+U39+AB39+AI39+AP39+AW39</f>
        <v>0</v>
      </c>
      <c r="BE39" s="753">
        <f t="shared" ref="BE39:BE102" si="3">H39+O39+V39+AC39+AJ39+AQ39+AX39</f>
        <v>0</v>
      </c>
      <c r="BF39" s="753">
        <f t="shared" ref="BF39:BF102" si="4">I39+P39+W39+AD39+AK39+AR39+AY39</f>
        <v>0</v>
      </c>
    </row>
    <row r="40" spans="1:58">
      <c r="A40" s="51" t="s">
        <v>2075</v>
      </c>
      <c r="B40">
        <v>4000</v>
      </c>
      <c r="D40" s="741">
        <v>120000</v>
      </c>
      <c r="F40" s="751">
        <f>IF(B44=2000,'GOVERNMENTAL FUNDS - BS(15)'!E19,0)</f>
        <v>0</v>
      </c>
      <c r="G40" s="751">
        <f>IF(B44=3000,'GOVERNMENTAL FUNDS - BS(15)'!E19,0)</f>
        <v>0</v>
      </c>
      <c r="H40" s="751">
        <f>IF(B44=4000,'GOVERNMENTAL FUNDS - BS(15)'!E19,0)</f>
        <v>0</v>
      </c>
      <c r="I40" s="751">
        <f>IF(B44=8000,'GOVERNMENTAL FUNDS - BS(15)'!E19,0)</f>
        <v>0</v>
      </c>
      <c r="K40" s="741">
        <v>120000</v>
      </c>
      <c r="M40" s="751">
        <f>IF(B45=2000,'GOVERNMENTAL FUNDS - BS(15)'!F19,0)</f>
        <v>0</v>
      </c>
      <c r="N40" s="751">
        <f>IF(B45=3000,'GOVERNMENTAL FUNDS - BS(15)'!F19,0)</f>
        <v>0</v>
      </c>
      <c r="O40" s="751">
        <f>IF(B45=4000,'GOVERNMENTAL FUNDS - BS(15)'!F19,0)</f>
        <v>0</v>
      </c>
      <c r="P40" s="751">
        <f>IF(B45=8000,'GOVERNMENTAL FUNDS - BS(15)'!F19,0)</f>
        <v>0</v>
      </c>
      <c r="R40" s="741">
        <v>120000</v>
      </c>
      <c r="T40" s="751">
        <f>IF(B46=2000,'GOVERNMENTAL FUNDS - BS(15)'!G19,0)</f>
        <v>0</v>
      </c>
      <c r="U40" s="751">
        <f>IF(B46=3000,'GOVERNMENTAL FUNDS - BS(15)'!G19,0)</f>
        <v>0</v>
      </c>
      <c r="V40" s="751">
        <f>IF(B46=4000,'GOVERNMENTAL FUNDS - BS(15)'!G19,0)</f>
        <v>0</v>
      </c>
      <c r="W40" s="751">
        <f>IF(B46=8000,'GOVERNMENTAL FUNDS - BS(15)'!G19,0)</f>
        <v>0</v>
      </c>
      <c r="Y40" s="741">
        <v>120000</v>
      </c>
      <c r="AA40" s="751">
        <f>IF(B47=2000,'GOVERNMENTAL FUNDS - BS(15)'!H19,0)</f>
        <v>0</v>
      </c>
      <c r="AB40" s="751">
        <f>IF(B47=3000,'GOVERNMENTAL FUNDS - BS(15)'!H19,0)</f>
        <v>0</v>
      </c>
      <c r="AC40" s="751">
        <f>IF(B47=4000,'GOVERNMENTAL FUNDS - BS(15)'!H19,0)</f>
        <v>0</v>
      </c>
      <c r="AD40" s="751">
        <f>IF(B47=8000,'GOVERNMENTAL FUNDS - BS(15)'!H19,0)</f>
        <v>0</v>
      </c>
      <c r="AF40" s="741">
        <v>120000</v>
      </c>
      <c r="AH40" s="751">
        <f>IF(B48=2000,'GOVERNMENTAL FUNDS - BS(15)'!I19,0)</f>
        <v>0</v>
      </c>
      <c r="AI40" s="751">
        <f>IF(B48=3000,'GOVERNMENTAL FUNDS - BS(15)'!I19,0)</f>
        <v>0</v>
      </c>
      <c r="AJ40" s="751">
        <f>IF(B48=4000,'GOVERNMENTAL FUNDS - BS(15)'!I19,0)</f>
        <v>0</v>
      </c>
      <c r="AK40" s="751">
        <f>IF(B48=8000,'GOVERNMENTAL FUNDS - BS(15)'!I19,0)</f>
        <v>0</v>
      </c>
      <c r="AM40" s="741">
        <v>120000</v>
      </c>
      <c r="AO40" s="751">
        <f>IF(B49=2000,'GOVERNMENTAL FUNDS - BS(15)'!J19,0)</f>
        <v>0</v>
      </c>
      <c r="AP40" s="751">
        <f>IF(B49=3000,'GOVERNMENTAL FUNDS - BS(15)'!J19,0)</f>
        <v>0</v>
      </c>
      <c r="AQ40" s="751">
        <f>IF(B49=4000,'GOVERNMENTAL FUNDS - BS(15)'!J19,0)</f>
        <v>0</v>
      </c>
      <c r="AR40" s="751">
        <f>IF(B49=8000,'GOVERNMENTAL FUNDS - BS(15)'!J19,0)</f>
        <v>0</v>
      </c>
      <c r="AT40" s="741">
        <v>120000</v>
      </c>
      <c r="AV40" s="751">
        <f>IF(B50=2000,'GOVERNMENTAL FUNDS - BS(15)'!K19,0)</f>
        <v>0</v>
      </c>
      <c r="AW40" s="751">
        <f>IF(B50=3000,'GOVERNMENTAL FUNDS - BS(15)'!K19,0)</f>
        <v>0</v>
      </c>
      <c r="AX40" s="751">
        <f>IF(B50=4000,'GOVERNMENTAL FUNDS - BS(15)'!K19,0)</f>
        <v>0</v>
      </c>
      <c r="AY40" s="751">
        <f>IF(B50=8000,'GOVERNMENTAL FUNDS - BS(15)'!K19,0)</f>
        <v>0</v>
      </c>
      <c r="BA40" s="749">
        <v>120000</v>
      </c>
      <c r="BB40" s="19"/>
      <c r="BC40" s="751">
        <f t="shared" si="1"/>
        <v>0</v>
      </c>
      <c r="BD40" s="753">
        <f t="shared" si="2"/>
        <v>0</v>
      </c>
      <c r="BE40" s="753">
        <f t="shared" si="3"/>
        <v>0</v>
      </c>
      <c r="BF40" s="753">
        <f t="shared" si="4"/>
        <v>0</v>
      </c>
    </row>
    <row r="41" spans="1:58">
      <c r="A41" s="51" t="s">
        <v>2076</v>
      </c>
      <c r="B41">
        <v>8000</v>
      </c>
      <c r="D41" s="741">
        <v>130000</v>
      </c>
      <c r="F41" s="751">
        <f>IF(B44=2000,'GOVERNMENTAL FUNDS - BS(15)'!E20+'GOVERNMENTAL FUNDS - BS(15)'!E21+'GOVERNMENTAL FUNDS - BS(15)'!E22,0)</f>
        <v>0</v>
      </c>
      <c r="G41" s="751">
        <f>IF(B44=3000,'GOVERNMENTAL FUNDS - BS(15)'!E20+'GOVERNMENTAL FUNDS - BS(15)'!E21+'GOVERNMENTAL FUNDS - BS(15)'!E22,0)</f>
        <v>0</v>
      </c>
      <c r="H41" s="751">
        <f>IF(B44=4000,'GOVERNMENTAL FUNDS - BS(15)'!E20+'GOVERNMENTAL FUNDS - BS(15)'!E21+'GOVERNMENTAL FUNDS - BS(15)'!E22,0)</f>
        <v>0</v>
      </c>
      <c r="I41" s="751">
        <f>IF(B44=8000,'GOVERNMENTAL FUNDS - BS(15)'!E20+'GOVERNMENTAL FUNDS - BS(15)'!E21+'GOVERNMENTAL FUNDS - BS(15)'!E22,0)</f>
        <v>0</v>
      </c>
      <c r="K41" s="741">
        <v>130000</v>
      </c>
      <c r="M41" s="751">
        <f>IF(B45=2000,'GOVERNMENTAL FUNDS - BS(15)'!F20+'GOVERNMENTAL FUNDS - BS(15)'!F21+'GOVERNMENTAL FUNDS - BS(15)'!F22,0)</f>
        <v>0</v>
      </c>
      <c r="N41" s="751">
        <f>IF(B45=3000,'GOVERNMENTAL FUNDS - BS(15)'!F20+'GOVERNMENTAL FUNDS - BS(15)'!F21+'GOVERNMENTAL FUNDS - BS(15)'!F22,0)</f>
        <v>0</v>
      </c>
      <c r="O41" s="751">
        <f>IF(B45=4000,'GOVERNMENTAL FUNDS - BS(15)'!F20+'GOVERNMENTAL FUNDS - BS(15)'!F21+'GOVERNMENTAL FUNDS - BS(15)'!F22,0)</f>
        <v>0</v>
      </c>
      <c r="P41" s="751">
        <f>IF(B45=8000,'GOVERNMENTAL FUNDS - BS(15)'!F20+'GOVERNMENTAL FUNDS - BS(15)'!F21+'GOVERNMENTAL FUNDS - BS(15)'!F22,0)</f>
        <v>0</v>
      </c>
      <c r="R41" s="741">
        <v>130000</v>
      </c>
      <c r="T41" s="751">
        <f>IF(B46=2000,'GOVERNMENTAL FUNDS - BS(15)'!G20+'GOVERNMENTAL FUNDS - BS(15)'!G21+'GOVERNMENTAL FUNDS - BS(15)'!G22,0)</f>
        <v>0</v>
      </c>
      <c r="U41" s="751">
        <f>IF(B46=3000,'GOVERNMENTAL FUNDS - BS(15)'!G20+'GOVERNMENTAL FUNDS - BS(15)'!G21+'GOVERNMENTAL FUNDS - BS(15)'!G22,0)</f>
        <v>0</v>
      </c>
      <c r="V41" s="751">
        <f>IF(B46=4000,'GOVERNMENTAL FUNDS - BS(15)'!G20+'GOVERNMENTAL FUNDS - BS(15)'!G21+'GOVERNMENTAL FUNDS - BS(15)'!G22,0)</f>
        <v>0</v>
      </c>
      <c r="W41" s="751">
        <f>IF(B46=8000,'GOVERNMENTAL FUNDS - BS(15)'!G20+'GOVERNMENTAL FUNDS - BS(15)'!G21+'GOVERNMENTAL FUNDS - BS(15)'!G22,0)</f>
        <v>0</v>
      </c>
      <c r="Y41" s="741">
        <v>130000</v>
      </c>
      <c r="AA41" s="751">
        <f>IF(B47=2000,'GOVERNMENTAL FUNDS - BS(15)'!H20+'GOVERNMENTAL FUNDS - BS(15)'!H21+'GOVERNMENTAL FUNDS - BS(15)'!H22,0)</f>
        <v>0</v>
      </c>
      <c r="AB41" s="751">
        <f>IF(B47=3000,'GOVERNMENTAL FUNDS - BS(15)'!H20+'GOVERNMENTAL FUNDS - BS(15)'!H21+'GOVERNMENTAL FUNDS - BS(15)'!H22,0)</f>
        <v>0</v>
      </c>
      <c r="AC41" s="751">
        <f>IF(B47=4000,'GOVERNMENTAL FUNDS - BS(15)'!H20+'GOVERNMENTAL FUNDS - BS(15)'!H21+'GOVERNMENTAL FUNDS - BS(15)'!H22,0)</f>
        <v>0</v>
      </c>
      <c r="AD41" s="751">
        <f>IF(B47=8000,'GOVERNMENTAL FUNDS - BS(15)'!H20+'GOVERNMENTAL FUNDS - BS(15)'!H21+'GOVERNMENTAL FUNDS - BS(15)'!H22,0)</f>
        <v>0</v>
      </c>
      <c r="AF41" s="741">
        <v>130000</v>
      </c>
      <c r="AH41" s="751">
        <f>IF(B48=2000,'GOVERNMENTAL FUNDS - BS(15)'!I20+'GOVERNMENTAL FUNDS - BS(15)'!I21+'GOVERNMENTAL FUNDS - BS(15)'!I22,0)</f>
        <v>0</v>
      </c>
      <c r="AI41" s="751">
        <f>IF(B48=3000,'GOVERNMENTAL FUNDS - BS(15)'!I20+'GOVERNMENTAL FUNDS - BS(15)'!I21+'GOVERNMENTAL FUNDS - BS(15)'!I22,0)</f>
        <v>0</v>
      </c>
      <c r="AJ41" s="751">
        <f>IF(B48=4000,'GOVERNMENTAL FUNDS - BS(15)'!I20+'GOVERNMENTAL FUNDS - BS(15)'!I21+'GOVERNMENTAL FUNDS - BS(15)'!I22,0)</f>
        <v>0</v>
      </c>
      <c r="AK41" s="751">
        <f>IF(B48=8000,'GOVERNMENTAL FUNDS - BS(15)'!I20+'GOVERNMENTAL FUNDS - BS(15)'!I21+'GOVERNMENTAL FUNDS - BS(15)'!I22,0)</f>
        <v>0</v>
      </c>
      <c r="AM41" s="741">
        <v>130000</v>
      </c>
      <c r="AO41" s="751">
        <f>IF(B49=2000,'GOVERNMENTAL FUNDS - BS(15)'!J20+'GOVERNMENTAL FUNDS - BS(15)'!J21+'GOVERNMENTAL FUNDS - BS(15)'!J22,0)</f>
        <v>0</v>
      </c>
      <c r="AP41" s="751">
        <f>IF(B49=3000,'GOVERNMENTAL FUNDS - BS(15)'!J20+'GOVERNMENTAL FUNDS - BS(15)'!J21+'GOVERNMENTAL FUNDS - BS(15)'!J22,0)</f>
        <v>0</v>
      </c>
      <c r="AQ41" s="751">
        <f>IF(B49=4000,'GOVERNMENTAL FUNDS - BS(15)'!J20+'GOVERNMENTAL FUNDS - BS(15)'!J21+'GOVERNMENTAL FUNDS - BS(15)'!J22,0)</f>
        <v>0</v>
      </c>
      <c r="AR41" s="751">
        <f>IF(B49=8000,'GOVERNMENTAL FUNDS - BS(15)'!J20+'GOVERNMENTAL FUNDS - BS(15)'!J21+'GOVERNMENTAL FUNDS - BS(15)'!J22,0)</f>
        <v>0</v>
      </c>
      <c r="AT41" s="741">
        <v>130000</v>
      </c>
      <c r="AV41" s="751">
        <f>IF(B50=2000,'GOVERNMENTAL FUNDS - BS(15)'!K20+'GOVERNMENTAL FUNDS - BS(15)'!K21+'GOVERNMENTAL FUNDS - BS(15)'!K22,0)</f>
        <v>0</v>
      </c>
      <c r="AW41" s="751">
        <f>IF(B50=3000,'GOVERNMENTAL FUNDS - BS(15)'!K20+'GOVERNMENTAL FUNDS - BS(15)'!K21+'GOVERNMENTAL FUNDS - BS(15)'!K22,0)</f>
        <v>0</v>
      </c>
      <c r="AX41" s="751">
        <f>IF(B50=4000,'GOVERNMENTAL FUNDS - BS(15)'!K20+'GOVERNMENTAL FUNDS - BS(15)'!K21+'GOVERNMENTAL FUNDS - BS(15)'!K22,0)</f>
        <v>0</v>
      </c>
      <c r="AY41" s="751">
        <f>IF(B50=8000,'GOVERNMENTAL FUNDS - BS(15)'!K20+'GOVERNMENTAL FUNDS - BS(15)'!K21+'GOVERNMENTAL FUNDS - BS(15)'!K22,0)</f>
        <v>0</v>
      </c>
      <c r="BA41" s="749">
        <v>130000</v>
      </c>
      <c r="BB41" s="19"/>
      <c r="BC41" s="751">
        <f t="shared" si="1"/>
        <v>0</v>
      </c>
      <c r="BD41" s="753">
        <f t="shared" si="2"/>
        <v>0</v>
      </c>
      <c r="BE41" s="753">
        <f t="shared" si="3"/>
        <v>0</v>
      </c>
      <c r="BF41" s="753">
        <f t="shared" si="4"/>
        <v>0</v>
      </c>
    </row>
    <row r="42" spans="1:58">
      <c r="A42" s="51"/>
      <c r="D42" s="741">
        <v>140000</v>
      </c>
      <c r="F42" s="751">
        <f>IF(B44=2000,'GOVERNMENTAL FUNDS - BS(15)'!E23,0)</f>
        <v>0</v>
      </c>
      <c r="G42" s="751">
        <f>IF(B44=3000,'GOVERNMENTAL FUNDS - BS(15)'!E23,0)</f>
        <v>0</v>
      </c>
      <c r="H42" s="751">
        <f>IF(B44=4000,'GOVERNMENTAL FUNDS - BS(15)'!E23,0)</f>
        <v>0</v>
      </c>
      <c r="I42" s="751">
        <f>IF(B44=8000,'GOVERNMENTAL FUNDS - BS(15)'!E23,0)</f>
        <v>0</v>
      </c>
      <c r="K42" s="741">
        <v>140000</v>
      </c>
      <c r="M42" s="751">
        <f>IF(B45=2000,'GOVERNMENTAL FUNDS - BS(15)'!F23,0)</f>
        <v>0</v>
      </c>
      <c r="N42" s="751">
        <f>IF(B45=3000,'GOVERNMENTAL FUNDS - BS(15)'!F23,0)</f>
        <v>0</v>
      </c>
      <c r="O42" s="751">
        <f>IF(B45=4000,'GOVERNMENTAL FUNDS - BS(15)'!F23,0)</f>
        <v>0</v>
      </c>
      <c r="P42" s="751">
        <f>IF(B45=8000,'GOVERNMENTAL FUNDS - BS(15)'!F23,0)</f>
        <v>0</v>
      </c>
      <c r="R42" s="741">
        <v>140000</v>
      </c>
      <c r="T42" s="751">
        <f>IF(B46=2000,'GOVERNMENTAL FUNDS - BS(15)'!G23,0)</f>
        <v>0</v>
      </c>
      <c r="U42" s="751">
        <f>IF(B46=3000,'GOVERNMENTAL FUNDS - BS(15)'!G23,0)</f>
        <v>0</v>
      </c>
      <c r="V42" s="751">
        <f>IF(B46=4000,'GOVERNMENTAL FUNDS - BS(15)'!G23,0)</f>
        <v>0</v>
      </c>
      <c r="W42" s="751">
        <f>IF(B46=8000,'GOVERNMENTAL FUNDS - BS(15)'!G23,0)</f>
        <v>0</v>
      </c>
      <c r="Y42" s="741">
        <v>140000</v>
      </c>
      <c r="AA42" s="751">
        <f>IF(B47=2000,'GOVERNMENTAL FUNDS - BS(15)'!H23,0)</f>
        <v>0</v>
      </c>
      <c r="AB42" s="751">
        <f>IF(B47=3000,'GOVERNMENTAL FUNDS - BS(15)'!H23,0)</f>
        <v>0</v>
      </c>
      <c r="AC42" s="751">
        <f>IF(B47=4000,'GOVERNMENTAL FUNDS - BS(15)'!H23,0)</f>
        <v>0</v>
      </c>
      <c r="AD42" s="751">
        <f>IF(B47=8000,'GOVERNMENTAL FUNDS - BS(15)'!H23,0)</f>
        <v>0</v>
      </c>
      <c r="AF42" s="741">
        <v>140000</v>
      </c>
      <c r="AH42" s="751">
        <f>IF(B48=2000,'GOVERNMENTAL FUNDS - BS(15)'!I23,0)</f>
        <v>0</v>
      </c>
      <c r="AI42" s="751">
        <f>IF(B48=3000,'GOVERNMENTAL FUNDS - BS(15)'!I23,0)</f>
        <v>0</v>
      </c>
      <c r="AJ42" s="751">
        <f>IF(B48=4000,'GOVERNMENTAL FUNDS - BS(15)'!I23,0)</f>
        <v>0</v>
      </c>
      <c r="AK42" s="751">
        <f>IF(B48=8000,'GOVERNMENTAL FUNDS - BS(15)'!I23,0)</f>
        <v>0</v>
      </c>
      <c r="AM42" s="741">
        <v>140000</v>
      </c>
      <c r="AO42" s="751">
        <f>IF(B49=2000,'GOVERNMENTAL FUNDS - BS(15)'!J23,0)</f>
        <v>0</v>
      </c>
      <c r="AP42" s="751">
        <f>IF(B49=3000,'GOVERNMENTAL FUNDS - BS(15)'!J23,0)</f>
        <v>0</v>
      </c>
      <c r="AQ42" s="751">
        <f>IF(B49=4000,'GOVERNMENTAL FUNDS - BS(15)'!J23,0)</f>
        <v>0</v>
      </c>
      <c r="AR42" s="751">
        <f>IF(B49=8000,'GOVERNMENTAL FUNDS - BS(15)'!J23,0)</f>
        <v>0</v>
      </c>
      <c r="AT42" s="741">
        <v>140000</v>
      </c>
      <c r="AV42" s="751">
        <f>IF(B50=2000,'GOVERNMENTAL FUNDS - BS(15)'!K23,0)</f>
        <v>0</v>
      </c>
      <c r="AW42" s="751">
        <f>IF(B50=3000,'GOVERNMENTAL FUNDS - BS(15)'!K23,0)</f>
        <v>0</v>
      </c>
      <c r="AX42" s="751">
        <f>IF(B50=4000,'GOVERNMENTAL FUNDS - BS(15)'!K23,0)</f>
        <v>0</v>
      </c>
      <c r="AY42" s="751">
        <f>IF(B50=8000,'GOVERNMENTAL FUNDS - BS(15)'!K23,0)</f>
        <v>0</v>
      </c>
      <c r="BA42" s="749">
        <v>140000</v>
      </c>
      <c r="BB42" s="19"/>
      <c r="BC42" s="751">
        <f t="shared" si="1"/>
        <v>0</v>
      </c>
      <c r="BD42" s="753">
        <f t="shared" si="2"/>
        <v>0</v>
      </c>
      <c r="BE42" s="753">
        <f t="shared" si="3"/>
        <v>0</v>
      </c>
      <c r="BF42" s="753">
        <f t="shared" si="4"/>
        <v>0</v>
      </c>
    </row>
    <row r="43" spans="1:58">
      <c r="A43" s="51" t="s">
        <v>2078</v>
      </c>
      <c r="D43" s="741">
        <v>150000</v>
      </c>
      <c r="F43" s="751">
        <f>IF(B44=2000,'GOVERNMENTAL FUNDS - BS(15)'!E24,0)</f>
        <v>0</v>
      </c>
      <c r="G43" s="751">
        <f>IF(B44=3000,'GOVERNMENTAL FUNDS - BS(15)'!E24,0)</f>
        <v>0</v>
      </c>
      <c r="H43" s="751">
        <f>IF(B44=4000,'GOVERNMENTAL FUNDS - BS(15)'!E24,0)</f>
        <v>0</v>
      </c>
      <c r="I43" s="751">
        <f>IF(B44=8000,'GOVERNMENTAL FUNDS - BS(15)'!E24,0)</f>
        <v>0</v>
      </c>
      <c r="K43" s="741">
        <v>150000</v>
      </c>
      <c r="M43" s="751">
        <f>IF(B45=2000,'GOVERNMENTAL FUNDS - BS(15)'!F24,0)</f>
        <v>0</v>
      </c>
      <c r="N43" s="751">
        <f>IF(B45=3000,'GOVERNMENTAL FUNDS - BS(15)'!F24,0)</f>
        <v>0</v>
      </c>
      <c r="O43" s="751">
        <f>IF(B45=4000,'GOVERNMENTAL FUNDS - BS(15)'!F24,0)</f>
        <v>0</v>
      </c>
      <c r="P43" s="751">
        <f>IF(B45=8000,'GOVERNMENTAL FUNDS - BS(15)'!F24,0)</f>
        <v>0</v>
      </c>
      <c r="R43" s="741">
        <v>150000</v>
      </c>
      <c r="T43" s="751">
        <f>IF(B46=2000,'GOVERNMENTAL FUNDS - BS(15)'!G24,0)</f>
        <v>0</v>
      </c>
      <c r="U43" s="751">
        <f>IF(B46=3000,'GOVERNMENTAL FUNDS - BS(15)'!G24,0)</f>
        <v>0</v>
      </c>
      <c r="V43" s="751">
        <f>IF(B46=4000,'GOVERNMENTAL FUNDS - BS(15)'!G24,0)</f>
        <v>0</v>
      </c>
      <c r="W43" s="751">
        <f>IF(B46=8000,'GOVERNMENTAL FUNDS - BS(15)'!G24,0)</f>
        <v>0</v>
      </c>
      <c r="Y43" s="741">
        <v>150000</v>
      </c>
      <c r="AA43" s="751">
        <f>IF(B47=2000,'GOVERNMENTAL FUNDS - BS(15)'!H24,0)</f>
        <v>0</v>
      </c>
      <c r="AB43" s="751">
        <f>IF(B47=3000,'GOVERNMENTAL FUNDS - BS(15)'!H24,0)</f>
        <v>0</v>
      </c>
      <c r="AC43" s="751">
        <f>IF(B47=4000,'GOVERNMENTAL FUNDS - BS(15)'!H24,0)</f>
        <v>0</v>
      </c>
      <c r="AD43" s="751">
        <f>IF(B47=8000,'GOVERNMENTAL FUNDS - BS(15)'!H24,0)</f>
        <v>0</v>
      </c>
      <c r="AF43" s="741">
        <v>150000</v>
      </c>
      <c r="AH43" s="751">
        <f>IF(B48=2000,'GOVERNMENTAL FUNDS - BS(15)'!I24,0)</f>
        <v>0</v>
      </c>
      <c r="AI43" s="751">
        <f>IF(B48=3000,'GOVERNMENTAL FUNDS - BS(15)'!I24,0)</f>
        <v>0</v>
      </c>
      <c r="AJ43" s="751">
        <f>IF(B48=4000,'GOVERNMENTAL FUNDS - BS(15)'!I24,0)</f>
        <v>0</v>
      </c>
      <c r="AK43" s="751">
        <f>IF(B48=8000,'GOVERNMENTAL FUNDS - BS(15)'!I24,0)</f>
        <v>0</v>
      </c>
      <c r="AM43" s="741">
        <v>150000</v>
      </c>
      <c r="AO43" s="751">
        <f>IF(B49=2000,'GOVERNMENTAL FUNDS - BS(15)'!J24,0)</f>
        <v>0</v>
      </c>
      <c r="AP43" s="751">
        <f>IF(B49=3000,'GOVERNMENTAL FUNDS - BS(15)'!J24,0)</f>
        <v>0</v>
      </c>
      <c r="AQ43" s="751">
        <f>IF(B49=4000,'GOVERNMENTAL FUNDS - BS(15)'!J24,0)</f>
        <v>0</v>
      </c>
      <c r="AR43" s="751">
        <f>IF(B49=8000,'GOVERNMENTAL FUNDS - BS(15)'!J24,0)</f>
        <v>0</v>
      </c>
      <c r="AT43" s="741">
        <v>150000</v>
      </c>
      <c r="AV43" s="751">
        <f>IF(B50=2000,'GOVERNMENTAL FUNDS - BS(15)'!K24,0)</f>
        <v>0</v>
      </c>
      <c r="AW43" s="751">
        <f>IF(B50=3000,'GOVERNMENTAL FUNDS - BS(15)'!K24,0)</f>
        <v>0</v>
      </c>
      <c r="AX43" s="751">
        <f>IF(B50=4000,'GOVERNMENTAL FUNDS - BS(15)'!K24,0)</f>
        <v>0</v>
      </c>
      <c r="AY43" s="751">
        <f>IF(B50=8000,'GOVERNMENTAL FUNDS - BS(15)'!K24,0)</f>
        <v>0</v>
      </c>
      <c r="BA43" s="749">
        <v>150000</v>
      </c>
      <c r="BB43" s="19"/>
      <c r="BC43" s="751">
        <f t="shared" si="1"/>
        <v>0</v>
      </c>
      <c r="BD43" s="753">
        <f t="shared" si="2"/>
        <v>0</v>
      </c>
      <c r="BE43" s="753">
        <f t="shared" si="3"/>
        <v>0</v>
      </c>
      <c r="BF43" s="753">
        <f t="shared" si="4"/>
        <v>0</v>
      </c>
    </row>
    <row r="44" spans="1:58">
      <c r="A44" s="51" t="s">
        <v>2066</v>
      </c>
      <c r="B44" s="308">
        <f>IF(ISNA(VLOOKUP('GOVERNMENTAL FUNDS - BS(15)'!E7,majorfunds,2,TRUE)),"",VLOOKUP('GOVERNMENTAL FUNDS - BS(15)'!E7,majorfunds,2,TRUE))</f>
        <v>2000</v>
      </c>
      <c r="D44" s="741">
        <v>160000</v>
      </c>
      <c r="F44" s="751"/>
      <c r="G44" s="751"/>
      <c r="H44" s="751"/>
      <c r="I44" s="751"/>
      <c r="K44" s="741">
        <v>160000</v>
      </c>
      <c r="M44" s="751"/>
      <c r="N44" s="751"/>
      <c r="O44" s="751"/>
      <c r="P44" s="751"/>
      <c r="R44" s="741">
        <v>160000</v>
      </c>
      <c r="T44" s="751"/>
      <c r="U44" s="751"/>
      <c r="V44" s="751"/>
      <c r="W44" s="751"/>
      <c r="Y44" s="741">
        <v>160000</v>
      </c>
      <c r="AA44" s="751"/>
      <c r="AB44" s="751"/>
      <c r="AC44" s="751"/>
      <c r="AD44" s="751"/>
      <c r="AF44" s="741">
        <v>160000</v>
      </c>
      <c r="AH44" s="751"/>
      <c r="AI44" s="751"/>
      <c r="AJ44" s="751"/>
      <c r="AK44" s="751"/>
      <c r="AM44" s="741">
        <v>160000</v>
      </c>
      <c r="AO44" s="751"/>
      <c r="AP44" s="751"/>
      <c r="AQ44" s="751"/>
      <c r="AR44" s="751"/>
      <c r="AT44" s="741">
        <v>160000</v>
      </c>
      <c r="AV44" s="751"/>
      <c r="AW44" s="751"/>
      <c r="AX44" s="751"/>
      <c r="AY44" s="751"/>
      <c r="BA44" s="749">
        <v>160000</v>
      </c>
      <c r="BB44" s="19"/>
      <c r="BC44" s="751"/>
      <c r="BD44" s="753"/>
      <c r="BE44" s="753"/>
      <c r="BF44" s="753"/>
    </row>
    <row r="45" spans="1:58">
      <c r="A45" s="51" t="s">
        <v>2067</v>
      </c>
      <c r="B45" s="308">
        <f>IF(ISNA(VLOOKUP('GOVERNMENTAL FUNDS - BS(15)'!F7,majorfunds,2,TRUE)),"",VLOOKUP('GOVERNMENTAL FUNDS - BS(15)'!F7,majorfunds,2,TRUE))</f>
        <v>2000</v>
      </c>
      <c r="D45" s="741">
        <v>170000</v>
      </c>
      <c r="F45" s="751">
        <f>IF(B44=2000,'GOVERNMENTAL FUNDS - BS(15)'!E25,0)</f>
        <v>0</v>
      </c>
      <c r="G45" s="751">
        <f>IF(B44=3000,'GOVERNMENTAL FUNDS - BS(15)'!E25,0)</f>
        <v>0</v>
      </c>
      <c r="H45" s="751">
        <f>IF(B44=4000,'GOVERNMENTAL FUNDS - BS(15)'!E25,0)</f>
        <v>0</v>
      </c>
      <c r="I45" s="751">
        <f>IF(B44=8000,'GOVERNMENTAL FUNDS - BS(15)'!E25,0)</f>
        <v>0</v>
      </c>
      <c r="K45" s="741">
        <v>170000</v>
      </c>
      <c r="M45" s="751">
        <f>IF(B45=2000,'GOVERNMENTAL FUNDS - BS(15)'!F25,0)</f>
        <v>0</v>
      </c>
      <c r="N45" s="751">
        <f>IF(B45=3000,'GOVERNMENTAL FUNDS - BS(15)'!F25,0)</f>
        <v>0</v>
      </c>
      <c r="O45" s="751">
        <f>IF(B45=4000,'GOVERNMENTAL FUNDS - BS(15)'!F25,0)</f>
        <v>0</v>
      </c>
      <c r="P45" s="751">
        <f>IF(B45=8000,'GOVERNMENTAL FUNDS - BS(15)'!F25,0)</f>
        <v>0</v>
      </c>
      <c r="R45" s="741">
        <v>170000</v>
      </c>
      <c r="T45" s="751">
        <f>IF(B46=2000,'GOVERNMENTAL FUNDS - BS(15)'!G25,0)</f>
        <v>0</v>
      </c>
      <c r="U45" s="751">
        <f>IF(B46=3000,'GOVERNMENTAL FUNDS - BS(15)'!G25,0)</f>
        <v>0</v>
      </c>
      <c r="V45" s="751">
        <f>IF(B46=4000,'GOVERNMENTAL FUNDS - BS(15)'!G25,0)</f>
        <v>0</v>
      </c>
      <c r="W45" s="751">
        <f>IF(B46=8000,'GOVERNMENTAL FUNDS - BS(15)'!G25,0)</f>
        <v>0</v>
      </c>
      <c r="Y45" s="741">
        <v>170000</v>
      </c>
      <c r="AA45" s="751">
        <f>IF(B47=2000,'GOVERNMENTAL FUNDS - BS(15)'!H25,0)</f>
        <v>0</v>
      </c>
      <c r="AB45" s="751">
        <f>IF(B47=3000,'GOVERNMENTAL FUNDS - BS(15)'!H25,0)</f>
        <v>0</v>
      </c>
      <c r="AC45" s="751">
        <f>IF(B47=4000,'GOVERNMENTAL FUNDS - BS(15)'!H25,0)</f>
        <v>0</v>
      </c>
      <c r="AD45" s="751">
        <f>IF(B47=8000,'GOVERNMENTAL FUNDS - BS(15)'!H25,0)</f>
        <v>0</v>
      </c>
      <c r="AF45" s="741">
        <v>170000</v>
      </c>
      <c r="AH45" s="751">
        <f>IF(B48=2000,'GOVERNMENTAL FUNDS - BS(15)'!I25,0)</f>
        <v>0</v>
      </c>
      <c r="AI45" s="751">
        <f>IF(B48=3000,'GOVERNMENTAL FUNDS - BS(15)'!I25,0)</f>
        <v>0</v>
      </c>
      <c r="AJ45" s="751">
        <f>IF(B48=4000,'GOVERNMENTAL FUNDS - BS(15)'!I25,0)</f>
        <v>0</v>
      </c>
      <c r="AK45" s="751">
        <f>IF(B48=8000,'GOVERNMENTAL FUNDS - BS(15)'!I25,0)</f>
        <v>0</v>
      </c>
      <c r="AM45" s="741">
        <v>170000</v>
      </c>
      <c r="AO45" s="751">
        <f>IF(B49=2000,'GOVERNMENTAL FUNDS - BS(15)'!J25,0)</f>
        <v>0</v>
      </c>
      <c r="AP45" s="751">
        <f>IF(B49=3000,'GOVERNMENTAL FUNDS - BS(15)'!J25,0)</f>
        <v>0</v>
      </c>
      <c r="AQ45" s="751">
        <f>IF(B49=4000,'GOVERNMENTAL FUNDS - BS(15)'!J25,0)</f>
        <v>0</v>
      </c>
      <c r="AR45" s="751">
        <f>IF(B49=8000,'GOVERNMENTAL FUNDS - BS(15)'!J25,0)</f>
        <v>0</v>
      </c>
      <c r="AT45" s="741">
        <v>170000</v>
      </c>
      <c r="AV45" s="751">
        <f>IF(B50=2000,'GOVERNMENTAL FUNDS - BS(15)'!K25,0)</f>
        <v>0</v>
      </c>
      <c r="AW45" s="751">
        <f>IF(B50=3000,'GOVERNMENTAL FUNDS - BS(15)'!K25,0)</f>
        <v>0</v>
      </c>
      <c r="AX45" s="751">
        <f>IF(B50=4000,'GOVERNMENTAL FUNDS - BS(15)'!K25,0)</f>
        <v>0</v>
      </c>
      <c r="AY45" s="751">
        <f>IF(B50=8000,'GOVERNMENTAL FUNDS - BS(15)'!K25,0)</f>
        <v>0</v>
      </c>
      <c r="BA45" s="749">
        <v>170000</v>
      </c>
      <c r="BB45" s="19"/>
      <c r="BC45" s="751">
        <f t="shared" si="1"/>
        <v>0</v>
      </c>
      <c r="BD45" s="753">
        <f t="shared" si="2"/>
        <v>0</v>
      </c>
      <c r="BE45" s="753">
        <f t="shared" si="3"/>
        <v>0</v>
      </c>
      <c r="BF45" s="753">
        <f t="shared" si="4"/>
        <v>0</v>
      </c>
    </row>
    <row r="46" spans="1:58">
      <c r="A46" s="51" t="s">
        <v>2068</v>
      </c>
      <c r="B46" s="308">
        <f>IF(ISNA(VLOOKUP('GOVERNMENTAL FUNDS - BS(15)'!G7,majorfunds,2,TRUE)),"",VLOOKUP('GOVERNMENTAL FUNDS - BS(15)'!G7,majorfunds,2,TRUE))</f>
        <v>2000</v>
      </c>
      <c r="D46" s="741">
        <v>180000</v>
      </c>
      <c r="F46" s="751"/>
      <c r="G46" s="751"/>
      <c r="H46" s="751"/>
      <c r="I46" s="751"/>
      <c r="K46" s="741">
        <v>180000</v>
      </c>
      <c r="M46" s="751"/>
      <c r="N46" s="751"/>
      <c r="O46" s="751"/>
      <c r="P46" s="751"/>
      <c r="R46" s="741">
        <v>180000</v>
      </c>
      <c r="T46" s="751"/>
      <c r="U46" s="751"/>
      <c r="V46" s="751"/>
      <c r="W46" s="751"/>
      <c r="Y46" s="741">
        <v>180000</v>
      </c>
      <c r="AA46" s="751"/>
      <c r="AB46" s="751"/>
      <c r="AC46" s="751"/>
      <c r="AD46" s="751"/>
      <c r="AF46" s="741">
        <v>180000</v>
      </c>
      <c r="AH46" s="751"/>
      <c r="AI46" s="751"/>
      <c r="AJ46" s="751"/>
      <c r="AK46" s="751"/>
      <c r="AM46" s="741">
        <v>180000</v>
      </c>
      <c r="AO46" s="751"/>
      <c r="AP46" s="751"/>
      <c r="AQ46" s="751"/>
      <c r="AR46" s="751"/>
      <c r="AT46" s="741">
        <v>180000</v>
      </c>
      <c r="AV46" s="751"/>
      <c r="AW46" s="751"/>
      <c r="AX46" s="751"/>
      <c r="AY46" s="751"/>
      <c r="BA46" s="749">
        <v>180000</v>
      </c>
      <c r="BB46" s="19"/>
      <c r="BC46" s="751"/>
      <c r="BD46" s="753"/>
      <c r="BE46" s="753"/>
      <c r="BF46" s="753"/>
    </row>
    <row r="47" spans="1:58">
      <c r="A47" s="51" t="s">
        <v>2069</v>
      </c>
      <c r="B47" s="308">
        <f>IF(ISNA(VLOOKUP('GOVERNMENTAL FUNDS - BS(15)'!H7,majorfunds,2,TRUE)),"",VLOOKUP('GOVERNMENTAL FUNDS - BS(15)'!H7,majorfunds,2,TRUE))</f>
        <v>4000</v>
      </c>
      <c r="D47" s="741">
        <v>190000</v>
      </c>
      <c r="F47" s="751">
        <f>IF(B44=2000,'GOVERNMENTAL FUNDS - BS(15)'!E31,0)</f>
        <v>0</v>
      </c>
      <c r="G47" s="751">
        <f>IF(B44=3000,'GOVERNMENTAL FUNDS - BS(15)'!E31,0)</f>
        <v>0</v>
      </c>
      <c r="H47" s="751">
        <f>IF(B44=4000,'GOVERNMENTAL FUNDS - BS(15)'!E31,0)</f>
        <v>0</v>
      </c>
      <c r="I47" s="751">
        <f>IF(B44=8000,'GOVERNMENTAL FUNDS - BS(15)'!E31,0)</f>
        <v>0</v>
      </c>
      <c r="K47" s="741">
        <v>190000</v>
      </c>
      <c r="M47" s="751">
        <f>IF(B45=2000,'GOVERNMENTAL FUNDS - BS(15)'!F31,0)</f>
        <v>0</v>
      </c>
      <c r="N47" s="751">
        <f>IF(B45=3000,'GOVERNMENTAL FUNDS - BS(15)'!F31,0)</f>
        <v>0</v>
      </c>
      <c r="O47" s="751">
        <f>IF(B45=4000,'GOVERNMENTAL FUNDS - BS(15)'!F31,0)</f>
        <v>0</v>
      </c>
      <c r="P47" s="751">
        <f>IF(B45=8000,'GOVERNMENTAL FUNDS - BS(15)'!F31,0)</f>
        <v>0</v>
      </c>
      <c r="R47" s="741">
        <v>190000</v>
      </c>
      <c r="T47" s="751">
        <f>IF(B46=2000,'GOVERNMENTAL FUNDS - BS(15)'!G31,0)</f>
        <v>0</v>
      </c>
      <c r="U47" s="751">
        <f>IF(B46=3000,'GOVERNMENTAL FUNDS - BS(15)'!G31,0)</f>
        <v>0</v>
      </c>
      <c r="V47" s="751">
        <f>IF(B46=4000,'GOVERNMENTAL FUNDS - BS(15)'!G31,0)</f>
        <v>0</v>
      </c>
      <c r="W47" s="751">
        <f>IF(B46=8000,'GOVERNMENTAL FUNDS - BS(15)'!G31,0)</f>
        <v>0</v>
      </c>
      <c r="Y47" s="741">
        <v>190000</v>
      </c>
      <c r="AA47" s="751">
        <f>IF(B47=2000,'GOVERNMENTAL FUNDS - BS(15)'!H31,0)</f>
        <v>0</v>
      </c>
      <c r="AB47" s="751">
        <f>IF(B47=3000,'GOVERNMENTAL FUNDS - BS(15)'!H31,0)</f>
        <v>0</v>
      </c>
      <c r="AC47" s="751">
        <f>IF(B47=4000,'GOVERNMENTAL FUNDS - BS(15)'!H31,0)</f>
        <v>0</v>
      </c>
      <c r="AD47" s="751">
        <f>IF(B47=8000,'GOVERNMENTAL FUNDS - BS(15)'!H31,0)</f>
        <v>0</v>
      </c>
      <c r="AF47" s="741">
        <v>190000</v>
      </c>
      <c r="AH47" s="751">
        <f>IF(B48=2000,'GOVERNMENTAL FUNDS - BS(15)'!I31,0)</f>
        <v>0</v>
      </c>
      <c r="AI47" s="751">
        <f>IF(B48=3000,'GOVERNMENTAL FUNDS - BS(15)'!I31,0)</f>
        <v>0</v>
      </c>
      <c r="AJ47" s="751">
        <f>IF(B48=4000,'GOVERNMENTAL FUNDS - BS(15)'!I31,0)</f>
        <v>0</v>
      </c>
      <c r="AK47" s="751">
        <f>IF(B48=8000,'GOVERNMENTAL FUNDS - BS(15)'!I31,0)</f>
        <v>0</v>
      </c>
      <c r="AM47" s="741">
        <v>190000</v>
      </c>
      <c r="AO47" s="751">
        <f>IF(B49=2000,'GOVERNMENTAL FUNDS - BS(15)'!J31,0)</f>
        <v>0</v>
      </c>
      <c r="AP47" s="751">
        <f>IF(B49=3000,'GOVERNMENTAL FUNDS - BS(15)'!J31,0)</f>
        <v>0</v>
      </c>
      <c r="AQ47" s="751">
        <f>IF(B49=4000,'GOVERNMENTAL FUNDS - BS(15)'!J31,0)</f>
        <v>0</v>
      </c>
      <c r="AR47" s="751">
        <f>IF(B49=8000,'GOVERNMENTAL FUNDS - BS(15)'!J31,0)</f>
        <v>0</v>
      </c>
      <c r="AT47" s="741">
        <v>190000</v>
      </c>
      <c r="AV47" s="751">
        <f>IF(B50=2000,'GOVERNMENTAL FUNDS - BS(15)'!K31,0)</f>
        <v>0</v>
      </c>
      <c r="AW47" s="751">
        <f>IF(B50=3000,'GOVERNMENTAL FUNDS - BS(15)'!K31,0)</f>
        <v>0</v>
      </c>
      <c r="AX47" s="751">
        <f>IF(B50=4000,'GOVERNMENTAL FUNDS - BS(15)'!K31,0)</f>
        <v>0</v>
      </c>
      <c r="AY47" s="751">
        <f>IF(B50=8000,'GOVERNMENTAL FUNDS - BS(15)'!K31,0)</f>
        <v>0</v>
      </c>
      <c r="BA47" s="749">
        <v>190000</v>
      </c>
      <c r="BB47" s="19"/>
      <c r="BC47" s="751">
        <f t="shared" si="1"/>
        <v>0</v>
      </c>
      <c r="BD47" s="753">
        <f t="shared" si="2"/>
        <v>0</v>
      </c>
      <c r="BE47" s="753">
        <f t="shared" si="3"/>
        <v>0</v>
      </c>
      <c r="BF47" s="753">
        <f t="shared" si="4"/>
        <v>0</v>
      </c>
    </row>
    <row r="48" spans="1:58">
      <c r="A48" s="51" t="s">
        <v>2070</v>
      </c>
      <c r="B48" s="308" t="str">
        <f>IF(ISNA(VLOOKUP('GOVERNMENTAL FUNDS - BS(15)'!I7,majorfunds,2,TRUE)),"",VLOOKUP('GOVERNMENTAL FUNDS - BS(15)'!I7,majorfunds,2,TRUE))</f>
        <v/>
      </c>
      <c r="D48" s="741">
        <v>200000</v>
      </c>
      <c r="F48" s="751">
        <f>IF(B44=2000,'GOVERNMENTAL FUNDS - BS(15)'!E34+'GOVERNMENTAL FUNDS - BS(15)'!E35+'GOVERNMENTAL FUNDS - BS(15)'!E36+'GOVERNMENTAL FUNDS - BS(15)'!E37+'GOVERNMENTAL FUNDS - BS(15)'!E38+'GOVERNMENTAL FUNDS - BS(15)'!E39,0)</f>
        <v>0</v>
      </c>
      <c r="G48" s="751">
        <f>IF(B44=3000,'GOVERNMENTAL FUNDS - BS(15)'!E34+'GOVERNMENTAL FUNDS - BS(15)'!E35+'GOVERNMENTAL FUNDS - BS(15)'!E36+'GOVERNMENTAL FUNDS - BS(15)'!E37+'GOVERNMENTAL FUNDS - BS(15)'!E38+'GOVERNMENTAL FUNDS - BS(15)'!E39,0)</f>
        <v>0</v>
      </c>
      <c r="H48" s="751">
        <f>IF(B44=4000,'GOVERNMENTAL FUNDS - BS(15)'!E34+'GOVERNMENTAL FUNDS - BS(15)'!E35+'GOVERNMENTAL FUNDS - BS(15)'!E36+'GOVERNMENTAL FUNDS - BS(15)'!E37+'GOVERNMENTAL FUNDS - BS(15)'!E38+'GOVERNMENTAL FUNDS - BS(15)'!E39,0)</f>
        <v>0</v>
      </c>
      <c r="I48" s="751">
        <f>IF(B44=8000,'GOVERNMENTAL FUNDS - BS(15)'!E34+'GOVERNMENTAL FUNDS - BS(15)'!E35+'GOVERNMENTAL FUNDS - BS(15)'!E36+'GOVERNMENTAL FUNDS - BS(15)'!E37+'GOVERNMENTAL FUNDS - BS(15)'!E38+'GOVERNMENTAL FUNDS - BS(15)'!E39,0)</f>
        <v>0</v>
      </c>
      <c r="K48" s="741">
        <v>200000</v>
      </c>
      <c r="M48" s="751">
        <f>IF(B45=2000,'GOVERNMENTAL FUNDS - BS(15)'!F34+'GOVERNMENTAL FUNDS - BS(15)'!F35+'GOVERNMENTAL FUNDS - BS(15)'!F36+'GOVERNMENTAL FUNDS - BS(15)'!F37+'GOVERNMENTAL FUNDS - BS(15)'!F38+'GOVERNMENTAL FUNDS - BS(15)'!F39,0)</f>
        <v>-660.08</v>
      </c>
      <c r="N48" s="751">
        <f>IF(B45=3000,'GOVERNMENTAL FUNDS - BS(15)'!F34+'GOVERNMENTAL FUNDS - BS(15)'!F35+'GOVERNMENTAL FUNDS - BS(15)'!F36+'GOVERNMENTAL FUNDS - BS(15)'!F37+'GOVERNMENTAL FUNDS - BS(15)'!F38+'GOVERNMENTAL FUNDS - BS(15)'!F39,0)</f>
        <v>0</v>
      </c>
      <c r="O48" s="751">
        <f>IF(B45=4000,'GOVERNMENTAL FUNDS - BS(15)'!F34+'GOVERNMENTAL FUNDS - BS(15)'!F35+'GOVERNMENTAL FUNDS - BS(15)'!F36+'GOVERNMENTAL FUNDS - BS(15)'!F37+'GOVERNMENTAL FUNDS - BS(15)'!F38+'GOVERNMENTAL FUNDS - BS(15)'!F39,0)</f>
        <v>0</v>
      </c>
      <c r="P48" s="751">
        <f>IF(B45=8000,'GOVERNMENTAL FUNDS - BS(15)'!F34+'GOVERNMENTAL FUNDS - BS(15)'!F35+'GOVERNMENTAL FUNDS - BS(15)'!F36+'GOVERNMENTAL FUNDS - BS(15)'!F37+'GOVERNMENTAL FUNDS - BS(15)'!F38+'GOVERNMENTAL FUNDS - BS(15)'!F39,0)</f>
        <v>0</v>
      </c>
      <c r="R48" s="741">
        <v>200000</v>
      </c>
      <c r="T48" s="751">
        <f>IF(B46=2000,'GOVERNMENTAL FUNDS - BS(15)'!G34+'GOVERNMENTAL FUNDS - BS(15)'!G35+'GOVERNMENTAL FUNDS - BS(15)'!G36+'GOVERNMENTAL FUNDS - BS(15)'!G37+'GOVERNMENTAL FUNDS - BS(15)'!G38+'GOVERNMENTAL FUNDS - BS(15)'!G39,0)</f>
        <v>0</v>
      </c>
      <c r="U48" s="751">
        <f>IF(B46=3000,'GOVERNMENTAL FUNDS - BS(15)'!G34+'GOVERNMENTAL FUNDS - BS(15)'!G35+'GOVERNMENTAL FUNDS - BS(15)'!G36+'GOVERNMENTAL FUNDS - BS(15)'!G37+'GOVERNMENTAL FUNDS - BS(15)'!G38+'GOVERNMENTAL FUNDS - BS(15)'!G39,0)</f>
        <v>0</v>
      </c>
      <c r="V48" s="751">
        <f>IF(B46=4000,'GOVERNMENTAL FUNDS - BS(15)'!G34+'GOVERNMENTAL FUNDS - BS(15)'!G35+'GOVERNMENTAL FUNDS - BS(15)'!G36+'GOVERNMENTAL FUNDS - BS(15)'!G37+'GOVERNMENTAL FUNDS - BS(15)'!G38+'GOVERNMENTAL FUNDS - BS(15)'!G39,0)</f>
        <v>0</v>
      </c>
      <c r="W48" s="751">
        <f>IF(B46=8000,'GOVERNMENTAL FUNDS - BS(15)'!G34+'GOVERNMENTAL FUNDS - BS(15)'!G35+'GOVERNMENTAL FUNDS - BS(15)'!G36+'GOVERNMENTAL FUNDS - BS(15)'!G37+'GOVERNMENTAL FUNDS - BS(15)'!G38+'GOVERNMENTAL FUNDS - BS(15)'!G39,0)</f>
        <v>0</v>
      </c>
      <c r="Y48" s="741">
        <v>200000</v>
      </c>
      <c r="AA48" s="751">
        <f>IF(B47=2000,'GOVERNMENTAL FUNDS - BS(15)'!H34+'GOVERNMENTAL FUNDS - BS(15)'!H35+'GOVERNMENTAL FUNDS - BS(15)'!H36+'GOVERNMENTAL FUNDS - BS(15)'!H37+'GOVERNMENTAL FUNDS - BS(15)'!H38+'GOVERNMENTAL FUNDS - BS(15)'!H39,0)</f>
        <v>0</v>
      </c>
      <c r="AB48" s="751">
        <f>IF(B47=3000,'GOVERNMENTAL FUNDS - BS(15)'!H34+'GOVERNMENTAL FUNDS - BS(15)'!H35+'GOVERNMENTAL FUNDS - BS(15)'!H36+'GOVERNMENTAL FUNDS - BS(15)'!H37+'GOVERNMENTAL FUNDS - BS(15)'!H38+'GOVERNMENTAL FUNDS - BS(15)'!H39,0)</f>
        <v>0</v>
      </c>
      <c r="AC48" s="751">
        <f>IF(B47=4000,'GOVERNMENTAL FUNDS - BS(15)'!H34+'GOVERNMENTAL FUNDS - BS(15)'!H35+'GOVERNMENTAL FUNDS - BS(15)'!H36+'GOVERNMENTAL FUNDS - BS(15)'!H37+'GOVERNMENTAL FUNDS - BS(15)'!H38+'GOVERNMENTAL FUNDS - BS(15)'!H39,0)</f>
        <v>0</v>
      </c>
      <c r="AD48" s="751">
        <f>IF(B47=8000,'GOVERNMENTAL FUNDS - BS(15)'!H34+'GOVERNMENTAL FUNDS - BS(15)'!H35+'GOVERNMENTAL FUNDS - BS(15)'!H36+'GOVERNMENTAL FUNDS - BS(15)'!H37+'GOVERNMENTAL FUNDS - BS(15)'!H38+'GOVERNMENTAL FUNDS - BS(15)'!H39,0)</f>
        <v>0</v>
      </c>
      <c r="AF48" s="741">
        <v>200000</v>
      </c>
      <c r="AH48" s="751">
        <f>IF(B48=2000,'GOVERNMENTAL FUNDS - BS(15)'!I34+'GOVERNMENTAL FUNDS - BS(15)'!I35+'GOVERNMENTAL FUNDS - BS(15)'!I36+'GOVERNMENTAL FUNDS - BS(15)'!I37+'GOVERNMENTAL FUNDS - BS(15)'!I38+'GOVERNMENTAL FUNDS - BS(15)'!I39,0)</f>
        <v>0</v>
      </c>
      <c r="AI48" s="751">
        <f>IF(B48=3000,'GOVERNMENTAL FUNDS - BS(15)'!I34+'GOVERNMENTAL FUNDS - BS(15)'!I35+'GOVERNMENTAL FUNDS - BS(15)'!I36+'GOVERNMENTAL FUNDS - BS(15)'!I37+'GOVERNMENTAL FUNDS - BS(15)'!I38+'GOVERNMENTAL FUNDS - BS(15)'!I39,0)</f>
        <v>0</v>
      </c>
      <c r="AJ48" s="751">
        <f>IF(B48=4000,'GOVERNMENTAL FUNDS - BS(15)'!I34+'GOVERNMENTAL FUNDS - BS(15)'!I35+'GOVERNMENTAL FUNDS - BS(15)'!I36+'GOVERNMENTAL FUNDS - BS(15)'!I37+'GOVERNMENTAL FUNDS - BS(15)'!I38+'GOVERNMENTAL FUNDS - BS(15)'!I39,0)</f>
        <v>0</v>
      </c>
      <c r="AK48" s="751">
        <f>IF(B48=8000,'GOVERNMENTAL FUNDS - BS(15)'!I34+'GOVERNMENTAL FUNDS - BS(15)'!I35+'GOVERNMENTAL FUNDS - BS(15)'!I36+'GOVERNMENTAL FUNDS - BS(15)'!I37+'GOVERNMENTAL FUNDS - BS(15)'!I38+'GOVERNMENTAL FUNDS - BS(15)'!I39,0)</f>
        <v>0</v>
      </c>
      <c r="AM48" s="741">
        <v>200000</v>
      </c>
      <c r="AO48" s="751">
        <f>IF(B49=2000,'GOVERNMENTAL FUNDS - BS(15)'!J34+'GOVERNMENTAL FUNDS - BS(15)'!J35+'GOVERNMENTAL FUNDS - BS(15)'!J36+'GOVERNMENTAL FUNDS - BS(15)'!J37+'GOVERNMENTAL FUNDS - BS(15)'!J38+'GOVERNMENTAL FUNDS - BS(15)'!J39,0)</f>
        <v>0</v>
      </c>
      <c r="AP48" s="751">
        <f>IF(B49=3000,'GOVERNMENTAL FUNDS - BS(15)'!J34+'GOVERNMENTAL FUNDS - BS(15)'!J35+'GOVERNMENTAL FUNDS - BS(15)'!J36+'GOVERNMENTAL FUNDS - BS(15)'!J37+'GOVERNMENTAL FUNDS - BS(15)'!J38+'GOVERNMENTAL FUNDS - BS(15)'!J39,0)</f>
        <v>0</v>
      </c>
      <c r="AQ48" s="751">
        <f>IF(B49=4000,'GOVERNMENTAL FUNDS - BS(15)'!J34+'GOVERNMENTAL FUNDS - BS(15)'!J35+'GOVERNMENTAL FUNDS - BS(15)'!J36+'GOVERNMENTAL FUNDS - BS(15)'!J37+'GOVERNMENTAL FUNDS - BS(15)'!J38+'GOVERNMENTAL FUNDS - BS(15)'!J39,0)</f>
        <v>0</v>
      </c>
      <c r="AR48" s="751">
        <f>IF(B49=8000,'GOVERNMENTAL FUNDS - BS(15)'!J34+'GOVERNMENTAL FUNDS - BS(15)'!J35+'GOVERNMENTAL FUNDS - BS(15)'!J36+'GOVERNMENTAL FUNDS - BS(15)'!J37+'GOVERNMENTAL FUNDS - BS(15)'!J38+'GOVERNMENTAL FUNDS - BS(15)'!J39,0)</f>
        <v>0</v>
      </c>
      <c r="AT48" s="741">
        <v>200000</v>
      </c>
      <c r="AV48" s="751">
        <f>IF(B50=2000,'GOVERNMENTAL FUNDS - BS(15)'!K34+'GOVERNMENTAL FUNDS - BS(15)'!K35+'GOVERNMENTAL FUNDS - BS(15)'!K36+'GOVERNMENTAL FUNDS - BS(15)'!K37+'GOVERNMENTAL FUNDS - BS(15)'!K38+'GOVERNMENTAL FUNDS - BS(15)'!K39,0)</f>
        <v>0</v>
      </c>
      <c r="AW48" s="751">
        <f>IF(B50=3000,'GOVERNMENTAL FUNDS - BS(15)'!K34+'GOVERNMENTAL FUNDS - BS(15)'!K35+'GOVERNMENTAL FUNDS - BS(15)'!K36+'GOVERNMENTAL FUNDS - BS(15)'!K37+'GOVERNMENTAL FUNDS - BS(15)'!K38+'GOVERNMENTAL FUNDS - BS(15)'!K39,0)</f>
        <v>0</v>
      </c>
      <c r="AX48" s="751">
        <f>IF(B50=4000,'GOVERNMENTAL FUNDS - BS(15)'!K34+'GOVERNMENTAL FUNDS - BS(15)'!K35+'GOVERNMENTAL FUNDS - BS(15)'!K36+'GOVERNMENTAL FUNDS - BS(15)'!K37+'GOVERNMENTAL FUNDS - BS(15)'!K38+'GOVERNMENTAL FUNDS - BS(15)'!K39,0)</f>
        <v>0</v>
      </c>
      <c r="AY48" s="751">
        <f>IF(B50=8000,'GOVERNMENTAL FUNDS - BS(15)'!K34+'GOVERNMENTAL FUNDS - BS(15)'!K35+'GOVERNMENTAL FUNDS - BS(15)'!K36+'GOVERNMENTAL FUNDS - BS(15)'!K37+'GOVERNMENTAL FUNDS - BS(15)'!K38+'GOVERNMENTAL FUNDS - BS(15)'!K39,0)</f>
        <v>0</v>
      </c>
      <c r="BA48" s="749">
        <v>200000</v>
      </c>
      <c r="BB48" s="19"/>
      <c r="BC48" s="751">
        <f t="shared" si="1"/>
        <v>-660.08</v>
      </c>
      <c r="BD48" s="753">
        <f t="shared" si="2"/>
        <v>0</v>
      </c>
      <c r="BE48" s="753">
        <f t="shared" si="3"/>
        <v>0</v>
      </c>
      <c r="BF48" s="753">
        <f t="shared" si="4"/>
        <v>0</v>
      </c>
    </row>
    <row r="49" spans="1:58">
      <c r="A49" s="51" t="s">
        <v>2071</v>
      </c>
      <c r="B49" s="308" t="str">
        <f>IF(ISNA(VLOOKUP('GOVERNMENTAL FUNDS - BS(15)'!J7,majorfunds,2,TRUE)),"",VLOOKUP('GOVERNMENTAL FUNDS - BS(15)'!J7,majorfunds,2,TRUE))</f>
        <v/>
      </c>
      <c r="D49" s="741">
        <v>210000</v>
      </c>
      <c r="F49" s="751">
        <f>IF(B44=2000,'GOVERNMENTAL FUNDS - BS(15)'!E40+'GOVERNMENTAL FUNDS - BS(15)'!E41+'GOVERNMENTAL FUNDS - BS(15)'!E42,0)</f>
        <v>0</v>
      </c>
      <c r="G49" s="751">
        <f>IF(B44=3000,'GOVERNMENTAL FUNDS - BS(15)'!E40+'GOVERNMENTAL FUNDS - BS(15)'!E41+'GOVERNMENTAL FUNDS - BS(15)'!E42,0)</f>
        <v>0</v>
      </c>
      <c r="H49" s="751">
        <f>IF(B44=4000,'GOVERNMENTAL FUNDS - BS(15)'!E40+'GOVERNMENTAL FUNDS - BS(15)'!E41+'GOVERNMENTAL FUNDS - BS(15)'!E42,0)</f>
        <v>0</v>
      </c>
      <c r="I49" s="751">
        <f>IF(B44=8000,'GOVERNMENTAL FUNDS - BS(15)'!E40+'GOVERNMENTAL FUNDS - BS(15)'!E41+'GOVERNMENTAL FUNDS - BS(15)'!E42,0)</f>
        <v>0</v>
      </c>
      <c r="K49" s="741">
        <v>210000</v>
      </c>
      <c r="M49" s="751">
        <f>IF(B45=2000,'GOVERNMENTAL FUNDS - BS(15)'!F40+'GOVERNMENTAL FUNDS - BS(15)'!F41+'GOVERNMENTAL FUNDS - BS(15)'!F42,0)</f>
        <v>0</v>
      </c>
      <c r="N49" s="751">
        <f>IF(B45=3000,'GOVERNMENTAL FUNDS - BS(15)'!F40+'GOVERNMENTAL FUNDS - BS(15)'!F41+'GOVERNMENTAL FUNDS - BS(15)'!F42,0)</f>
        <v>0</v>
      </c>
      <c r="O49" s="751">
        <f>IF(B45=4000,'GOVERNMENTAL FUNDS - BS(15)'!F40+'GOVERNMENTAL FUNDS - BS(15)'!F41+'GOVERNMENTAL FUNDS - BS(15)'!F42,0)</f>
        <v>0</v>
      </c>
      <c r="P49" s="751">
        <f>IF(B45=8000,'GOVERNMENTAL FUNDS - BS(15)'!F40+'GOVERNMENTAL FUNDS - BS(15)'!F41+'GOVERNMENTAL FUNDS - BS(15)'!F42,0)</f>
        <v>0</v>
      </c>
      <c r="R49" s="741">
        <v>210000</v>
      </c>
      <c r="T49" s="751">
        <f>IF(B46=2000,'GOVERNMENTAL FUNDS - BS(15)'!G40+'GOVERNMENTAL FUNDS - BS(15)'!G41+'GOVERNMENTAL FUNDS - BS(15)'!G42,0)</f>
        <v>0</v>
      </c>
      <c r="U49" s="751">
        <f>IF(B46=3000,'GOVERNMENTAL FUNDS - BS(15)'!G40+'GOVERNMENTAL FUNDS - BS(15)'!G41+'GOVERNMENTAL FUNDS - BS(15)'!G42,0)</f>
        <v>0</v>
      </c>
      <c r="V49" s="751">
        <f>IF(B46=4000,'GOVERNMENTAL FUNDS - BS(15)'!G40+'GOVERNMENTAL FUNDS - BS(15)'!G41+'GOVERNMENTAL FUNDS - BS(15)'!G42,0)</f>
        <v>0</v>
      </c>
      <c r="W49" s="751">
        <f>IF(B46=8000,'GOVERNMENTAL FUNDS - BS(15)'!G40+'GOVERNMENTAL FUNDS - BS(15)'!G41+'GOVERNMENTAL FUNDS - BS(15)'!G42,0)</f>
        <v>0</v>
      </c>
      <c r="Y49" s="741">
        <v>210000</v>
      </c>
      <c r="AA49" s="751">
        <f>IF(B47=2000,'GOVERNMENTAL FUNDS - BS(15)'!H40+'GOVERNMENTAL FUNDS - BS(15)'!H41+'GOVERNMENTAL FUNDS - BS(15)'!H42,0)</f>
        <v>0</v>
      </c>
      <c r="AB49" s="751">
        <f>IF(B47=3000,'GOVERNMENTAL FUNDS - BS(15)'!H40+'GOVERNMENTAL FUNDS - BS(15)'!H41+'GOVERNMENTAL FUNDS - BS(15)'!H42,0)</f>
        <v>0</v>
      </c>
      <c r="AC49" s="751">
        <f>IF(B47=4000,'GOVERNMENTAL FUNDS - BS(15)'!H40+'GOVERNMENTAL FUNDS - BS(15)'!H41+'GOVERNMENTAL FUNDS - BS(15)'!H42,0)</f>
        <v>0</v>
      </c>
      <c r="AD49" s="751">
        <f>IF(B47=8000,'GOVERNMENTAL FUNDS - BS(15)'!H40+'GOVERNMENTAL FUNDS - BS(15)'!H41+'GOVERNMENTAL FUNDS - BS(15)'!H42,0)</f>
        <v>0</v>
      </c>
      <c r="AF49" s="741">
        <v>210000</v>
      </c>
      <c r="AH49" s="751">
        <f>IF(B48=2000,'GOVERNMENTAL FUNDS - BS(15)'!I40+'GOVERNMENTAL FUNDS - BS(15)'!I41+'GOVERNMENTAL FUNDS - BS(15)'!I42,0)</f>
        <v>0</v>
      </c>
      <c r="AI49" s="751">
        <f>IF(B48=3000,'GOVERNMENTAL FUNDS - BS(15)'!I40+'GOVERNMENTAL FUNDS - BS(15)'!I41+'GOVERNMENTAL FUNDS - BS(15)'!I42,0)</f>
        <v>0</v>
      </c>
      <c r="AJ49" s="751">
        <f>IF(B48=4000,'GOVERNMENTAL FUNDS - BS(15)'!I40+'GOVERNMENTAL FUNDS - BS(15)'!I41+'GOVERNMENTAL FUNDS - BS(15)'!I42,0)</f>
        <v>0</v>
      </c>
      <c r="AK49" s="751">
        <f>IF(B48=8000,'GOVERNMENTAL FUNDS - BS(15)'!I40+'GOVERNMENTAL FUNDS - BS(15)'!I41+'GOVERNMENTAL FUNDS - BS(15)'!I42,0)</f>
        <v>0</v>
      </c>
      <c r="AM49" s="741">
        <v>210000</v>
      </c>
      <c r="AO49" s="751">
        <f>IF(B49=2000,'GOVERNMENTAL FUNDS - BS(15)'!J40+'GOVERNMENTAL FUNDS - BS(15)'!J41+'GOVERNMENTAL FUNDS - BS(15)'!J42,0)</f>
        <v>0</v>
      </c>
      <c r="AP49" s="751">
        <f>IF(B49=3000,'GOVERNMENTAL FUNDS - BS(15)'!J40+'GOVERNMENTAL FUNDS - BS(15)'!J41+'GOVERNMENTAL FUNDS - BS(15)'!J42,0)</f>
        <v>0</v>
      </c>
      <c r="AQ49" s="751">
        <f>IF(B49=4000,'GOVERNMENTAL FUNDS - BS(15)'!J40+'GOVERNMENTAL FUNDS - BS(15)'!J41+'GOVERNMENTAL FUNDS - BS(15)'!J42,0)</f>
        <v>0</v>
      </c>
      <c r="AR49" s="751">
        <f>IF(B49=8000,'GOVERNMENTAL FUNDS - BS(15)'!J40+'GOVERNMENTAL FUNDS - BS(15)'!J41+'GOVERNMENTAL FUNDS - BS(15)'!J42,0)</f>
        <v>0</v>
      </c>
      <c r="AT49" s="741">
        <v>210000</v>
      </c>
      <c r="AV49" s="751">
        <f>IF(B50=2000,'GOVERNMENTAL FUNDS - BS(15)'!K40+'GOVERNMENTAL FUNDS - BS(15)'!K41+'GOVERNMENTAL FUNDS - BS(15)'!K42,0)</f>
        <v>0</v>
      </c>
      <c r="AW49" s="751">
        <f>IF(B50=3000,'GOVERNMENTAL FUNDS - BS(15)'!K40+'GOVERNMENTAL FUNDS - BS(15)'!K41+'GOVERNMENTAL FUNDS - BS(15)'!K42,0)</f>
        <v>0</v>
      </c>
      <c r="AX49" s="751">
        <f>IF(B50=4000,'GOVERNMENTAL FUNDS - BS(15)'!K40+'GOVERNMENTAL FUNDS - BS(15)'!K41+'GOVERNMENTAL FUNDS - BS(15)'!K42,0)</f>
        <v>0</v>
      </c>
      <c r="AY49" s="751">
        <f>IF(B50=8000,'GOVERNMENTAL FUNDS - BS(15)'!K40+'GOVERNMENTAL FUNDS - BS(15)'!K41+'GOVERNMENTAL FUNDS - BS(15)'!K42,0)</f>
        <v>0</v>
      </c>
      <c r="BA49" s="749">
        <v>210000</v>
      </c>
      <c r="BB49" s="19"/>
      <c r="BC49" s="751">
        <f t="shared" si="1"/>
        <v>0</v>
      </c>
      <c r="BD49" s="753">
        <f t="shared" si="2"/>
        <v>0</v>
      </c>
      <c r="BE49" s="753">
        <f t="shared" si="3"/>
        <v>0</v>
      </c>
      <c r="BF49" s="753">
        <f t="shared" si="4"/>
        <v>0</v>
      </c>
    </row>
    <row r="50" spans="1:58">
      <c r="A50" s="51" t="s">
        <v>2072</v>
      </c>
      <c r="B50" s="308" t="str">
        <f>IF(ISNA(VLOOKUP('GOVERNMENTAL FUNDS - BS(15)'!K7,majorfunds,2,TRUE)),"",VLOOKUP('GOVERNMENTAL FUNDS - BS(15)'!K7,majorfunds,2,TRUE))</f>
        <v/>
      </c>
      <c r="D50" s="741">
        <v>216000</v>
      </c>
      <c r="F50" s="751">
        <f>IF(B44=2000,'GOVERNMENTAL FUNDS - BS(15)'!E43,0)</f>
        <v>0</v>
      </c>
      <c r="G50" s="751">
        <f>IF(B44=3000,'GOVERNMENTAL FUNDS - BS(15)'!E43,0)</f>
        <v>0</v>
      </c>
      <c r="H50" s="751">
        <f>IF(B44=4000,'GOVERNMENTAL FUNDS - BS(15)'!E43,0)</f>
        <v>0</v>
      </c>
      <c r="I50" s="751">
        <f>IF(B44=8000,'GOVERNMENTAL FUNDS - BS(15)'!E43,0)</f>
        <v>0</v>
      </c>
      <c r="K50" s="741">
        <v>216000</v>
      </c>
      <c r="M50" s="751">
        <f>IF(B45=2000,'GOVERNMENTAL FUNDS - BS(15)'!F43,0)</f>
        <v>0</v>
      </c>
      <c r="N50" s="751">
        <f>IF(B45=3000,'GOVERNMENTAL FUNDS - BS(15)'!F43,0)</f>
        <v>0</v>
      </c>
      <c r="O50" s="751">
        <f>IF(B45=4000,'GOVERNMENTAL FUNDS - BS(15)'!F43,0)</f>
        <v>0</v>
      </c>
      <c r="P50" s="751">
        <f>IF(B45=8000,'GOVERNMENTAL FUNDS - BS(15)'!F43,0)</f>
        <v>0</v>
      </c>
      <c r="R50" s="741">
        <v>216000</v>
      </c>
      <c r="T50" s="751">
        <f>IF(B46=2000,'GOVERNMENTAL FUNDS - BS(15)'!G43,0)</f>
        <v>0</v>
      </c>
      <c r="U50" s="751">
        <f>IF(B46=3000,'GOVERNMENTAL FUNDS - BS(15)'!G43,0)</f>
        <v>0</v>
      </c>
      <c r="V50" s="751">
        <f>IF(B46=4000,'GOVERNMENTAL FUNDS - BS(15)'!G43,0)</f>
        <v>0</v>
      </c>
      <c r="W50" s="751">
        <f>IF(B46=8000,'GOVERNMENTAL FUNDS - BS(15)'!G43,0)</f>
        <v>0</v>
      </c>
      <c r="Y50" s="741">
        <v>216000</v>
      </c>
      <c r="AA50" s="751">
        <f>IF(B47=2000,'GOVERNMENTAL FUNDS - BS(15)'!H43,0)</f>
        <v>0</v>
      </c>
      <c r="AB50" s="751">
        <f>IF(B47=3000,'GOVERNMENTAL FUNDS - BS(15)'!H43,0)</f>
        <v>0</v>
      </c>
      <c r="AC50" s="751">
        <f>IF(B47=4000,'GOVERNMENTAL FUNDS - BS(15)'!H43,0)</f>
        <v>0</v>
      </c>
      <c r="AD50" s="751">
        <f>IF(B47=8000,'GOVERNMENTAL FUNDS - BS(15)'!H43,0)</f>
        <v>0</v>
      </c>
      <c r="AF50" s="741">
        <v>216000</v>
      </c>
      <c r="AH50" s="751">
        <f>IF(B48=2000,'GOVERNMENTAL FUNDS - BS(15)'!I43,0)</f>
        <v>0</v>
      </c>
      <c r="AI50" s="751">
        <f>IF(B48=3000,'GOVERNMENTAL FUNDS - BS(15)'!I43,0)</f>
        <v>0</v>
      </c>
      <c r="AJ50" s="751">
        <f>IF(B48=4000,'GOVERNMENTAL FUNDS - BS(15)'!I43,0)</f>
        <v>0</v>
      </c>
      <c r="AK50" s="751">
        <f>IF(B48=8000,'GOVERNMENTAL FUNDS - BS(15)'!I43,0)</f>
        <v>0</v>
      </c>
      <c r="AM50" s="741">
        <v>216000</v>
      </c>
      <c r="AO50" s="751">
        <f>IF(B49=2000,'GOVERNMENTAL FUNDS - BS(15)'!J43,0)</f>
        <v>0</v>
      </c>
      <c r="AP50" s="751">
        <f>IF(B49=3000,'GOVERNMENTAL FUNDS - BS(15)'!J43,0)</f>
        <v>0</v>
      </c>
      <c r="AQ50" s="751">
        <f>IF(B49=4000,'GOVERNMENTAL FUNDS - BS(15)'!J43,0)</f>
        <v>0</v>
      </c>
      <c r="AR50" s="751">
        <f>IF(B49=8000,'GOVERNMENTAL FUNDS - BS(15)'!J43,0)</f>
        <v>0</v>
      </c>
      <c r="AT50" s="741">
        <v>216000</v>
      </c>
      <c r="AV50" s="751">
        <f>IF(B50=2000,'GOVERNMENTAL FUNDS - BS(15)'!K43,0)</f>
        <v>0</v>
      </c>
      <c r="AW50" s="751">
        <f>IF(B50=3000,'GOVERNMENTAL FUNDS - BS(15)'!K43,0)</f>
        <v>0</v>
      </c>
      <c r="AX50" s="751">
        <f>IF(B50=4000,'GOVERNMENTAL FUNDS - BS(15)'!K43,0)</f>
        <v>0</v>
      </c>
      <c r="AY50" s="751">
        <f>IF(B50=8000,'GOVERNMENTAL FUNDS - BS(15)'!K43,0)</f>
        <v>0</v>
      </c>
      <c r="BA50" s="749">
        <v>216000</v>
      </c>
      <c r="BB50" s="19"/>
      <c r="BC50" s="751">
        <f t="shared" si="1"/>
        <v>0</v>
      </c>
      <c r="BD50" s="753">
        <f t="shared" si="2"/>
        <v>0</v>
      </c>
      <c r="BE50" s="753">
        <f t="shared" si="3"/>
        <v>0</v>
      </c>
      <c r="BF50" s="753">
        <f t="shared" si="4"/>
        <v>0</v>
      </c>
    </row>
    <row r="51" spans="1:58">
      <c r="D51" s="741">
        <v>220000</v>
      </c>
      <c r="F51" s="751">
        <f>IF(B44=2000,'GOVERNMENTAL FUNDS - BS(15)'!E50,0)</f>
        <v>695.14</v>
      </c>
      <c r="G51" s="751">
        <f>IF(B44=3000,'GOVERNMENTAL FUNDS - BS(15)'!E50,0)</f>
        <v>0</v>
      </c>
      <c r="H51" s="751">
        <f>IF(B44=4000,'GOVERNMENTAL FUNDS - BS(15)'!E50,0)</f>
        <v>0</v>
      </c>
      <c r="I51" s="751">
        <f>IF(B44=8000,'GOVERNMENTAL FUNDS - BS(15)'!E50,0)</f>
        <v>0</v>
      </c>
      <c r="K51" s="741">
        <v>220000</v>
      </c>
      <c r="M51" s="751">
        <f>IF(B45=2000,'GOVERNMENTAL FUNDS - BS(15)'!F50,0)</f>
        <v>4020.1</v>
      </c>
      <c r="N51" s="751">
        <f>IF(B45=3000,'GOVERNMENTAL FUNDS - BS(15)'!F50,0)</f>
        <v>0</v>
      </c>
      <c r="O51" s="751">
        <f>IF(B45=4000,'GOVERNMENTAL FUNDS - BS(15)'!F50,0)</f>
        <v>0</v>
      </c>
      <c r="P51" s="751">
        <f>IF(B45=8000,'GOVERNMENTAL FUNDS - BS(15)'!F50,0)</f>
        <v>0</v>
      </c>
      <c r="R51" s="741">
        <v>220000</v>
      </c>
      <c r="T51" s="751">
        <f>IF(B46=2000,'GOVERNMENTAL FUNDS - BS(15)'!G50,0)</f>
        <v>0</v>
      </c>
      <c r="U51" s="751">
        <f>IF(B46=3000,'GOVERNMENTAL FUNDS - BS(15)'!G50,0)</f>
        <v>0</v>
      </c>
      <c r="V51" s="751">
        <f>IF(B46=4000,'GOVERNMENTAL FUNDS - BS(15)'!G50,0)</f>
        <v>0</v>
      </c>
      <c r="W51" s="751">
        <f>IF(B46=8000,'GOVERNMENTAL FUNDS - BS(15)'!G50,0)</f>
        <v>0</v>
      </c>
      <c r="Y51" s="741">
        <v>220000</v>
      </c>
      <c r="AA51" s="751">
        <f>IF(B47=2000,'GOVERNMENTAL FUNDS - BS(15)'!H50,0)</f>
        <v>0</v>
      </c>
      <c r="AB51" s="751">
        <f>IF(B47=3000,'GOVERNMENTAL FUNDS - BS(15)'!H50,0)</f>
        <v>0</v>
      </c>
      <c r="AC51" s="751">
        <f>IF(B47=4000,'GOVERNMENTAL FUNDS - BS(15)'!H50,0)</f>
        <v>0</v>
      </c>
      <c r="AD51" s="751">
        <f>IF(B47=8000,'GOVERNMENTAL FUNDS - BS(15)'!H50,0)</f>
        <v>0</v>
      </c>
      <c r="AF51" s="741">
        <v>220000</v>
      </c>
      <c r="AH51" s="751">
        <f>IF(B48=2000,'GOVERNMENTAL FUNDS - BS(15)'!I50,0)</f>
        <v>0</v>
      </c>
      <c r="AI51" s="751">
        <f>IF(B48=3000,'GOVERNMENTAL FUNDS - BS(15)'!I50,0)</f>
        <v>0</v>
      </c>
      <c r="AJ51" s="751">
        <f>IF(B48=4000,'GOVERNMENTAL FUNDS - BS(15)'!I50,0)</f>
        <v>0</v>
      </c>
      <c r="AK51" s="751">
        <f>IF(B48=8000,'GOVERNMENTAL FUNDS - BS(15)'!I50,0)</f>
        <v>0</v>
      </c>
      <c r="AM51" s="741">
        <v>220000</v>
      </c>
      <c r="AO51" s="751">
        <f>IF(B49=2000,'GOVERNMENTAL FUNDS - BS(15)'!J50,0)</f>
        <v>0</v>
      </c>
      <c r="AP51" s="751">
        <f>IF(B49=3000,'GOVERNMENTAL FUNDS - BS(15)'!J50,0)</f>
        <v>0</v>
      </c>
      <c r="AQ51" s="751">
        <f>IF(B49=4000,'GOVERNMENTAL FUNDS - BS(15)'!J50,0)</f>
        <v>0</v>
      </c>
      <c r="AR51" s="751">
        <f>IF(B49=8000,'GOVERNMENTAL FUNDS - BS(15)'!J50,0)</f>
        <v>0</v>
      </c>
      <c r="AT51" s="741">
        <v>220000</v>
      </c>
      <c r="AV51" s="751">
        <f>IF(B50=2000,'GOVERNMENTAL FUNDS - BS(15)'!K50,0)</f>
        <v>0</v>
      </c>
      <c r="AW51" s="751">
        <f>IF(B50=3000,'GOVERNMENTAL FUNDS - BS(15)'!K50,0)</f>
        <v>0</v>
      </c>
      <c r="AX51" s="751">
        <f>IF(B50=4000,'GOVERNMENTAL FUNDS - BS(15)'!K50,0)</f>
        <v>0</v>
      </c>
      <c r="AY51" s="751">
        <f>IF(B50=8000,'GOVERNMENTAL FUNDS - BS(15)'!K50,0)</f>
        <v>0</v>
      </c>
      <c r="BA51" s="749">
        <v>220000</v>
      </c>
      <c r="BB51" s="19"/>
      <c r="BC51" s="751">
        <f t="shared" si="1"/>
        <v>4715.24</v>
      </c>
      <c r="BD51" s="753">
        <f t="shared" si="2"/>
        <v>0</v>
      </c>
      <c r="BE51" s="753">
        <f t="shared" si="3"/>
        <v>0</v>
      </c>
      <c r="BF51" s="753">
        <f t="shared" si="4"/>
        <v>0</v>
      </c>
    </row>
    <row r="52" spans="1:58">
      <c r="A52" s="51" t="s">
        <v>2079</v>
      </c>
      <c r="D52" s="741">
        <v>230000</v>
      </c>
      <c r="F52" s="751">
        <f>IF(B44=2000,'GOVERNMENTAL FUNDS - BS(15)'!E44,0)</f>
        <v>0</v>
      </c>
      <c r="G52" s="751">
        <f>IF(B44=3000,'GOVERNMENTAL FUNDS - BS(15)'!E44,0)</f>
        <v>0</v>
      </c>
      <c r="H52" s="751">
        <f>IF(B44=4000,'GOVERNMENTAL FUNDS - BS(15)'!E44,0)</f>
        <v>0</v>
      </c>
      <c r="I52" s="751">
        <f>IF(B44=8000,'GOVERNMENTAL FUNDS - BS(15)'!E44,0)</f>
        <v>0</v>
      </c>
      <c r="K52" s="741">
        <v>230000</v>
      </c>
      <c r="M52" s="751">
        <f>IF(B45=2000,'GOVERNMENTAL FUNDS - BS(15)'!F44,0)</f>
        <v>0</v>
      </c>
      <c r="N52" s="751">
        <f>IF(B45=3000,'GOVERNMENTAL FUNDS - BS(15)'!F44,0)</f>
        <v>0</v>
      </c>
      <c r="O52" s="751">
        <f>IF(B45=4000,'GOVERNMENTAL FUNDS - BS(15)'!F44,0)</f>
        <v>0</v>
      </c>
      <c r="P52" s="751">
        <f>IF(B45=8000,'GOVERNMENTAL FUNDS - BS(15)'!F44,0)</f>
        <v>0</v>
      </c>
      <c r="R52" s="741">
        <v>230000</v>
      </c>
      <c r="T52" s="751">
        <f>IF(B46=2000,'GOVERNMENTAL FUNDS - BS(15)'!G44,0)</f>
        <v>0</v>
      </c>
      <c r="U52" s="751">
        <f>IF(B46=3000,'GOVERNMENTAL FUNDS - BS(15)'!G44,0)</f>
        <v>0</v>
      </c>
      <c r="V52" s="751">
        <f>IF(B46=4000,'GOVERNMENTAL FUNDS - BS(15)'!G44,0)</f>
        <v>0</v>
      </c>
      <c r="W52" s="751">
        <f>IF(B46=8000,'GOVERNMENTAL FUNDS - BS(15)'!G44,0)</f>
        <v>0</v>
      </c>
      <c r="Y52" s="741">
        <v>230000</v>
      </c>
      <c r="AA52" s="751">
        <f>IF(B47=2000,'GOVERNMENTAL FUNDS - BS(15)'!H44,0)</f>
        <v>0</v>
      </c>
      <c r="AB52" s="751">
        <f>IF(B47=3000,'GOVERNMENTAL FUNDS - BS(15)'!H44,0)</f>
        <v>0</v>
      </c>
      <c r="AC52" s="751">
        <f>IF(B47=4000,'GOVERNMENTAL FUNDS - BS(15)'!H44,0)</f>
        <v>0</v>
      </c>
      <c r="AD52" s="751">
        <f>IF(B47=8000,'GOVERNMENTAL FUNDS - BS(15)'!H44,0)</f>
        <v>0</v>
      </c>
      <c r="AF52" s="741">
        <v>230000</v>
      </c>
      <c r="AH52" s="751">
        <f>IF(B48=2000,'GOVERNMENTAL FUNDS - BS(15)'!I44,0)</f>
        <v>0</v>
      </c>
      <c r="AI52" s="751">
        <f>IF(B48=3000,'GOVERNMENTAL FUNDS - BS(15)'!I44,0)</f>
        <v>0</v>
      </c>
      <c r="AJ52" s="751">
        <f>IF(B48=4000,'GOVERNMENTAL FUNDS - BS(15)'!I44,0)</f>
        <v>0</v>
      </c>
      <c r="AK52" s="751">
        <f>IF(B48=8000,'GOVERNMENTAL FUNDS - BS(15)'!I44,0)</f>
        <v>0</v>
      </c>
      <c r="AM52" s="741">
        <v>230000</v>
      </c>
      <c r="AO52" s="751">
        <f>IF(B49=2000,'GOVERNMENTAL FUNDS - BS(15)'!J44,0)</f>
        <v>0</v>
      </c>
      <c r="AP52" s="751">
        <f>IF(B49=3000,'GOVERNMENTAL FUNDS - BS(15)'!J44,0)</f>
        <v>0</v>
      </c>
      <c r="AQ52" s="751">
        <f>IF(B49=4000,'GOVERNMENTAL FUNDS - BS(15)'!J44,0)</f>
        <v>0</v>
      </c>
      <c r="AR52" s="751">
        <f>IF(B49=8000,'GOVERNMENTAL FUNDS - BS(15)'!J44,0)</f>
        <v>0</v>
      </c>
      <c r="AT52" s="741">
        <v>230000</v>
      </c>
      <c r="AV52" s="751">
        <f>IF(B50=2000,'GOVERNMENTAL FUNDS - BS(15)'!K44,0)</f>
        <v>0</v>
      </c>
      <c r="AW52" s="751">
        <f>IF(B50=3000,'GOVERNMENTAL FUNDS - BS(15)'!K44,0)</f>
        <v>0</v>
      </c>
      <c r="AX52" s="751">
        <f>IF(B50=4000,'GOVERNMENTAL FUNDS - BS(15)'!K44,0)</f>
        <v>0</v>
      </c>
      <c r="AY52" s="751">
        <f>IF(B50=8000,'GOVERNMENTAL FUNDS - BS(15)'!K44,0)</f>
        <v>0</v>
      </c>
      <c r="BA52" s="749">
        <v>230000</v>
      </c>
      <c r="BB52" s="19"/>
      <c r="BC52" s="751">
        <f t="shared" si="1"/>
        <v>0</v>
      </c>
      <c r="BD52" s="753">
        <f t="shared" si="2"/>
        <v>0</v>
      </c>
      <c r="BE52" s="753">
        <f t="shared" si="3"/>
        <v>0</v>
      </c>
      <c r="BF52" s="753">
        <f t="shared" si="4"/>
        <v>0</v>
      </c>
    </row>
    <row r="53" spans="1:58">
      <c r="A53" s="51" t="s">
        <v>2066</v>
      </c>
      <c r="B53">
        <f>VLOOKUP('OPER-MAJOR SP. REVENUE(54-56)'!C2,majorfunds,2,TRUE)</f>
        <v>2000</v>
      </c>
      <c r="D53" s="741">
        <v>240000</v>
      </c>
      <c r="F53" s="751"/>
      <c r="G53" s="751"/>
      <c r="H53" s="751"/>
      <c r="I53" s="751"/>
      <c r="K53" s="741">
        <v>240000</v>
      </c>
      <c r="M53" s="751"/>
      <c r="N53" s="751"/>
      <c r="O53" s="751"/>
      <c r="P53" s="751"/>
      <c r="R53" s="741">
        <v>240000</v>
      </c>
      <c r="T53" s="751"/>
      <c r="U53" s="751"/>
      <c r="V53" s="751"/>
      <c r="W53" s="751"/>
      <c r="Y53" s="741">
        <v>240000</v>
      </c>
      <c r="AA53" s="751"/>
      <c r="AB53" s="751"/>
      <c r="AC53" s="751"/>
      <c r="AD53" s="751"/>
      <c r="AF53" s="741">
        <v>240000</v>
      </c>
      <c r="AH53" s="751"/>
      <c r="AI53" s="751"/>
      <c r="AJ53" s="751"/>
      <c r="AK53" s="751"/>
      <c r="AM53" s="741">
        <v>240000</v>
      </c>
      <c r="AO53" s="751"/>
      <c r="AP53" s="751"/>
      <c r="AQ53" s="751"/>
      <c r="AR53" s="751"/>
      <c r="AT53" s="741">
        <v>240000</v>
      </c>
      <c r="AV53" s="751"/>
      <c r="AW53" s="751"/>
      <c r="AX53" s="751"/>
      <c r="AY53" s="751"/>
      <c r="BA53" s="749">
        <v>240000</v>
      </c>
      <c r="BB53" s="19"/>
      <c r="BC53" s="751"/>
      <c r="BD53" s="753"/>
      <c r="BE53" s="753"/>
      <c r="BF53" s="753"/>
    </row>
    <row r="54" spans="1:58">
      <c r="A54" s="51" t="s">
        <v>2067</v>
      </c>
      <c r="B54">
        <f>VLOOKUP('OPER-MAJOR SP. REVENUE(54-56)'!G2,majorfunds,2,TRUE)</f>
        <v>2000</v>
      </c>
      <c r="D54" s="741">
        <v>250000</v>
      </c>
      <c r="F54" s="751"/>
      <c r="G54" s="751"/>
      <c r="H54" s="751"/>
      <c r="I54" s="751"/>
      <c r="K54" s="741">
        <v>250000</v>
      </c>
      <c r="M54" s="751"/>
      <c r="N54" s="751"/>
      <c r="O54" s="751"/>
      <c r="P54" s="751"/>
      <c r="R54" s="741">
        <v>250000</v>
      </c>
      <c r="T54" s="751"/>
      <c r="U54" s="751"/>
      <c r="V54" s="751"/>
      <c r="W54" s="751"/>
      <c r="Y54" s="741">
        <v>250000</v>
      </c>
      <c r="AA54" s="751"/>
      <c r="AB54" s="751"/>
      <c r="AC54" s="751"/>
      <c r="AD54" s="751"/>
      <c r="AF54" s="741">
        <v>250000</v>
      </c>
      <c r="AH54" s="751"/>
      <c r="AI54" s="751"/>
      <c r="AJ54" s="751"/>
      <c r="AK54" s="751"/>
      <c r="AM54" s="741">
        <v>250000</v>
      </c>
      <c r="AO54" s="751"/>
      <c r="AP54" s="751"/>
      <c r="AQ54" s="751"/>
      <c r="AR54" s="751"/>
      <c r="AT54" s="741">
        <v>250000</v>
      </c>
      <c r="AV54" s="751"/>
      <c r="AW54" s="751"/>
      <c r="AX54" s="751"/>
      <c r="AY54" s="751"/>
      <c r="BA54" s="749">
        <v>250000</v>
      </c>
      <c r="BB54" s="19"/>
      <c r="BC54" s="751"/>
      <c r="BD54" s="753"/>
      <c r="BE54" s="753"/>
      <c r="BF54" s="753"/>
    </row>
    <row r="55" spans="1:58">
      <c r="A55" s="51" t="s">
        <v>2068</v>
      </c>
      <c r="B55">
        <f>VLOOKUP('OPER-MAJOR SP. REVENUE(54-56)'!K2,majorfunds,2,TRUE)</f>
        <v>2000</v>
      </c>
      <c r="D55" s="741">
        <v>260000</v>
      </c>
      <c r="F55" s="751"/>
      <c r="G55" s="751"/>
      <c r="H55" s="751"/>
      <c r="I55" s="751"/>
      <c r="K55" s="741">
        <v>260000</v>
      </c>
      <c r="M55" s="751"/>
      <c r="N55" s="751"/>
      <c r="O55" s="751"/>
      <c r="P55" s="751"/>
      <c r="R55" s="741">
        <v>260000</v>
      </c>
      <c r="T55" s="751"/>
      <c r="U55" s="751"/>
      <c r="V55" s="751"/>
      <c r="W55" s="751"/>
      <c r="Y55" s="741">
        <v>260000</v>
      </c>
      <c r="AA55" s="751"/>
      <c r="AB55" s="751"/>
      <c r="AC55" s="751"/>
      <c r="AD55" s="751"/>
      <c r="AF55" s="741">
        <v>260000</v>
      </c>
      <c r="AH55" s="751"/>
      <c r="AI55" s="751"/>
      <c r="AJ55" s="751"/>
      <c r="AK55" s="751"/>
      <c r="AM55" s="741">
        <v>260000</v>
      </c>
      <c r="AO55" s="751"/>
      <c r="AP55" s="751"/>
      <c r="AQ55" s="751"/>
      <c r="AR55" s="751"/>
      <c r="AT55" s="741">
        <v>260000</v>
      </c>
      <c r="AV55" s="751"/>
      <c r="AW55" s="751"/>
      <c r="AX55" s="751"/>
      <c r="AY55" s="751"/>
      <c r="BA55" s="749">
        <v>260000</v>
      </c>
      <c r="BB55" s="19"/>
      <c r="BC55" s="751"/>
      <c r="BD55" s="753"/>
      <c r="BE55" s="753"/>
      <c r="BF55" s="753"/>
    </row>
    <row r="56" spans="1:58">
      <c r="A56" s="51" t="s">
        <v>2069</v>
      </c>
      <c r="B56">
        <f>VLOOKUP('OPER-MAJOR SP. REVENUE(54-56)'!O2,majorfunds,2,TRUE)</f>
        <v>4000</v>
      </c>
      <c r="D56" s="741">
        <v>270000</v>
      </c>
      <c r="F56" s="751">
        <f>IF(B44=2000,'GOVERNMENTAL FUNDS - BS(15)'!E72,0)</f>
        <v>2416.62</v>
      </c>
      <c r="G56" s="751">
        <f>IF(B44=3000,'GOVERNMENTAL FUNDS - BS(15)'!E72,0)</f>
        <v>0</v>
      </c>
      <c r="H56" s="751">
        <f>IF(B44=4000,'GOVERNMENTAL FUNDS - BS(15)'!E72,0)</f>
        <v>0</v>
      </c>
      <c r="I56" s="751">
        <f>IF(B44=8000,'GOVERNMENTAL FUNDS - BS(15)'!E72,0)</f>
        <v>0</v>
      </c>
      <c r="K56" s="741">
        <v>270000</v>
      </c>
      <c r="M56" s="751">
        <f>IF(B45=2000,'GOVERNMENTAL FUNDS - BS(15)'!F72,0)</f>
        <v>34582.89</v>
      </c>
      <c r="N56" s="751">
        <f>IF(B45=3000,'GOVERNMENTAL FUNDS - BS(15)'!F72,0)</f>
        <v>0</v>
      </c>
      <c r="O56" s="751">
        <f>IF(B45=4000,'GOVERNMENTAL FUNDS - BS(15)'!F72,0)</f>
        <v>0</v>
      </c>
      <c r="P56" s="751">
        <f>IF(B45=8000,'GOVERNMENTAL FUNDS - BS(15)'!F72,0)</f>
        <v>0</v>
      </c>
      <c r="R56" s="741">
        <v>270000</v>
      </c>
      <c r="T56" s="751">
        <f>IF(B46=2000,'GOVERNMENTAL FUNDS - BS(15)'!G72,0)</f>
        <v>5126.08</v>
      </c>
      <c r="U56" s="751">
        <f>IF(B46=3000,'GOVERNMENTAL FUNDS - BS(15)'!G72,0)</f>
        <v>0</v>
      </c>
      <c r="V56" s="751">
        <f>IF(B46=4000,'GOVERNMENTAL FUNDS - BS(15)'!G72,0)</f>
        <v>0</v>
      </c>
      <c r="W56" s="751">
        <f>IF(B46=8000,'GOVERNMENTAL FUNDS - BS(15)'!G72,0)</f>
        <v>0</v>
      </c>
      <c r="Y56" s="741">
        <v>270000</v>
      </c>
      <c r="AA56" s="751">
        <f>IF(B47=2000,'GOVERNMENTAL FUNDS - BS(15)'!H72,0)</f>
        <v>0</v>
      </c>
      <c r="AB56" s="751">
        <f>IF(B47=3000,'GOVERNMENTAL FUNDS - BS(15)'!H72,0)</f>
        <v>0</v>
      </c>
      <c r="AC56" s="751">
        <f>IF(B47=4000,'GOVERNMENTAL FUNDS - BS(15)'!H72,0)</f>
        <v>6506</v>
      </c>
      <c r="AD56" s="751">
        <f>IF(B47=8000,'GOVERNMENTAL FUNDS - BS(15)'!H72,0)</f>
        <v>0</v>
      </c>
      <c r="AF56" s="741">
        <v>270000</v>
      </c>
      <c r="AH56" s="751">
        <f>IF(B48=2000,'GOVERNMENTAL FUNDS - BS(15)'!I72,0)</f>
        <v>0</v>
      </c>
      <c r="AI56" s="751">
        <f>IF(B48=3000,'GOVERNMENTAL FUNDS - BS(15)'!I72,0)</f>
        <v>0</v>
      </c>
      <c r="AJ56" s="751">
        <f>IF(B48=4000,'GOVERNMENTAL FUNDS - BS(15)'!I72,0)</f>
        <v>0</v>
      </c>
      <c r="AK56" s="751">
        <f>IF(B48=8000,'GOVERNMENTAL FUNDS - BS(15)'!I72,0)</f>
        <v>0</v>
      </c>
      <c r="AM56" s="741">
        <v>270000</v>
      </c>
      <c r="AO56" s="751">
        <f>IF(B49=2000,'GOVERNMENTAL FUNDS - BS(15)'!J72,0)</f>
        <v>0</v>
      </c>
      <c r="AP56" s="751">
        <f>IF(B49=3000,'GOVERNMENTAL FUNDS - BS(15)'!J72,0)</f>
        <v>0</v>
      </c>
      <c r="AQ56" s="751">
        <f>IF(B49=4000,'GOVERNMENTAL FUNDS - BS(15)'!J72,0)</f>
        <v>0</v>
      </c>
      <c r="AR56" s="751">
        <f>IF(B49=8000,'GOVERNMENTAL FUNDS - BS(15)'!J72,0)</f>
        <v>0</v>
      </c>
      <c r="AT56" s="741">
        <v>270000</v>
      </c>
      <c r="AV56" s="751">
        <f>IF(B50=2000,'GOVERNMENTAL FUNDS - BS(15)'!K72,0)</f>
        <v>0</v>
      </c>
      <c r="AW56" s="751">
        <f>IF(B50=3000,'GOVERNMENTAL FUNDS - BS(15)'!K72,0)</f>
        <v>0</v>
      </c>
      <c r="AX56" s="751">
        <f>IF(B50=4000,'GOVERNMENTAL FUNDS - BS(15)'!K72,0)</f>
        <v>0</v>
      </c>
      <c r="AY56" s="751">
        <f>IF(B50=8000,'GOVERNMENTAL FUNDS - BS(15)'!K72,0)</f>
        <v>0</v>
      </c>
      <c r="BA56" s="749">
        <v>270000</v>
      </c>
      <c r="BB56" s="19"/>
      <c r="BC56" s="751">
        <f t="shared" si="1"/>
        <v>42125.590000000004</v>
      </c>
      <c r="BD56" s="753">
        <f t="shared" si="2"/>
        <v>0</v>
      </c>
      <c r="BE56" s="753">
        <f t="shared" si="3"/>
        <v>6506</v>
      </c>
      <c r="BF56" s="753">
        <f t="shared" si="4"/>
        <v>0</v>
      </c>
    </row>
    <row r="57" spans="1:58">
      <c r="A57" s="51" t="s">
        <v>2070</v>
      </c>
      <c r="B57" t="e">
        <f>VLOOKUP('OPER-MAJOR SP. REVENUE(54-56)'!S2,majorfunds,2,TRUE)</f>
        <v>#N/A</v>
      </c>
      <c r="D57" s="741">
        <v>280000</v>
      </c>
      <c r="F57" s="751"/>
      <c r="G57" s="751"/>
      <c r="H57" s="751"/>
      <c r="I57" s="751"/>
      <c r="K57" s="741">
        <v>280000</v>
      </c>
      <c r="M57" s="751"/>
      <c r="N57" s="751"/>
      <c r="O57" s="751"/>
      <c r="P57" s="751"/>
      <c r="R57" s="741">
        <v>280000</v>
      </c>
      <c r="T57" s="751"/>
      <c r="U57" s="751"/>
      <c r="V57" s="751"/>
      <c r="W57" s="751"/>
      <c r="Y57" s="741">
        <v>280000</v>
      </c>
      <c r="AA57" s="751"/>
      <c r="AB57" s="751"/>
      <c r="AC57" s="751"/>
      <c r="AD57" s="751"/>
      <c r="AF57" s="741">
        <v>280000</v>
      </c>
      <c r="AH57" s="751"/>
      <c r="AI57" s="751"/>
      <c r="AJ57" s="751"/>
      <c r="AK57" s="751"/>
      <c r="AM57" s="741">
        <v>280000</v>
      </c>
      <c r="AO57" s="751"/>
      <c r="AP57" s="751"/>
      <c r="AQ57" s="751"/>
      <c r="AR57" s="751"/>
      <c r="AT57" s="741">
        <v>280000</v>
      </c>
      <c r="AV57" s="751"/>
      <c r="AW57" s="751"/>
      <c r="AX57" s="751"/>
      <c r="AY57" s="751"/>
      <c r="BA57" s="749">
        <v>280000</v>
      </c>
      <c r="BB57" s="19"/>
      <c r="BC57" s="751"/>
      <c r="BD57" s="753"/>
      <c r="BE57" s="753"/>
      <c r="BF57" s="753"/>
    </row>
    <row r="58" spans="1:58">
      <c r="A58" s="51" t="s">
        <v>2071</v>
      </c>
      <c r="B58" t="e">
        <f>VLOOKUP('OPER-MAJOR SP. REVENUE(54-56)'!W2,majorfunds,2,TRUE)</f>
        <v>#N/A</v>
      </c>
      <c r="D58" s="741">
        <v>310000</v>
      </c>
      <c r="F58" s="751"/>
      <c r="G58" s="751"/>
      <c r="H58" s="751"/>
      <c r="I58" s="751"/>
      <c r="K58" s="741">
        <v>310000</v>
      </c>
      <c r="M58" s="751"/>
      <c r="N58" s="751"/>
      <c r="O58" s="751"/>
      <c r="P58" s="751"/>
      <c r="R58" s="741">
        <v>310000</v>
      </c>
      <c r="T58" s="751"/>
      <c r="U58" s="751"/>
      <c r="V58" s="751"/>
      <c r="W58" s="751"/>
      <c r="Y58" s="741">
        <v>310000</v>
      </c>
      <c r="AA58" s="751"/>
      <c r="AB58" s="751"/>
      <c r="AC58" s="751"/>
      <c r="AD58" s="751"/>
      <c r="AF58" s="741">
        <v>310000</v>
      </c>
      <c r="AH58" s="751"/>
      <c r="AI58" s="751"/>
      <c r="AJ58" s="751"/>
      <c r="AK58" s="751"/>
      <c r="AM58" s="741">
        <v>310000</v>
      </c>
      <c r="AO58" s="751"/>
      <c r="AP58" s="751"/>
      <c r="AQ58" s="751"/>
      <c r="AR58" s="751"/>
      <c r="AT58" s="741">
        <v>310000</v>
      </c>
      <c r="AV58" s="751"/>
      <c r="AW58" s="751"/>
      <c r="AX58" s="751"/>
      <c r="AY58" s="751"/>
      <c r="BA58" s="749">
        <v>310000</v>
      </c>
      <c r="BB58" s="19"/>
      <c r="BC58" s="751">
        <f t="shared" si="1"/>
        <v>0</v>
      </c>
      <c r="BD58" s="753">
        <f t="shared" si="2"/>
        <v>0</v>
      </c>
      <c r="BE58" s="753">
        <f t="shared" si="3"/>
        <v>0</v>
      </c>
      <c r="BF58" s="753">
        <f t="shared" si="4"/>
        <v>0</v>
      </c>
    </row>
    <row r="59" spans="1:58">
      <c r="A59" s="51" t="s">
        <v>2072</v>
      </c>
      <c r="B59" t="e">
        <f>VLOOKUP('OPER-MAJOR SP. REVENUE(54-56)'!AA2,majorfunds,2,TRUE)</f>
        <v>#N/A</v>
      </c>
      <c r="D59" s="741">
        <v>311000</v>
      </c>
      <c r="F59" s="751">
        <f>IF(B44=2000,'OPER-MAJOR SP. REVENUE(54-56)'!E11,0)</f>
        <v>6354.3</v>
      </c>
      <c r="G59" s="751">
        <f>IF(B44=3000,'OPER-MAJOR SP. REVENUE(54-56)'!E11,0)</f>
        <v>0</v>
      </c>
      <c r="H59" s="751">
        <f>IF(B44=4000,'OPER-MAJOR SP. REVENUE(54-56)'!E11,0)</f>
        <v>0</v>
      </c>
      <c r="I59" s="751">
        <f>IF(B44=8000,'OPER-MAJOR SP. REVENUE(54-56)'!E11,0)</f>
        <v>0</v>
      </c>
      <c r="K59" s="741">
        <v>311000</v>
      </c>
      <c r="M59" s="751">
        <f>IF(B45=2000,'OPER-MAJOR SP. REVENUE(54-56)'!I11,0)</f>
        <v>0</v>
      </c>
      <c r="N59" s="751">
        <f>IF(B45=3000,'OPER-MAJOR SP. REVENUE(54-56)'!I11,0)</f>
        <v>0</v>
      </c>
      <c r="O59" s="751">
        <f>IF(B45=4000,'OPER-MAJOR SP. REVENUE(54-56)'!I11,0)</f>
        <v>0</v>
      </c>
      <c r="P59" s="751">
        <f>IF(B45=8000,'OPER-MAJOR SP. REVENUE(54-56)'!I11,0)</f>
        <v>0</v>
      </c>
      <c r="R59" s="741">
        <v>311000</v>
      </c>
      <c r="T59" s="751">
        <f>IF(B46=2000,'OPER-MAJOR SP. REVENUE(54-56)'!M11,0)</f>
        <v>0</v>
      </c>
      <c r="U59" s="751">
        <f>IF(B46=3000,'OPER-MAJOR SP. REVENUE(54-56)'!M11,0)</f>
        <v>0</v>
      </c>
      <c r="V59" s="751">
        <f>IF(B46=4000,'OPER-MAJOR SP. REVENUE(54-56)'!M11,0)</f>
        <v>0</v>
      </c>
      <c r="W59" s="751">
        <f>IF(B46=8000,'OPER-MAJOR SP. REVENUE(54-56)'!M11,0)</f>
        <v>0</v>
      </c>
      <c r="Y59" s="741">
        <v>311000</v>
      </c>
      <c r="AA59" s="751">
        <f>IF(B47=2000,'OPER-MAJOR SP. REVENUE(54-56)'!Q11,0)</f>
        <v>0</v>
      </c>
      <c r="AB59" s="751">
        <f>IF(B47=3000,'OPER-MAJOR SP. REVENUE(54-56)'!Q11,0)</f>
        <v>0</v>
      </c>
      <c r="AC59" s="751">
        <f>IF(B47=4000,'OPER-MAJOR SP. REVENUE(54-56)'!Q11,0)</f>
        <v>0</v>
      </c>
      <c r="AD59" s="751">
        <f>IF(B47=8000,'OPER-MAJOR SP. REVENUE(54-56)'!Q11,0)</f>
        <v>0</v>
      </c>
      <c r="AF59" s="741">
        <v>311000</v>
      </c>
      <c r="AH59" s="751">
        <f>IF(B48=2000,'OPER-MAJOR SP. REVENUE(54-56)'!U11,0)</f>
        <v>0</v>
      </c>
      <c r="AI59" s="751">
        <f>IF(B48=3000,'OPER-MAJOR SP. REVENUE(54-56)'!U11,0)</f>
        <v>0</v>
      </c>
      <c r="AJ59" s="751">
        <f>IF(B48=4000,'OPER-MAJOR SP. REVENUE(54-56)'!U11,0)</f>
        <v>0</v>
      </c>
      <c r="AK59" s="751">
        <f>IF(B48=8000,'OPER-MAJOR SP. REVENUE(54-56)'!U11,0)</f>
        <v>0</v>
      </c>
      <c r="AM59" s="741">
        <v>311000</v>
      </c>
      <c r="AO59" s="751">
        <f>IF(B49=2000,'OPER-MAJOR SP. REVENUE(54-56)'!Y11,0)</f>
        <v>0</v>
      </c>
      <c r="AP59" s="751">
        <f>IF(B49=3000,'OPER-MAJOR SP. REVENUE(54-56)'!Y11,0)</f>
        <v>0</v>
      </c>
      <c r="AQ59" s="751">
        <f>IF(B49=4000,'OPER-MAJOR SP. REVENUE(54-56)'!Y11,0)</f>
        <v>0</v>
      </c>
      <c r="AR59" s="751">
        <f>IF(B49=8000,'OPER-MAJOR SP. REVENUE(54-56)'!Y11,0)</f>
        <v>0</v>
      </c>
      <c r="AT59" s="741">
        <v>311000</v>
      </c>
      <c r="AV59" s="751">
        <f>IF(B50=2000,'OPER-MAJOR SP. REVENUE(54-56)'!AC11,0)</f>
        <v>0</v>
      </c>
      <c r="AW59" s="751">
        <f>IF(B50=3000,'OPER-MAJOR SP. REVENUE(54-56)'!AC11,0)</f>
        <v>0</v>
      </c>
      <c r="AX59" s="751">
        <f>IF(B50=4000,'OPER-MAJOR SP. REVENUE(54-56)'!AC11,0)</f>
        <v>0</v>
      </c>
      <c r="AY59" s="751">
        <f>IF(B50=8000,'OPER-MAJOR SP. REVENUE(54-56)'!AC11,0)</f>
        <v>0</v>
      </c>
      <c r="BA59" s="749">
        <v>311000</v>
      </c>
      <c r="BB59" s="19"/>
      <c r="BC59" s="751">
        <f t="shared" si="1"/>
        <v>6354.3</v>
      </c>
      <c r="BD59" s="753">
        <f t="shared" si="2"/>
        <v>0</v>
      </c>
      <c r="BE59" s="753">
        <f t="shared" si="3"/>
        <v>0</v>
      </c>
      <c r="BF59" s="753">
        <f t="shared" si="4"/>
        <v>0</v>
      </c>
    </row>
    <row r="60" spans="1:58">
      <c r="D60" s="741">
        <v>312000</v>
      </c>
      <c r="F60" s="751"/>
      <c r="G60" s="751"/>
      <c r="H60" s="751"/>
      <c r="I60" s="751"/>
      <c r="K60" s="741">
        <v>312000</v>
      </c>
      <c r="M60" s="751"/>
      <c r="N60" s="751"/>
      <c r="O60" s="751"/>
      <c r="P60" s="751"/>
      <c r="R60" s="741">
        <v>312000</v>
      </c>
      <c r="T60" s="751"/>
      <c r="U60" s="751"/>
      <c r="V60" s="751"/>
      <c r="W60" s="751"/>
      <c r="Y60" s="741">
        <v>312000</v>
      </c>
      <c r="AA60" s="751"/>
      <c r="AB60" s="751"/>
      <c r="AC60" s="751"/>
      <c r="AD60" s="751"/>
      <c r="AF60" s="741">
        <v>312000</v>
      </c>
      <c r="AH60" s="751"/>
      <c r="AI60" s="751"/>
      <c r="AJ60" s="751"/>
      <c r="AK60" s="751"/>
      <c r="AM60" s="741">
        <v>312000</v>
      </c>
      <c r="AO60" s="751"/>
      <c r="AP60" s="751"/>
      <c r="AQ60" s="751"/>
      <c r="AR60" s="751"/>
      <c r="AT60" s="741">
        <v>312000</v>
      </c>
      <c r="AV60" s="751"/>
      <c r="AW60" s="751"/>
      <c r="AX60" s="751"/>
      <c r="AY60" s="751"/>
      <c r="BA60" s="749">
        <v>312000</v>
      </c>
      <c r="BB60" s="19"/>
      <c r="BC60" s="751"/>
      <c r="BD60" s="753"/>
      <c r="BE60" s="753"/>
      <c r="BF60" s="753"/>
    </row>
    <row r="61" spans="1:58">
      <c r="D61" s="741">
        <v>313000</v>
      </c>
      <c r="F61" s="751"/>
      <c r="G61" s="751"/>
      <c r="H61" s="751"/>
      <c r="I61" s="751"/>
      <c r="K61" s="741">
        <v>313000</v>
      </c>
      <c r="M61" s="751"/>
      <c r="N61" s="751"/>
      <c r="O61" s="751"/>
      <c r="P61" s="751"/>
      <c r="R61" s="741">
        <v>313000</v>
      </c>
      <c r="T61" s="751"/>
      <c r="U61" s="751"/>
      <c r="V61" s="751"/>
      <c r="W61" s="751"/>
      <c r="Y61" s="741">
        <v>313000</v>
      </c>
      <c r="AA61" s="751"/>
      <c r="AB61" s="751"/>
      <c r="AC61" s="751"/>
      <c r="AD61" s="751"/>
      <c r="AF61" s="741">
        <v>313000</v>
      </c>
      <c r="AH61" s="751"/>
      <c r="AI61" s="751"/>
      <c r="AJ61" s="751"/>
      <c r="AK61" s="751"/>
      <c r="AM61" s="741">
        <v>313000</v>
      </c>
      <c r="AO61" s="751"/>
      <c r="AP61" s="751"/>
      <c r="AQ61" s="751"/>
      <c r="AR61" s="751"/>
      <c r="AT61" s="741">
        <v>313000</v>
      </c>
      <c r="AV61" s="751"/>
      <c r="AW61" s="751"/>
      <c r="AX61" s="751"/>
      <c r="AY61" s="751"/>
      <c r="BA61" s="749">
        <v>313000</v>
      </c>
      <c r="BB61" s="19"/>
      <c r="BC61" s="751"/>
      <c r="BD61" s="753"/>
      <c r="BE61" s="753"/>
      <c r="BF61" s="753"/>
    </row>
    <row r="62" spans="1:58">
      <c r="D62" s="741">
        <v>314000</v>
      </c>
      <c r="F62" s="751">
        <f>IF(B44=2000,'OPER-MAJOR SP. REVENUE(54-56)'!E12,0)</f>
        <v>2124.9899999999998</v>
      </c>
      <c r="G62" s="751">
        <f>IF(B44=3000,'OPER-MAJOR SP. REVENUE(54-56)'!E12,0)</f>
        <v>0</v>
      </c>
      <c r="H62" s="751">
        <f>IF(B44=4000,'OPER-MAJOR SP. REVENUE(54-56)'!E12,0)</f>
        <v>0</v>
      </c>
      <c r="I62" s="751">
        <f>IF(B44=8000,'OPER-MAJOR SP. REVENUE(54-56)'!E12,0)</f>
        <v>0</v>
      </c>
      <c r="K62" s="741">
        <v>314000</v>
      </c>
      <c r="M62" s="751">
        <f>IF(B45=2000,'OPER-MAJOR SP. REVENUE(54-56)'!I12,0)</f>
        <v>53592.27</v>
      </c>
      <c r="N62" s="751">
        <f>IF(B45=3000,'OPER-MAJOR SP. REVENUE(54-56)'!I12,0)</f>
        <v>0</v>
      </c>
      <c r="O62" s="751">
        <f>IF(B45=4000,'OPER-MAJOR SP. REVENUE(54-56)'!I12,0)</f>
        <v>0</v>
      </c>
      <c r="P62" s="751">
        <f>IF(B45=8000,'OPER-MAJOR SP. REVENUE(54-56)'!I12,0)</f>
        <v>0</v>
      </c>
      <c r="R62" s="741">
        <v>314000</v>
      </c>
      <c r="T62" s="751">
        <f>IF(B46=2000,'OPER-MAJOR SP. REVENUE(54-56)'!M12,0)</f>
        <v>0</v>
      </c>
      <c r="U62" s="751">
        <f>IF(B46=3000,'OPER-MAJOR SP. REVENUE(54-56)'!M12,0)</f>
        <v>0</v>
      </c>
      <c r="V62" s="751">
        <f>IF(B46=4000,'OPER-MAJOR SP. REVENUE(54-56)'!M12,0)</f>
        <v>0</v>
      </c>
      <c r="W62" s="751">
        <f>IF(B46=8000,'OPER-MAJOR SP. REVENUE(54-56)'!M12,0)</f>
        <v>0</v>
      </c>
      <c r="Y62" s="741">
        <v>314000</v>
      </c>
      <c r="AA62" s="751">
        <f>IF(B47=2000,'OPER-MAJOR SP. REVENUE(54-56)'!Q12,0)</f>
        <v>0</v>
      </c>
      <c r="AB62" s="751">
        <f>IF(B47=3000,'OPER-MAJOR SP. REVENUE(54-56)'!Q12,0)</f>
        <v>0</v>
      </c>
      <c r="AC62" s="751">
        <f>IF(B47=4000,'OPER-MAJOR SP. REVENUE(54-56)'!Q12,0)</f>
        <v>0</v>
      </c>
      <c r="AD62" s="751">
        <f>IF(B47=8000,'OPER-MAJOR SP. REVENUE(54-56)'!Q12,0)</f>
        <v>0</v>
      </c>
      <c r="AF62" s="741">
        <v>314000</v>
      </c>
      <c r="AH62" s="751">
        <f>IF(B48=2000,'OPER-MAJOR SP. REVENUE(54-56)'!U12,0)</f>
        <v>0</v>
      </c>
      <c r="AI62" s="751">
        <f>IF(B48=3000,'OPER-MAJOR SP. REVENUE(54-56)'!U12,0)</f>
        <v>0</v>
      </c>
      <c r="AJ62" s="751">
        <f>IF(B48=4000,'OPER-MAJOR SP. REVENUE(54-56)'!U12,0)</f>
        <v>0</v>
      </c>
      <c r="AK62" s="751">
        <f>IF(B48=8000,'OPER-MAJOR SP. REVENUE(54-56)'!U12,0)</f>
        <v>0</v>
      </c>
      <c r="AM62" s="741">
        <v>314000</v>
      </c>
      <c r="AO62" s="751">
        <f>IF(B49=2000,'OPER-MAJOR SP. REVENUE(54-56)'!Y12,0)</f>
        <v>0</v>
      </c>
      <c r="AP62" s="751">
        <f>IF(B49=3000,'OPER-MAJOR SP. REVENUE(54-56)'!Y12,0)</f>
        <v>0</v>
      </c>
      <c r="AQ62" s="751">
        <f>IF(B49=4000,'OPER-MAJOR SP. REVENUE(54-56)'!Y12,0)</f>
        <v>0</v>
      </c>
      <c r="AR62" s="751">
        <f>IF(B49=8000,'OPER-MAJOR SP. REVENUE(54-56)'!Y12,0)</f>
        <v>0</v>
      </c>
      <c r="AT62" s="741">
        <v>314000</v>
      </c>
      <c r="AV62" s="751">
        <f>IF(B50=2000,'OPER-MAJOR SP. REVENUE(54-56)'!AC12,0)</f>
        <v>0</v>
      </c>
      <c r="AW62" s="751">
        <f>IF(B50=3000,'OPER-MAJOR SP. REVENUE(54-56)'!AC12,0)</f>
        <v>0</v>
      </c>
      <c r="AX62" s="751">
        <f>IF(B50=4000,'OPER-MAJOR SP. REVENUE(54-56)'!AC12,0)</f>
        <v>0</v>
      </c>
      <c r="AY62" s="751">
        <f>IF(B50=8000,'OPER-MAJOR SP. REVENUE(54-56)'!AC12,0)</f>
        <v>0</v>
      </c>
      <c r="BA62" s="749">
        <v>314000</v>
      </c>
      <c r="BB62" s="19"/>
      <c r="BC62" s="751">
        <f t="shared" si="1"/>
        <v>55717.259999999995</v>
      </c>
      <c r="BD62" s="753">
        <f t="shared" si="2"/>
        <v>0</v>
      </c>
      <c r="BE62" s="753">
        <f t="shared" si="3"/>
        <v>0</v>
      </c>
      <c r="BF62" s="753">
        <f t="shared" si="4"/>
        <v>0</v>
      </c>
    </row>
    <row r="63" spans="1:58">
      <c r="D63" s="741">
        <v>315000</v>
      </c>
      <c r="F63" s="751"/>
      <c r="G63" s="751"/>
      <c r="H63" s="751"/>
      <c r="I63" s="751"/>
      <c r="K63" s="741">
        <v>315000</v>
      </c>
      <c r="M63" s="751"/>
      <c r="N63" s="751"/>
      <c r="O63" s="751"/>
      <c r="P63" s="751"/>
      <c r="R63" s="741">
        <v>315000</v>
      </c>
      <c r="T63" s="751"/>
      <c r="U63" s="751"/>
      <c r="V63" s="751"/>
      <c r="W63" s="751"/>
      <c r="Y63" s="741">
        <v>315000</v>
      </c>
      <c r="AA63" s="751"/>
      <c r="AB63" s="751"/>
      <c r="AC63" s="751"/>
      <c r="AD63" s="751"/>
      <c r="AF63" s="741">
        <v>315000</v>
      </c>
      <c r="AH63" s="751"/>
      <c r="AI63" s="751"/>
      <c r="AJ63" s="751"/>
      <c r="AK63" s="751"/>
      <c r="AM63" s="741">
        <v>315000</v>
      </c>
      <c r="AO63" s="751"/>
      <c r="AP63" s="751"/>
      <c r="AQ63" s="751"/>
      <c r="AR63" s="751"/>
      <c r="AT63" s="741">
        <v>315000</v>
      </c>
      <c r="AV63" s="751"/>
      <c r="AW63" s="751"/>
      <c r="AX63" s="751"/>
      <c r="AY63" s="751"/>
      <c r="BA63" s="749">
        <v>315000</v>
      </c>
      <c r="BB63" s="19"/>
      <c r="BC63" s="751"/>
      <c r="BD63" s="753"/>
      <c r="BE63" s="753"/>
      <c r="BF63" s="753"/>
    </row>
    <row r="64" spans="1:58">
      <c r="D64" s="741">
        <v>316000</v>
      </c>
      <c r="F64" s="751"/>
      <c r="G64" s="751"/>
      <c r="H64" s="751"/>
      <c r="I64" s="751"/>
      <c r="K64" s="741">
        <v>316000</v>
      </c>
      <c r="M64" s="751"/>
      <c r="N64" s="751"/>
      <c r="O64" s="751"/>
      <c r="P64" s="751"/>
      <c r="R64" s="741">
        <v>316000</v>
      </c>
      <c r="T64" s="751"/>
      <c r="U64" s="751"/>
      <c r="V64" s="751"/>
      <c r="W64" s="751"/>
      <c r="Y64" s="741">
        <v>316000</v>
      </c>
      <c r="AA64" s="751"/>
      <c r="AB64" s="751"/>
      <c r="AC64" s="751"/>
      <c r="AD64" s="751"/>
      <c r="AF64" s="741">
        <v>316000</v>
      </c>
      <c r="AH64" s="751"/>
      <c r="AI64" s="751"/>
      <c r="AJ64" s="751"/>
      <c r="AK64" s="751"/>
      <c r="AM64" s="741">
        <v>316000</v>
      </c>
      <c r="AO64" s="751"/>
      <c r="AP64" s="751"/>
      <c r="AQ64" s="751"/>
      <c r="AR64" s="751"/>
      <c r="AT64" s="741">
        <v>316000</v>
      </c>
      <c r="AV64" s="751"/>
      <c r="AW64" s="751"/>
      <c r="AX64" s="751"/>
      <c r="AY64" s="751"/>
      <c r="BA64" s="749">
        <v>316000</v>
      </c>
      <c r="BB64" s="19"/>
      <c r="BC64" s="751"/>
      <c r="BD64" s="753"/>
      <c r="BE64" s="753"/>
      <c r="BF64" s="753"/>
    </row>
    <row r="65" spans="3:58">
      <c r="D65" s="741">
        <v>320000</v>
      </c>
      <c r="F65" s="751"/>
      <c r="G65" s="751"/>
      <c r="H65" s="751"/>
      <c r="I65" s="751"/>
      <c r="K65" s="741">
        <v>320000</v>
      </c>
      <c r="M65" s="751"/>
      <c r="N65" s="751"/>
      <c r="O65" s="751"/>
      <c r="P65" s="751"/>
      <c r="R65" s="741">
        <v>320000</v>
      </c>
      <c r="T65" s="751"/>
      <c r="U65" s="751"/>
      <c r="V65" s="751"/>
      <c r="W65" s="751"/>
      <c r="Y65" s="741">
        <v>320000</v>
      </c>
      <c r="AA65" s="751"/>
      <c r="AB65" s="751"/>
      <c r="AC65" s="751"/>
      <c r="AD65" s="751"/>
      <c r="AF65" s="741">
        <v>320000</v>
      </c>
      <c r="AH65" s="751"/>
      <c r="AI65" s="751"/>
      <c r="AJ65" s="751"/>
      <c r="AK65" s="751"/>
      <c r="AM65" s="741">
        <v>320000</v>
      </c>
      <c r="AO65" s="751"/>
      <c r="AP65" s="751"/>
      <c r="AQ65" s="751"/>
      <c r="AR65" s="751"/>
      <c r="AT65" s="741">
        <v>320000</v>
      </c>
      <c r="AV65" s="751"/>
      <c r="AW65" s="751"/>
      <c r="AX65" s="751"/>
      <c r="AY65" s="751"/>
      <c r="BA65" s="749">
        <v>320000</v>
      </c>
      <c r="BB65" s="19"/>
      <c r="BC65" s="751"/>
      <c r="BD65" s="753"/>
      <c r="BE65" s="753"/>
      <c r="BF65" s="753"/>
    </row>
    <row r="66" spans="3:58">
      <c r="D66" s="741">
        <v>322000</v>
      </c>
      <c r="F66" s="751">
        <f>IF(B44=2000,'OPER-MAJOR SP. REVENUE(54-56)'!E14+'OPER-MAJOR SP. REVENUE(54-56)'!E15,0)</f>
        <v>0</v>
      </c>
      <c r="G66" s="751">
        <f>IF(B44=3000,'OPER-MAJOR SP. REVENUE(54-56)'!E14+'OPER-MAJOR SP. REVENUE(54-56)'!E15,0)</f>
        <v>0</v>
      </c>
      <c r="H66" s="751">
        <f>IF(B44=4000,'OPER-MAJOR SP. REVENUE(54-56)'!E14+'OPER-MAJOR SP. REVENUE(54-56)'!E15,0)</f>
        <v>0</v>
      </c>
      <c r="I66" s="751">
        <f>IF(B44=8000,'OPER-MAJOR SP. REVENUE(54-56)'!E14+'OPER-MAJOR SP. REVENUE(54-56)'!E15,0)</f>
        <v>0</v>
      </c>
      <c r="K66" s="741">
        <v>322000</v>
      </c>
      <c r="M66" s="751">
        <f>IF(B45=2000,'OPER-MAJOR SP. REVENUE(54-56)'!I14+'OPER-MAJOR SP. REVENUE(54-56)'!I15,0)</f>
        <v>0</v>
      </c>
      <c r="N66" s="751">
        <f>IF(B45=3000,'OPER-MAJOR SP. REVENUE(54-56)'!I14+'OPER-MAJOR SP. REVENUE(54-56)'!I15,0)</f>
        <v>0</v>
      </c>
      <c r="O66" s="751">
        <f>IF(B45=4000,'OPER-MAJOR SP. REVENUE(54-56)'!I14+'OPER-MAJOR SP. REVENUE(54-56)'!I15,0)</f>
        <v>0</v>
      </c>
      <c r="P66" s="751">
        <f>IF(B45=8000,'OPER-MAJOR SP. REVENUE(54-56)'!I14+'OPER-MAJOR SP. REVENUE(54-56)'!I15,0)</f>
        <v>0</v>
      </c>
      <c r="R66" s="741">
        <v>322000</v>
      </c>
      <c r="T66" s="751">
        <f>IF(B46=2000,'OPER-MAJOR SP. REVENUE(54-56)'!M14+'OPER-MAJOR SP. REVENUE(54-56)'!M15,0)</f>
        <v>0</v>
      </c>
      <c r="U66" s="751">
        <f>IF(B46=3000,'OPER-MAJOR SP. REVENUE(54-56)'!M14+'OPER-MAJOR SP. REVENUE(54-56)'!M15,0)</f>
        <v>0</v>
      </c>
      <c r="V66" s="751">
        <f>IF(B46=4000,'OPER-MAJOR SP. REVENUE(54-56)'!M14+'OPER-MAJOR SP. REVENUE(54-56)'!M15,0)</f>
        <v>0</v>
      </c>
      <c r="W66" s="751">
        <f>IF(B46=8000,'OPER-MAJOR SP. REVENUE(54-56)'!M14+'OPER-MAJOR SP. REVENUE(54-56)'!M15,0)</f>
        <v>0</v>
      </c>
      <c r="Y66" s="741">
        <v>322000</v>
      </c>
      <c r="AA66" s="751">
        <f>IF(B47=2000,'OPER-MAJOR SP. REVENUE(54-56)'!Q14+'OPER-MAJOR SP. REVENUE(54-56)'!Q15,0)</f>
        <v>0</v>
      </c>
      <c r="AB66" s="751">
        <f>IF(B47=3000,'OPER-MAJOR SP. REVENUE(54-56)'!Q14+'OPER-MAJOR SP. REVENUE(54-56)'!Q15,0)</f>
        <v>0</v>
      </c>
      <c r="AC66" s="751">
        <f>IF(B47=4000,'OPER-MAJOR SP. REVENUE(54-56)'!Q14+'OPER-MAJOR SP. REVENUE(54-56)'!Q15,0)</f>
        <v>0</v>
      </c>
      <c r="AD66" s="751">
        <f>IF(B47=8000,'OPER-MAJOR SP. REVENUE(54-56)'!Q14+'OPER-MAJOR SP. REVENUE(54-56)'!Q15,0)</f>
        <v>0</v>
      </c>
      <c r="AF66" s="741">
        <v>322000</v>
      </c>
      <c r="AH66" s="751">
        <f>IF(B48=2000,'OPER-MAJOR SP. REVENUE(54-56)'!U14+'OPER-MAJOR SP. REVENUE(54-56)'!U15,0)</f>
        <v>0</v>
      </c>
      <c r="AI66" s="751">
        <f>IF(B48=3000,'OPER-MAJOR SP. REVENUE(54-56)'!U14+'OPER-MAJOR SP. REVENUE(54-56)'!U15,0)</f>
        <v>0</v>
      </c>
      <c r="AJ66" s="751">
        <f>IF(B48=4000,'OPER-MAJOR SP. REVENUE(54-56)'!U14+'OPER-MAJOR SP. REVENUE(54-56)'!U15,0)</f>
        <v>0</v>
      </c>
      <c r="AK66" s="751">
        <f>IF(B48=8000,'OPER-MAJOR SP. REVENUE(54-56)'!U14+'OPER-MAJOR SP. REVENUE(54-56)'!U15,0)</f>
        <v>0</v>
      </c>
      <c r="AM66" s="741">
        <v>322000</v>
      </c>
      <c r="AO66" s="751">
        <f>IF(B49=2000,'OPER-MAJOR SP. REVENUE(54-56)'!Y14+'OPER-MAJOR SP. REVENUE(54-56)'!Y15,0)</f>
        <v>0</v>
      </c>
      <c r="AP66" s="751">
        <f>IF(B49=3000,'OPER-MAJOR SP. REVENUE(54-56)'!Y14+'OPER-MAJOR SP. REVENUE(54-56)'!Y15,0)</f>
        <v>0</v>
      </c>
      <c r="AQ66" s="751">
        <f>IF(B49=4000,'OPER-MAJOR SP. REVENUE(54-56)'!Y14+'OPER-MAJOR SP. REVENUE(54-56)'!Y15,0)</f>
        <v>0</v>
      </c>
      <c r="AR66" s="751">
        <f>IF(B49=8000,'OPER-MAJOR SP. REVENUE(54-56)'!Y14+'OPER-MAJOR SP. REVENUE(54-56)'!Y15,0)</f>
        <v>0</v>
      </c>
      <c r="AT66" s="741">
        <v>322000</v>
      </c>
      <c r="AV66" s="751">
        <f>IF(B50=2000,'OPER-MAJOR SP. REVENUE(54-56)'!AC14+'OPER-MAJOR SP. REVENUE(54-56)'!AC15,0)</f>
        <v>0</v>
      </c>
      <c r="AW66" s="751">
        <f>IF(B50=3000,'OPER-MAJOR SP. REVENUE(54-56)'!AC14+'OPER-MAJOR SP. REVENUE(54-56)'!AC15,0)</f>
        <v>0</v>
      </c>
      <c r="AX66" s="751">
        <f>IF(B50=4000,'OPER-MAJOR SP. REVENUE(54-56)'!AC14+'OPER-MAJOR SP. REVENUE(54-56)'!AC15,0)</f>
        <v>0</v>
      </c>
      <c r="AY66" s="751">
        <f>IF(B50=8000,'OPER-MAJOR SP. REVENUE(54-56)'!AC14+'OPER-MAJOR SP. REVENUE(54-56)'!AC15,0)</f>
        <v>0</v>
      </c>
      <c r="BA66" s="749">
        <v>322000</v>
      </c>
      <c r="BB66" s="19"/>
      <c r="BC66" s="751">
        <f t="shared" si="1"/>
        <v>0</v>
      </c>
      <c r="BD66" s="753">
        <f t="shared" si="2"/>
        <v>0</v>
      </c>
      <c r="BE66" s="753">
        <f t="shared" si="3"/>
        <v>0</v>
      </c>
      <c r="BF66" s="753">
        <f t="shared" si="4"/>
        <v>0</v>
      </c>
    </row>
    <row r="67" spans="3:58">
      <c r="D67" s="741">
        <v>323000</v>
      </c>
      <c r="F67" s="751">
        <f>IF(B44=2000,'OPER-MAJOR SP. REVENUE(54-56)'!E16+'OPER-MAJOR SP. REVENUE(54-56)'!E17+'OPER-MAJOR SP. REVENUE(54-56)'!E18,0)</f>
        <v>0</v>
      </c>
      <c r="G67" s="751">
        <f>IF(B44=3000,'OPER-MAJOR SP. REVENUE(54-56)'!E16+'OPER-MAJOR SP. REVENUE(54-56)'!E17+'OPER-MAJOR SP. REVENUE(54-56)'!E18,0)</f>
        <v>0</v>
      </c>
      <c r="H67" s="751">
        <f>IF(B44=4000,'OPER-MAJOR SP. REVENUE(54-56)'!E16+'OPER-MAJOR SP. REVENUE(54-56)'!E17+'OPER-MAJOR SP. REVENUE(54-56)'!E18,0)</f>
        <v>0</v>
      </c>
      <c r="I67" s="751">
        <f>IF(B44=8000,'OPER-MAJOR SP. REVENUE(54-56)'!E16+'OPER-MAJOR SP. REVENUE(54-56)'!E17+'OPER-MAJOR SP. REVENUE(54-56)'!E18,0)</f>
        <v>0</v>
      </c>
      <c r="K67" s="741">
        <v>323000</v>
      </c>
      <c r="M67" s="751">
        <f>IF(B45=2000,'OPER-MAJOR SP. REVENUE(54-56)'!I16+'OPER-MAJOR SP. REVENUE(54-56)'!I17+'OPER-MAJOR SP. REVENUE(54-56)'!I18,0)</f>
        <v>0</v>
      </c>
      <c r="N67" s="751">
        <f>IF(B45=3000,'OPER-MAJOR SP. REVENUE(54-56)'!I16+'OPER-MAJOR SP. REVENUE(54-56)'!I17+'OPER-MAJOR SP. REVENUE(54-56)'!I18,0)</f>
        <v>0</v>
      </c>
      <c r="O67" s="751">
        <f>IF(B45=4000,'OPER-MAJOR SP. REVENUE(54-56)'!I16+'OPER-MAJOR SP. REVENUE(54-56)'!I17+'OPER-MAJOR SP. REVENUE(54-56)'!I18,0)</f>
        <v>0</v>
      </c>
      <c r="P67" s="751">
        <f>IF(B45=8000,'OPER-MAJOR SP. REVENUE(54-56)'!I16+'OPER-MAJOR SP. REVENUE(54-56)'!I17+'OPER-MAJOR SP. REVENUE(54-56)'!I18,0)</f>
        <v>0</v>
      </c>
      <c r="R67" s="741">
        <v>323000</v>
      </c>
      <c r="T67" s="751">
        <f>IF(B46=2000,'OPER-MAJOR SP. REVENUE(54-56)'!M16+'OPER-MAJOR SP. REVENUE(54-56)'!M17+'OPER-MAJOR SP. REVENUE(54-56)'!M18,0)</f>
        <v>0</v>
      </c>
      <c r="U67" s="751">
        <f>IF(B46=3000,'OPER-MAJOR SP. REVENUE(54-56)'!M16+'OPER-MAJOR SP. REVENUE(54-56)'!M17+'OPER-MAJOR SP. REVENUE(54-56)'!M18,0)</f>
        <v>0</v>
      </c>
      <c r="V67" s="751">
        <f>IF(B46=4000,'OPER-MAJOR SP. REVENUE(54-56)'!M16+'OPER-MAJOR SP. REVENUE(54-56)'!M17+'OPER-MAJOR SP. REVENUE(54-56)'!M18,0)</f>
        <v>0</v>
      </c>
      <c r="W67" s="751">
        <f>IF(B46=8000,'OPER-MAJOR SP. REVENUE(54-56)'!M16+'OPER-MAJOR SP. REVENUE(54-56)'!M17+'OPER-MAJOR SP. REVENUE(54-56)'!M18,0)</f>
        <v>0</v>
      </c>
      <c r="Y67" s="741">
        <v>323000</v>
      </c>
      <c r="AA67" s="751">
        <f>IF(B47=2000,'OPER-MAJOR SP. REVENUE(54-56)'!Q16+'OPER-MAJOR SP. REVENUE(54-56)'!Q17+'OPER-MAJOR SP. REVENUE(54-56)'!Q18,0)</f>
        <v>0</v>
      </c>
      <c r="AB67" s="751">
        <f>IF(B47=3000,'OPER-MAJOR SP. REVENUE(54-56)'!Q16+'OPER-MAJOR SP. REVENUE(54-56)'!Q17+'OPER-MAJOR SP. REVENUE(54-56)'!Q18,0)</f>
        <v>0</v>
      </c>
      <c r="AC67" s="751">
        <f>IF(B47=4000,'OPER-MAJOR SP. REVENUE(54-56)'!Q16+'OPER-MAJOR SP. REVENUE(54-56)'!Q17+'OPER-MAJOR SP. REVENUE(54-56)'!Q18,0)</f>
        <v>0</v>
      </c>
      <c r="AD67" s="751">
        <f>IF(B47=8000,'OPER-MAJOR SP. REVENUE(54-56)'!Q16+'OPER-MAJOR SP. REVENUE(54-56)'!Q17+'OPER-MAJOR SP. REVENUE(54-56)'!Q18,0)</f>
        <v>0</v>
      </c>
      <c r="AF67" s="741">
        <v>323000</v>
      </c>
      <c r="AH67" s="751">
        <f>IF(B48=2000,'OPER-MAJOR SP. REVENUE(54-56)'!U16+'OPER-MAJOR SP. REVENUE(54-56)'!U17+'OPER-MAJOR SP. REVENUE(54-56)'!U18,0)</f>
        <v>0</v>
      </c>
      <c r="AI67" s="751">
        <f>IF(B48=3000,'OPER-MAJOR SP. REVENUE(54-56)'!U16+'OPER-MAJOR SP. REVENUE(54-56)'!U17+'OPER-MAJOR SP. REVENUE(54-56)'!U18,0)</f>
        <v>0</v>
      </c>
      <c r="AJ67" s="751">
        <f>IF(B48=4000,'OPER-MAJOR SP. REVENUE(54-56)'!U16+'OPER-MAJOR SP. REVENUE(54-56)'!U17+'OPER-MAJOR SP. REVENUE(54-56)'!U18,0)</f>
        <v>0</v>
      </c>
      <c r="AK67" s="751">
        <f>IF(B48=8000,'OPER-MAJOR SP. REVENUE(54-56)'!U16+'OPER-MAJOR SP. REVENUE(54-56)'!U17+'OPER-MAJOR SP. REVENUE(54-56)'!U18,0)</f>
        <v>0</v>
      </c>
      <c r="AM67" s="741">
        <v>323000</v>
      </c>
      <c r="AO67" s="751">
        <f>IF(B49=2000,'OPER-MAJOR SP. REVENUE(54-56)'!Y16+'OPER-MAJOR SP. REVENUE(54-56)'!Y17+'OPER-MAJOR SP. REVENUE(54-56)'!Y18,0)</f>
        <v>0</v>
      </c>
      <c r="AP67" s="751">
        <f>IF(B49=3000,'OPER-MAJOR SP. REVENUE(54-56)'!Y16+'OPER-MAJOR SP. REVENUE(54-56)'!Y17+'OPER-MAJOR SP. REVENUE(54-56)'!Y18,0)</f>
        <v>0</v>
      </c>
      <c r="AQ67" s="751">
        <f>IF(B49=4000,'OPER-MAJOR SP. REVENUE(54-56)'!Y16+'OPER-MAJOR SP. REVENUE(54-56)'!Y17+'OPER-MAJOR SP. REVENUE(54-56)'!Y18,0)</f>
        <v>0</v>
      </c>
      <c r="AR67" s="751">
        <f>IF(B49=8000,'OPER-MAJOR SP. REVENUE(54-56)'!Y16+'OPER-MAJOR SP. REVENUE(54-56)'!Y17+'OPER-MAJOR SP. REVENUE(54-56)'!Y18,0)</f>
        <v>0</v>
      </c>
      <c r="AT67" s="741">
        <v>323000</v>
      </c>
      <c r="AV67" s="751">
        <f>IF(B50=2000,'OPER-MAJOR SP. REVENUE(54-56)'!AC16+'OPER-MAJOR SP. REVENUE(54-56)'!AC17+'OPER-MAJOR SP. REVENUE(54-56)'!AC18,0)</f>
        <v>0</v>
      </c>
      <c r="AW67" s="751">
        <f>IF(B50=3000,'OPER-MAJOR SP. REVENUE(54-56)'!AC16+'OPER-MAJOR SP. REVENUE(54-56)'!AC17+'OPER-MAJOR SP. REVENUE(54-56)'!AC18,0)</f>
        <v>0</v>
      </c>
      <c r="AX67" s="751">
        <f>IF(B50=4000,'OPER-MAJOR SP. REVENUE(54-56)'!AC16+'OPER-MAJOR SP. REVENUE(54-56)'!AC17+'OPER-MAJOR SP. REVENUE(54-56)'!AC18,0)</f>
        <v>0</v>
      </c>
      <c r="AY67" s="751">
        <f>IF(B50=8000,'OPER-MAJOR SP. REVENUE(54-56)'!AC16+'OPER-MAJOR SP. REVENUE(54-56)'!AC17+'OPER-MAJOR SP. REVENUE(54-56)'!AC18,0)</f>
        <v>0</v>
      </c>
      <c r="BA67" s="749">
        <v>323000</v>
      </c>
      <c r="BB67" s="19"/>
      <c r="BC67" s="751">
        <f t="shared" si="1"/>
        <v>0</v>
      </c>
      <c r="BD67" s="753">
        <f t="shared" si="2"/>
        <v>0</v>
      </c>
      <c r="BE67" s="753">
        <f t="shared" si="3"/>
        <v>0</v>
      </c>
      <c r="BF67" s="753">
        <f t="shared" si="4"/>
        <v>0</v>
      </c>
    </row>
    <row r="68" spans="3:58">
      <c r="D68" s="741">
        <v>330000</v>
      </c>
      <c r="F68" s="751"/>
      <c r="G68" s="751"/>
      <c r="H68" s="751"/>
      <c r="I68" s="751"/>
      <c r="K68" s="741">
        <v>330000</v>
      </c>
      <c r="M68" s="751"/>
      <c r="N68" s="751"/>
      <c r="O68" s="751"/>
      <c r="P68" s="751"/>
      <c r="R68" s="741">
        <v>330000</v>
      </c>
      <c r="T68" s="751"/>
      <c r="U68" s="751"/>
      <c r="V68" s="751"/>
      <c r="W68" s="751"/>
      <c r="Y68" s="741">
        <v>330000</v>
      </c>
      <c r="AA68" s="751"/>
      <c r="AB68" s="751"/>
      <c r="AC68" s="751"/>
      <c r="AD68" s="751"/>
      <c r="AF68" s="741">
        <v>330000</v>
      </c>
      <c r="AH68" s="751"/>
      <c r="AI68" s="751"/>
      <c r="AJ68" s="751"/>
      <c r="AK68" s="751"/>
      <c r="AM68" s="741">
        <v>330000</v>
      </c>
      <c r="AO68" s="751"/>
      <c r="AP68" s="751"/>
      <c r="AQ68" s="751"/>
      <c r="AR68" s="751"/>
      <c r="AT68" s="741">
        <v>330000</v>
      </c>
      <c r="AV68" s="751"/>
      <c r="AW68" s="751"/>
      <c r="AX68" s="751"/>
      <c r="AY68" s="751"/>
      <c r="BA68" s="749">
        <v>330000</v>
      </c>
      <c r="BB68" s="19"/>
      <c r="BC68" s="751"/>
      <c r="BD68" s="753"/>
      <c r="BE68" s="753"/>
      <c r="BF68" s="753"/>
    </row>
    <row r="69" spans="3:58">
      <c r="D69" s="741">
        <v>331000</v>
      </c>
      <c r="F69" s="751">
        <f>IF(B44=2000,'OPER-MAJOR SP. REVENUE(54-56)'!E20,0)</f>
        <v>0</v>
      </c>
      <c r="G69" s="751">
        <f>IF(B44=3000,'OPER-MAJOR SP. REVENUE(54-56)'!E20,0)</f>
        <v>0</v>
      </c>
      <c r="H69" s="751">
        <f>IF(B44=4000,'OPER-MAJOR SP. REVENUE(54-56)'!E20,0)</f>
        <v>0</v>
      </c>
      <c r="I69" s="751">
        <f>IF(B44=8000,'OPER-MAJOR SP. REVENUE(54-56)'!E20,0)</f>
        <v>0</v>
      </c>
      <c r="K69" s="741">
        <v>331000</v>
      </c>
      <c r="M69" s="751">
        <f>IF(B45=2000,'OPER-MAJOR SP. REVENUE(54-56)'!I20,0)</f>
        <v>0</v>
      </c>
      <c r="N69" s="751">
        <f>IF(B45=3000,'OPER-MAJOR SP. REVENUE(54-56)'!I20,0)</f>
        <v>0</v>
      </c>
      <c r="O69" s="751">
        <f>IF(B45=4000,'OPER-MAJOR SP. REVENUE(54-56)'!I20,0)</f>
        <v>0</v>
      </c>
      <c r="P69" s="751">
        <f>IF(B45=8000,'OPER-MAJOR SP. REVENUE(54-56)'!I20,0)</f>
        <v>0</v>
      </c>
      <c r="R69" s="741">
        <v>331000</v>
      </c>
      <c r="T69" s="751">
        <f>IF(B46=2000,'OPER-MAJOR SP. REVENUE(54-56)'!M20,0)</f>
        <v>0</v>
      </c>
      <c r="U69" s="751">
        <f>IF(B46=3000,'OPER-MAJOR SP. REVENUE(54-56)'!M20,0)</f>
        <v>0</v>
      </c>
      <c r="V69" s="751">
        <f>IF(B46=4000,'OPER-MAJOR SP. REVENUE(54-56)'!M20,0)</f>
        <v>0</v>
      </c>
      <c r="W69" s="751">
        <f>IF(B46=8000,'OPER-MAJOR SP. REVENUE(54-56)'!M20,0)</f>
        <v>0</v>
      </c>
      <c r="Y69" s="741">
        <v>331000</v>
      </c>
      <c r="AA69" s="751">
        <f>IF(B47=2000,'OPER-MAJOR SP. REVENUE(54-56)'!Q20,0)</f>
        <v>0</v>
      </c>
      <c r="AB69" s="751">
        <f>IF(B47=3000,'OPER-MAJOR SP. REVENUE(54-56)'!Q20,0)</f>
        <v>0</v>
      </c>
      <c r="AC69" s="751">
        <f>IF(B47=4000,'OPER-MAJOR SP. REVENUE(54-56)'!Q20,0)</f>
        <v>0</v>
      </c>
      <c r="AD69" s="751">
        <f>IF(B47=8000,'OPER-MAJOR SP. REVENUE(54-56)'!Q20,0)</f>
        <v>0</v>
      </c>
      <c r="AF69" s="741">
        <v>331000</v>
      </c>
      <c r="AH69" s="751">
        <f>IF(B48=2000,'OPER-MAJOR SP. REVENUE(54-56)'!U20,0)</f>
        <v>0</v>
      </c>
      <c r="AI69" s="751">
        <f>IF(B48=3000,'OPER-MAJOR SP. REVENUE(54-56)'!U20,0)</f>
        <v>0</v>
      </c>
      <c r="AJ69" s="751">
        <f>IF(B48=4000,'OPER-MAJOR SP. REVENUE(54-56)'!U20,0)</f>
        <v>0</v>
      </c>
      <c r="AK69" s="751">
        <f>IF(B48=8000,'OPER-MAJOR SP. REVENUE(54-56)'!U20,0)</f>
        <v>0</v>
      </c>
      <c r="AM69" s="741">
        <v>331000</v>
      </c>
      <c r="AO69" s="751">
        <f>IF(B49=2000,'OPER-MAJOR SP. REVENUE(54-56)'!Y20,0)</f>
        <v>0</v>
      </c>
      <c r="AP69" s="751">
        <f>IF(B49=3000,'OPER-MAJOR SP. REVENUE(54-56)'!Y20,0)</f>
        <v>0</v>
      </c>
      <c r="AQ69" s="751">
        <f>IF(B49=4000,'OPER-MAJOR SP. REVENUE(54-56)'!Y20,0)</f>
        <v>0</v>
      </c>
      <c r="AR69" s="751">
        <f>IF(B49=8000,'OPER-MAJOR SP. REVENUE(54-56)'!Y20,0)</f>
        <v>0</v>
      </c>
      <c r="AT69" s="741">
        <v>331000</v>
      </c>
      <c r="AV69" s="751">
        <f>IF(B50=2000,'OPER-MAJOR SP. REVENUE(54-56)'!AC20,0)</f>
        <v>0</v>
      </c>
      <c r="AW69" s="751">
        <f>IF(B50=3000,'OPER-MAJOR SP. REVENUE(54-56)'!AC20,0)</f>
        <v>0</v>
      </c>
      <c r="AX69" s="751">
        <f>IF(B50=4000,'OPER-MAJOR SP. REVENUE(54-56)'!AC20,0)</f>
        <v>0</v>
      </c>
      <c r="AY69" s="751">
        <f>IF(B50=8000,'OPER-MAJOR SP. REVENUE(54-56)'!AC20,0)</f>
        <v>0</v>
      </c>
      <c r="BA69" s="749">
        <v>331000</v>
      </c>
      <c r="BB69" s="19"/>
      <c r="BC69" s="751">
        <f t="shared" si="1"/>
        <v>0</v>
      </c>
      <c r="BD69" s="753">
        <f t="shared" si="2"/>
        <v>0</v>
      </c>
      <c r="BE69" s="753">
        <f t="shared" si="3"/>
        <v>0</v>
      </c>
      <c r="BF69" s="753">
        <f t="shared" si="4"/>
        <v>0</v>
      </c>
    </row>
    <row r="70" spans="3:58">
      <c r="D70" s="741">
        <v>332000</v>
      </c>
      <c r="F70" s="751">
        <f>IF(B44=2000,'OPER-MAJOR SP. REVENUE(54-56)'!E21,0)</f>
        <v>0</v>
      </c>
      <c r="G70" s="751">
        <f>IF(B44=3000,'OPER-MAJOR SP. REVENUE(54-56)'!E21,0)</f>
        <v>0</v>
      </c>
      <c r="H70" s="751">
        <f>IF(B44=4000,'OPER-MAJOR SP. REVENUE(54-56)'!E21,0)</f>
        <v>0</v>
      </c>
      <c r="I70" s="751">
        <f>IF(B44=8000,'OPER-MAJOR SP. REVENUE(54-56)'!E21,0)</f>
        <v>0</v>
      </c>
      <c r="K70" s="741">
        <v>332000</v>
      </c>
      <c r="M70" s="751">
        <f>IF(B45=2000,'OPER-MAJOR SP. REVENUE(54-56)'!I21,0)</f>
        <v>0</v>
      </c>
      <c r="N70" s="751">
        <f>IF(B45=3000,'OPER-MAJOR SP. REVENUE(54-56)'!I21,0)</f>
        <v>0</v>
      </c>
      <c r="O70" s="751">
        <f>IF(B45=4000,'OPER-MAJOR SP. REVENUE(54-56)'!I21,0)</f>
        <v>0</v>
      </c>
      <c r="P70" s="751">
        <f>IF(B45=8000,'OPER-MAJOR SP. REVENUE(54-56)'!I21,0)</f>
        <v>0</v>
      </c>
      <c r="R70" s="741">
        <v>332000</v>
      </c>
      <c r="T70" s="751">
        <f>IF(B46=2000,'OPER-MAJOR SP. REVENUE(54-56)'!M21,0)</f>
        <v>0</v>
      </c>
      <c r="U70" s="751">
        <f>IF(B46=3000,'OPER-MAJOR SP. REVENUE(54-56)'!M21,0)</f>
        <v>0</v>
      </c>
      <c r="V70" s="751">
        <f>IF(B46=4000,'OPER-MAJOR SP. REVENUE(54-56)'!M21,0)</f>
        <v>0</v>
      </c>
      <c r="W70" s="751">
        <f>IF(B46=8000,'OPER-MAJOR SP. REVENUE(54-56)'!M21,0)</f>
        <v>0</v>
      </c>
      <c r="Y70" s="741">
        <v>332000</v>
      </c>
      <c r="AA70" s="751">
        <f>IF(B47=2000,'OPER-MAJOR SP. REVENUE(54-56)'!Q21,0)</f>
        <v>0</v>
      </c>
      <c r="AB70" s="751">
        <f>IF(B47=3000,'OPER-MAJOR SP. REVENUE(54-56)'!Q21,0)</f>
        <v>0</v>
      </c>
      <c r="AC70" s="751">
        <f>IF(B47=4000,'OPER-MAJOR SP. REVENUE(54-56)'!Q21,0)</f>
        <v>0</v>
      </c>
      <c r="AD70" s="751">
        <f>IF(B47=8000,'OPER-MAJOR SP. REVENUE(54-56)'!Q21,0)</f>
        <v>0</v>
      </c>
      <c r="AF70" s="741">
        <v>332000</v>
      </c>
      <c r="AH70" s="751">
        <f>IF(B48=2000,'OPER-MAJOR SP. REVENUE(54-56)'!U21,0)</f>
        <v>0</v>
      </c>
      <c r="AI70" s="751">
        <f>IF(B48=3000,'OPER-MAJOR SP. REVENUE(54-56)'!U21,0)</f>
        <v>0</v>
      </c>
      <c r="AJ70" s="751">
        <f>IF(B48=4000,'OPER-MAJOR SP. REVENUE(54-56)'!U21,0)</f>
        <v>0</v>
      </c>
      <c r="AK70" s="751">
        <f>IF(B48=8000,'OPER-MAJOR SP. REVENUE(54-56)'!U21,0)</f>
        <v>0</v>
      </c>
      <c r="AM70" s="741">
        <v>332000</v>
      </c>
      <c r="AO70" s="751">
        <f>IF(B49=2000,'OPER-MAJOR SP. REVENUE(54-56)'!Y21,0)</f>
        <v>0</v>
      </c>
      <c r="AP70" s="751">
        <f>IF(B49=3000,'OPER-MAJOR SP. REVENUE(54-56)'!Y21,0)</f>
        <v>0</v>
      </c>
      <c r="AQ70" s="751">
        <f>IF(B49=4000,'OPER-MAJOR SP. REVENUE(54-56)'!Y21,0)</f>
        <v>0</v>
      </c>
      <c r="AR70" s="751">
        <f>IF(B49=8000,'OPER-MAJOR SP. REVENUE(54-56)'!Y21,0)</f>
        <v>0</v>
      </c>
      <c r="AT70" s="741">
        <v>332000</v>
      </c>
      <c r="AV70" s="751">
        <f>IF(B50=2000,'OPER-MAJOR SP. REVENUE(54-56)'!AC21,0)</f>
        <v>0</v>
      </c>
      <c r="AW70" s="751">
        <f>IF(B50=3000,'OPER-MAJOR SP. REVENUE(54-56)'!AC21,0)</f>
        <v>0</v>
      </c>
      <c r="AX70" s="751">
        <f>IF(B50=4000,'OPER-MAJOR SP. REVENUE(54-56)'!AC21,0)</f>
        <v>0</v>
      </c>
      <c r="AY70" s="751">
        <f>IF(B50=8000,'OPER-MAJOR SP. REVENUE(54-56)'!AC21,0)</f>
        <v>0</v>
      </c>
      <c r="BA70" s="749">
        <v>332000</v>
      </c>
      <c r="BB70" s="19"/>
      <c r="BC70" s="751">
        <f t="shared" si="1"/>
        <v>0</v>
      </c>
      <c r="BD70" s="753">
        <f t="shared" si="2"/>
        <v>0</v>
      </c>
      <c r="BE70" s="753">
        <f t="shared" si="3"/>
        <v>0</v>
      </c>
      <c r="BF70" s="753">
        <f t="shared" si="4"/>
        <v>0</v>
      </c>
    </row>
    <row r="71" spans="3:58">
      <c r="C71" s="257" t="s">
        <v>2081</v>
      </c>
      <c r="D71" s="741">
        <v>333000</v>
      </c>
      <c r="F71" s="751"/>
      <c r="G71" s="751"/>
      <c r="H71" s="751"/>
      <c r="I71" s="751"/>
      <c r="K71" s="741">
        <v>333000</v>
      </c>
      <c r="M71" s="751"/>
      <c r="N71" s="751"/>
      <c r="O71" s="751"/>
      <c r="P71" s="751"/>
      <c r="R71" s="741">
        <v>333000</v>
      </c>
      <c r="T71" s="751"/>
      <c r="U71" s="751"/>
      <c r="V71" s="751"/>
      <c r="W71" s="751"/>
      <c r="Y71" s="741">
        <v>333000</v>
      </c>
      <c r="AA71" s="751"/>
      <c r="AB71" s="751"/>
      <c r="AC71" s="751"/>
      <c r="AD71" s="751"/>
      <c r="AF71" s="741">
        <v>333000</v>
      </c>
      <c r="AH71" s="751"/>
      <c r="AI71" s="751"/>
      <c r="AJ71" s="751"/>
      <c r="AK71" s="751"/>
      <c r="AM71" s="741">
        <v>333000</v>
      </c>
      <c r="AO71" s="751"/>
      <c r="AP71" s="751"/>
      <c r="AQ71" s="751"/>
      <c r="AR71" s="751"/>
      <c r="AT71" s="741">
        <v>333000</v>
      </c>
      <c r="AV71" s="751"/>
      <c r="AW71" s="751"/>
      <c r="AX71" s="751"/>
      <c r="AY71" s="751"/>
      <c r="BA71" s="749">
        <v>333000</v>
      </c>
      <c r="BB71" s="19"/>
      <c r="BC71" s="751"/>
      <c r="BD71" s="753"/>
      <c r="BE71" s="753"/>
      <c r="BF71" s="753"/>
    </row>
    <row r="72" spans="3:58">
      <c r="D72" s="741">
        <v>334000</v>
      </c>
      <c r="F72" s="751">
        <f>IF(B44=2000,'OPER-MAJOR SP. REVENUE(54-56)'!E22,0)</f>
        <v>0</v>
      </c>
      <c r="G72" s="751">
        <f>IF(B44=3000,'OPER-MAJOR SP. REVENUE(54-56)'!E22,0)</f>
        <v>0</v>
      </c>
      <c r="H72" s="751">
        <f>IF(B44=4000,'OPER-MAJOR SP. REVENUE(54-56)'!E22,0)</f>
        <v>0</v>
      </c>
      <c r="I72" s="751">
        <f>IF(B44=8000,'OPER-MAJOR SP. REVENUE(54-56)'!E22,0)</f>
        <v>0</v>
      </c>
      <c r="K72" s="741">
        <v>334000</v>
      </c>
      <c r="M72" s="751">
        <f>IF(B45=2000,'OPER-MAJOR SP. REVENUE(54-56)'!I22,0)</f>
        <v>0</v>
      </c>
      <c r="N72" s="751">
        <f>IF(B45=3000,'OPER-MAJOR SP. REVENUE(54-56)'!I22,0)</f>
        <v>0</v>
      </c>
      <c r="O72" s="751">
        <f>IF(B45=4000,'OPER-MAJOR SP. REVENUE(54-56)'!I22,0)</f>
        <v>0</v>
      </c>
      <c r="P72" s="751">
        <f>IF(B45=8000,'OPER-MAJOR SP. REVENUE(54-56)'!I22,0)</f>
        <v>0</v>
      </c>
      <c r="R72" s="741">
        <v>334000</v>
      </c>
      <c r="T72" s="751">
        <f>IF(B46=2000,'OPER-MAJOR SP. REVENUE(54-56)'!M22,0)</f>
        <v>0</v>
      </c>
      <c r="U72" s="751">
        <f>IF(B46=3000,'OPER-MAJOR SP. REVENUE(54-56)'!M22,0)</f>
        <v>0</v>
      </c>
      <c r="V72" s="751">
        <f>IF(B46=4000,'OPER-MAJOR SP. REVENUE(54-56)'!M22,0)</f>
        <v>0</v>
      </c>
      <c r="W72" s="751">
        <f>IF(B46=8000,'OPER-MAJOR SP. REVENUE(54-56)'!M22,0)</f>
        <v>0</v>
      </c>
      <c r="Y72" s="741">
        <v>334000</v>
      </c>
      <c r="AA72" s="751">
        <f>IF(B47=2000,'OPER-MAJOR SP. REVENUE(54-56)'!Q22,0)</f>
        <v>0</v>
      </c>
      <c r="AB72" s="751">
        <f>IF(B47=3000,'OPER-MAJOR SP. REVENUE(54-56)'!Q22,0)</f>
        <v>0</v>
      </c>
      <c r="AC72" s="751">
        <f>IF(B47=4000,'OPER-MAJOR SP. REVENUE(54-56)'!Q22,0)</f>
        <v>0</v>
      </c>
      <c r="AD72" s="751">
        <f>IF(B47=8000,'OPER-MAJOR SP. REVENUE(54-56)'!Q22,0)</f>
        <v>0</v>
      </c>
      <c r="AF72" s="741">
        <v>334000</v>
      </c>
      <c r="AH72" s="751">
        <f>IF(B48=2000,'OPER-MAJOR SP. REVENUE(54-56)'!U22,0)</f>
        <v>0</v>
      </c>
      <c r="AI72" s="751">
        <f>IF(B48=3000,'OPER-MAJOR SP. REVENUE(54-56)'!U22,0)</f>
        <v>0</v>
      </c>
      <c r="AJ72" s="751">
        <f>IF(B48=4000,'OPER-MAJOR SP. REVENUE(54-56)'!U22,0)</f>
        <v>0</v>
      </c>
      <c r="AK72" s="751">
        <f>IF(B48=8000,'OPER-MAJOR SP. REVENUE(54-56)'!U22,0)</f>
        <v>0</v>
      </c>
      <c r="AM72" s="741">
        <v>334000</v>
      </c>
      <c r="AO72" s="751">
        <f>IF(B49=2000,'OPER-MAJOR SP. REVENUE(54-56)'!Y22,0)</f>
        <v>0</v>
      </c>
      <c r="AP72" s="751">
        <f>IF(B49=3000,'OPER-MAJOR SP. REVENUE(54-56)'!Y22,0)</f>
        <v>0</v>
      </c>
      <c r="AQ72" s="751">
        <f>IF(B49=4000,'OPER-MAJOR SP. REVENUE(54-56)'!Y22,0)</f>
        <v>0</v>
      </c>
      <c r="AR72" s="751">
        <f>IF(B49=8000,'OPER-MAJOR SP. REVENUE(54-56)'!Y22,0)</f>
        <v>0</v>
      </c>
      <c r="AT72" s="741">
        <v>334000</v>
      </c>
      <c r="AV72" s="751">
        <f>IF(B50=2000,'OPER-MAJOR SP. REVENUE(54-56)'!AC22,0)</f>
        <v>0</v>
      </c>
      <c r="AW72" s="751">
        <f>IF(B50=3000,'OPER-MAJOR SP. REVENUE(54-56)'!AC22,0)</f>
        <v>0</v>
      </c>
      <c r="AX72" s="751">
        <f>IF(B50=4000,'OPER-MAJOR SP. REVENUE(54-56)'!AC22,0)</f>
        <v>0</v>
      </c>
      <c r="AY72" s="751">
        <f>IF(B50=8000,'OPER-MAJOR SP. REVENUE(54-56)'!AC22,0)</f>
        <v>0</v>
      </c>
      <c r="BA72" s="749">
        <v>334000</v>
      </c>
      <c r="BB72" s="19"/>
      <c r="BC72" s="751">
        <f t="shared" si="1"/>
        <v>0</v>
      </c>
      <c r="BD72" s="753">
        <f t="shared" si="2"/>
        <v>0</v>
      </c>
      <c r="BE72" s="753">
        <f t="shared" si="3"/>
        <v>0</v>
      </c>
      <c r="BF72" s="753">
        <f t="shared" si="4"/>
        <v>0</v>
      </c>
    </row>
    <row r="73" spans="3:58">
      <c r="D73" s="741">
        <v>335000</v>
      </c>
      <c r="F73" s="751">
        <f>IF(B44=2000,'OPER-MAJOR SP. REVENUE(54-56)'!E23,0)</f>
        <v>6556.86</v>
      </c>
      <c r="G73" s="751">
        <f>IF(B44=3000,'OPER-MAJOR SP. REVENUE(54-56)'!E23,0)</f>
        <v>0</v>
      </c>
      <c r="H73" s="751">
        <f>IF(B44=4000,'OPER-MAJOR SP. REVENUE(54-56)'!E23,0)</f>
        <v>0</v>
      </c>
      <c r="I73" s="751">
        <f>IF(B44=8000,'OPER-MAJOR SP. REVENUE(54-56)'!E23,0)</f>
        <v>0</v>
      </c>
      <c r="K73" s="741">
        <v>335000</v>
      </c>
      <c r="M73" s="751">
        <f>IF(B45=2000,'OPER-MAJOR SP. REVENUE(54-56)'!I23,0)</f>
        <v>0</v>
      </c>
      <c r="N73" s="751">
        <f>IF(B45=3000,'OPER-MAJOR SP. REVENUE(54-56)'!I23,0)</f>
        <v>0</v>
      </c>
      <c r="O73" s="751">
        <f>IF(B45=4000,'OPER-MAJOR SP. REVENUE(54-56)'!I23,0)</f>
        <v>0</v>
      </c>
      <c r="P73" s="751">
        <f>IF(B45=8000,'OPER-MAJOR SP. REVENUE(54-56)'!I23,0)</f>
        <v>0</v>
      </c>
      <c r="R73" s="741">
        <v>335000</v>
      </c>
      <c r="T73" s="751">
        <f>IF(B46=2000,'OPER-MAJOR SP. REVENUE(54-56)'!M23,0)</f>
        <v>15265.79</v>
      </c>
      <c r="U73" s="751">
        <f>IF(B46=3000,'OPER-MAJOR SP. REVENUE(54-56)'!M23,0)</f>
        <v>0</v>
      </c>
      <c r="V73" s="751">
        <f>IF(B46=4000,'OPER-MAJOR SP. REVENUE(54-56)'!M23,0)</f>
        <v>0</v>
      </c>
      <c r="W73" s="751">
        <f>IF(B46=8000,'OPER-MAJOR SP. REVENUE(54-56)'!M23,0)</f>
        <v>0</v>
      </c>
      <c r="Y73" s="741">
        <v>335000</v>
      </c>
      <c r="AA73" s="751">
        <f>IF(B47=2000,'OPER-MAJOR SP. REVENUE(54-56)'!Q23,0)</f>
        <v>0</v>
      </c>
      <c r="AB73" s="751">
        <f>IF(B47=3000,'OPER-MAJOR SP. REVENUE(54-56)'!Q23,0)</f>
        <v>0</v>
      </c>
      <c r="AC73" s="751">
        <f>IF(B47=4000,'OPER-MAJOR SP. REVENUE(54-56)'!Q23,0)</f>
        <v>0</v>
      </c>
      <c r="AD73" s="751">
        <f>IF(B47=8000,'OPER-MAJOR SP. REVENUE(54-56)'!Q23,0)</f>
        <v>0</v>
      </c>
      <c r="AF73" s="741">
        <v>335000</v>
      </c>
      <c r="AH73" s="751">
        <f>IF(B48=2000,'OPER-MAJOR SP. REVENUE(54-56)'!U23,0)</f>
        <v>0</v>
      </c>
      <c r="AI73" s="751">
        <f>IF(B48=3000,'OPER-MAJOR SP. REVENUE(54-56)'!U23,0)</f>
        <v>0</v>
      </c>
      <c r="AJ73" s="751">
        <f>IF(B48=4000,'OPER-MAJOR SP. REVENUE(54-56)'!U23,0)</f>
        <v>0</v>
      </c>
      <c r="AK73" s="751">
        <f>IF(B48=8000,'OPER-MAJOR SP. REVENUE(54-56)'!U23,0)</f>
        <v>0</v>
      </c>
      <c r="AM73" s="741">
        <v>335000</v>
      </c>
      <c r="AO73" s="751">
        <f>IF(B49=2000,'OPER-MAJOR SP. REVENUE(54-56)'!Y23,0)</f>
        <v>0</v>
      </c>
      <c r="AP73" s="751">
        <f>IF(B49=3000,'OPER-MAJOR SP. REVENUE(54-56)'!Y23,0)</f>
        <v>0</v>
      </c>
      <c r="AQ73" s="751">
        <f>IF(B49=4000,'OPER-MAJOR SP. REVENUE(54-56)'!Y23,0)</f>
        <v>0</v>
      </c>
      <c r="AR73" s="751">
        <f>IF(B49=8000,'OPER-MAJOR SP. REVENUE(54-56)'!Y23,0)</f>
        <v>0</v>
      </c>
      <c r="AT73" s="741">
        <v>335000</v>
      </c>
      <c r="AV73" s="751">
        <f>IF(B50=2000,'OPER-MAJOR SP. REVENUE(54-56)'!AC23,0)</f>
        <v>0</v>
      </c>
      <c r="AW73" s="751">
        <f>IF(B50=3000,'OPER-MAJOR SP. REVENUE(54-56)'!AC23,0)</f>
        <v>0</v>
      </c>
      <c r="AX73" s="751">
        <f>IF(B50=4000,'OPER-MAJOR SP. REVENUE(54-56)'!AC23,0)</f>
        <v>0</v>
      </c>
      <c r="AY73" s="751">
        <f>IF(B50=8000,'OPER-MAJOR SP. REVENUE(54-56)'!AC23,0)</f>
        <v>0</v>
      </c>
      <c r="BA73" s="749">
        <v>335000</v>
      </c>
      <c r="BB73" s="19"/>
      <c r="BC73" s="751">
        <f t="shared" si="1"/>
        <v>21822.65</v>
      </c>
      <c r="BD73" s="753">
        <f t="shared" si="2"/>
        <v>0</v>
      </c>
      <c r="BE73" s="753">
        <f t="shared" si="3"/>
        <v>0</v>
      </c>
      <c r="BF73" s="753">
        <f t="shared" si="4"/>
        <v>0</v>
      </c>
    </row>
    <row r="74" spans="3:58">
      <c r="D74" s="741">
        <v>336000</v>
      </c>
      <c r="F74" s="751"/>
      <c r="G74" s="751"/>
      <c r="H74" s="751"/>
      <c r="I74" s="751"/>
      <c r="K74" s="741">
        <v>336000</v>
      </c>
      <c r="M74" s="751"/>
      <c r="N74" s="751"/>
      <c r="O74" s="751"/>
      <c r="P74" s="751"/>
      <c r="R74" s="741">
        <v>336000</v>
      </c>
      <c r="T74" s="751"/>
      <c r="U74" s="751"/>
      <c r="V74" s="751"/>
      <c r="W74" s="751"/>
      <c r="Y74" s="741">
        <v>336000</v>
      </c>
      <c r="AA74" s="751"/>
      <c r="AB74" s="751"/>
      <c r="AC74" s="751"/>
      <c r="AD74" s="751"/>
      <c r="AF74" s="741">
        <v>336000</v>
      </c>
      <c r="AH74" s="751"/>
      <c r="AI74" s="751"/>
      <c r="AJ74" s="751"/>
      <c r="AK74" s="751"/>
      <c r="AM74" s="741">
        <v>336000</v>
      </c>
      <c r="AO74" s="751"/>
      <c r="AP74" s="751"/>
      <c r="AQ74" s="751"/>
      <c r="AR74" s="751"/>
      <c r="AT74" s="741">
        <v>336000</v>
      </c>
      <c r="AV74" s="751"/>
      <c r="AW74" s="751"/>
      <c r="AX74" s="751"/>
      <c r="AY74" s="751"/>
      <c r="BA74" s="749">
        <v>336000</v>
      </c>
      <c r="BB74" s="19"/>
      <c r="BC74" s="751"/>
      <c r="BD74" s="753"/>
      <c r="BE74" s="753"/>
      <c r="BF74" s="753"/>
    </row>
    <row r="75" spans="3:58">
      <c r="D75" s="741">
        <v>337000</v>
      </c>
      <c r="F75" s="751">
        <f>IF(B44=2000,'OPER-MAJOR SP. REVENUE(54-56)'!E24,0)</f>
        <v>0</v>
      </c>
      <c r="G75" s="751">
        <f>IF(B44=3000,'OPER-MAJOR SP. REVENUE(54-56)'!E24,0)</f>
        <v>0</v>
      </c>
      <c r="H75" s="751">
        <f>IF(B44=4000,'OPER-MAJOR SP. REVENUE(54-56)'!E24,0)</f>
        <v>0</v>
      </c>
      <c r="I75" s="751">
        <f>IF(B44=8000,'OPER-MAJOR SP. REVENUE(54-56)'!E24,0)</f>
        <v>0</v>
      </c>
      <c r="K75" s="741">
        <v>337000</v>
      </c>
      <c r="M75" s="751">
        <f>IF(B45=2000,'OPER-MAJOR SP. REVENUE(54-56)'!I24,0)</f>
        <v>0</v>
      </c>
      <c r="N75" s="751">
        <f>IF(B45=3000,'OPER-MAJOR SP. REVENUE(54-56)'!I24,0)</f>
        <v>0</v>
      </c>
      <c r="O75" s="751">
        <f>IF(B45=4000,'OPER-MAJOR SP. REVENUE(54-56)'!I24,0)</f>
        <v>0</v>
      </c>
      <c r="P75" s="751">
        <f>IF(B45=8000,'OPER-MAJOR SP. REVENUE(54-56)'!I24,0)</f>
        <v>0</v>
      </c>
      <c r="R75" s="741">
        <v>337000</v>
      </c>
      <c r="T75" s="751">
        <f>IF(B46=2000,'OPER-MAJOR SP. REVENUE(54-56)'!M24,0)</f>
        <v>0</v>
      </c>
      <c r="U75" s="751">
        <f>IF(B46=3000,'OPER-MAJOR SP. REVENUE(54-56)'!M24,0)</f>
        <v>0</v>
      </c>
      <c r="V75" s="751">
        <f>IF(B46=4000,'OPER-MAJOR SP. REVENUE(54-56)'!M24,0)</f>
        <v>0</v>
      </c>
      <c r="W75" s="751">
        <f>IF(B46=8000,'OPER-MAJOR SP. REVENUE(54-56)'!M24,0)</f>
        <v>0</v>
      </c>
      <c r="Y75" s="741">
        <v>337000</v>
      </c>
      <c r="AA75" s="751">
        <f>IF(B47=2000,'OPER-MAJOR SP. REVENUE(54-56)'!Q24,0)</f>
        <v>0</v>
      </c>
      <c r="AB75" s="751">
        <f>IF(B47=3000,'OPER-MAJOR SP. REVENUE(54-56)'!Q24,0)</f>
        <v>0</v>
      </c>
      <c r="AC75" s="751">
        <f>IF(B47=4000,'OPER-MAJOR SP. REVENUE(54-56)'!Q24,0)</f>
        <v>0</v>
      </c>
      <c r="AD75" s="751">
        <f>IF(B47=8000,'OPER-MAJOR SP. REVENUE(54-56)'!Q24,0)</f>
        <v>0</v>
      </c>
      <c r="AF75" s="741">
        <v>337000</v>
      </c>
      <c r="AH75" s="751">
        <f>IF(B48=2000,'OPER-MAJOR SP. REVENUE(54-56)'!U24,0)</f>
        <v>0</v>
      </c>
      <c r="AI75" s="751">
        <f>IF(B48=3000,'OPER-MAJOR SP. REVENUE(54-56)'!U24,0)</f>
        <v>0</v>
      </c>
      <c r="AJ75" s="751">
        <f>IF(B48=4000,'OPER-MAJOR SP. REVENUE(54-56)'!U24,0)</f>
        <v>0</v>
      </c>
      <c r="AK75" s="751">
        <f>IF(B48=8000,'OPER-MAJOR SP. REVENUE(54-56)'!U24,0)</f>
        <v>0</v>
      </c>
      <c r="AM75" s="741">
        <v>337000</v>
      </c>
      <c r="AO75" s="751">
        <f>IF(B49=2000,'OPER-MAJOR SP. REVENUE(54-56)'!Y24,0)</f>
        <v>0</v>
      </c>
      <c r="AP75" s="751">
        <f>IF(B49=3000,'OPER-MAJOR SP. REVENUE(54-56)'!Y24,0)</f>
        <v>0</v>
      </c>
      <c r="AQ75" s="751">
        <f>IF(B49=4000,'OPER-MAJOR SP. REVENUE(54-56)'!Y24,0)</f>
        <v>0</v>
      </c>
      <c r="AR75" s="751">
        <f>IF(B49=8000,'OPER-MAJOR SP. REVENUE(54-56)'!Y24,0)</f>
        <v>0</v>
      </c>
      <c r="AT75" s="741">
        <v>337000</v>
      </c>
      <c r="AV75" s="751">
        <f>IF(B50=2000,'OPER-MAJOR SP. REVENUE(54-56)'!AC24,0)</f>
        <v>0</v>
      </c>
      <c r="AW75" s="751">
        <f>IF(B50=3000,'OPER-MAJOR SP. REVENUE(54-56)'!AC24,0)</f>
        <v>0</v>
      </c>
      <c r="AX75" s="751">
        <f>IF(B50=4000,'OPER-MAJOR SP. REVENUE(54-56)'!AC24,0)</f>
        <v>0</v>
      </c>
      <c r="AY75" s="751">
        <f>IF(B50=8000,'OPER-MAJOR SP. REVENUE(54-56)'!AC24,0)</f>
        <v>0</v>
      </c>
      <c r="BA75" s="749">
        <v>337000</v>
      </c>
      <c r="BB75" s="19"/>
      <c r="BC75" s="751">
        <f t="shared" si="1"/>
        <v>0</v>
      </c>
      <c r="BD75" s="753">
        <f t="shared" si="2"/>
        <v>0</v>
      </c>
      <c r="BE75" s="753">
        <f t="shared" si="3"/>
        <v>0</v>
      </c>
      <c r="BF75" s="753">
        <f t="shared" si="4"/>
        <v>0</v>
      </c>
    </row>
    <row r="76" spans="3:58">
      <c r="D76" s="741">
        <v>338000</v>
      </c>
      <c r="F76" s="751">
        <f>IF(B44=2000,'OPER-MAJOR SP. REVENUE(54-56)'!E25,0)</f>
        <v>0</v>
      </c>
      <c r="G76" s="751">
        <f>IF(B44=3000,'OPER-MAJOR SP. REVENUE(54-56)'!E25,0)</f>
        <v>0</v>
      </c>
      <c r="H76" s="751">
        <f>IF(B44=4000,'OPER-MAJOR SP. REVENUE(54-56)'!E25,0)</f>
        <v>0</v>
      </c>
      <c r="I76" s="751">
        <f>IF(B44=8000,'OPER-MAJOR SP. REVENUE(54-56)'!E25,0)</f>
        <v>0</v>
      </c>
      <c r="K76" s="741">
        <v>338000</v>
      </c>
      <c r="M76" s="751">
        <f>IF(B45=2000,'OPER-MAJOR SP. REVENUE(54-56)'!I25,0)</f>
        <v>0</v>
      </c>
      <c r="N76" s="751">
        <f>IF(B45=3000,'OPER-MAJOR SP. REVENUE(54-56)'!I25,0)</f>
        <v>0</v>
      </c>
      <c r="O76" s="751">
        <f>IF(B45=4000,'OPER-MAJOR SP. REVENUE(54-56)'!I25,0)</f>
        <v>0</v>
      </c>
      <c r="P76" s="751">
        <f>IF(B45=8000,'OPER-MAJOR SP. REVENUE(54-56)'!I25,0)</f>
        <v>0</v>
      </c>
      <c r="R76" s="741">
        <v>338000</v>
      </c>
      <c r="T76" s="751">
        <f>IF(B46=2000,'OPER-MAJOR SP. REVENUE(54-56)'!M25,0)</f>
        <v>0</v>
      </c>
      <c r="U76" s="751">
        <f>IF(B46=3000,'OPER-MAJOR SP. REVENUE(54-56)'!M25,0)</f>
        <v>0</v>
      </c>
      <c r="V76" s="751">
        <f>IF(B46=4000,'OPER-MAJOR SP. REVENUE(54-56)'!M25,0)</f>
        <v>0</v>
      </c>
      <c r="W76" s="751">
        <f>IF(B46=8000,'OPER-MAJOR SP. REVENUE(54-56)'!M25,0)</f>
        <v>0</v>
      </c>
      <c r="Y76" s="741">
        <v>338000</v>
      </c>
      <c r="AA76" s="751">
        <f>IF(B47=2000,'OPER-MAJOR SP. REVENUE(54-56)'!Q25,0)</f>
        <v>0</v>
      </c>
      <c r="AB76" s="751">
        <f>IF(B47=3000,'OPER-MAJOR SP. REVENUE(54-56)'!Q25,0)</f>
        <v>0</v>
      </c>
      <c r="AC76" s="751">
        <f>IF(B47=4000,'OPER-MAJOR SP. REVENUE(54-56)'!Q25,0)</f>
        <v>0</v>
      </c>
      <c r="AD76" s="751">
        <f>IF(B47=8000,'OPER-MAJOR SP. REVENUE(54-56)'!Q25,0)</f>
        <v>0</v>
      </c>
      <c r="AF76" s="741">
        <v>338000</v>
      </c>
      <c r="AH76" s="751">
        <f>IF(B48=2000,'OPER-MAJOR SP. REVENUE(54-56)'!U25,0)</f>
        <v>0</v>
      </c>
      <c r="AI76" s="751">
        <f>IF(B48=3000,'OPER-MAJOR SP. REVENUE(54-56)'!U25,0)</f>
        <v>0</v>
      </c>
      <c r="AJ76" s="751">
        <f>IF(B48=4000,'OPER-MAJOR SP. REVENUE(54-56)'!U25,0)</f>
        <v>0</v>
      </c>
      <c r="AK76" s="751">
        <f>IF(B48=8000,'OPER-MAJOR SP. REVENUE(54-56)'!U25,0)</f>
        <v>0</v>
      </c>
      <c r="AM76" s="741">
        <v>338000</v>
      </c>
      <c r="AO76" s="751">
        <f>IF(B49=2000,'OPER-MAJOR SP. REVENUE(54-56)'!Y25,0)</f>
        <v>0</v>
      </c>
      <c r="AP76" s="751">
        <f>IF(B49=3000,'OPER-MAJOR SP. REVENUE(54-56)'!Y25,0)</f>
        <v>0</v>
      </c>
      <c r="AQ76" s="751">
        <f>IF(B49=4000,'OPER-MAJOR SP. REVENUE(54-56)'!Y25,0)</f>
        <v>0</v>
      </c>
      <c r="AR76" s="751">
        <f>IF(B49=8000,'OPER-MAJOR SP. REVENUE(54-56)'!Y25,0)</f>
        <v>0</v>
      </c>
      <c r="AT76" s="741">
        <v>338000</v>
      </c>
      <c r="AV76" s="751">
        <f>IF(B50=2000,'OPER-MAJOR SP. REVENUE(54-56)'!AC25,0)</f>
        <v>0</v>
      </c>
      <c r="AW76" s="751">
        <f>IF(B50=3000,'OPER-MAJOR SP. REVENUE(54-56)'!AC25,0)</f>
        <v>0</v>
      </c>
      <c r="AX76" s="751">
        <f>IF(B50=4000,'OPER-MAJOR SP. REVENUE(54-56)'!AC25,0)</f>
        <v>0</v>
      </c>
      <c r="AY76" s="751">
        <f>IF(B50=8000,'OPER-MAJOR SP. REVENUE(54-56)'!AC25,0)</f>
        <v>0</v>
      </c>
      <c r="BA76" s="749">
        <v>338000</v>
      </c>
      <c r="BB76" s="19"/>
      <c r="BC76" s="751">
        <f t="shared" si="1"/>
        <v>0</v>
      </c>
      <c r="BD76" s="753">
        <f t="shared" si="2"/>
        <v>0</v>
      </c>
      <c r="BE76" s="753">
        <f t="shared" si="3"/>
        <v>0</v>
      </c>
      <c r="BF76" s="753">
        <f t="shared" si="4"/>
        <v>0</v>
      </c>
    </row>
    <row r="77" spans="3:58">
      <c r="D77" s="741">
        <v>339000</v>
      </c>
      <c r="F77" s="751"/>
      <c r="G77" s="751"/>
      <c r="H77" s="751"/>
      <c r="I77" s="751"/>
      <c r="K77" s="741">
        <v>339000</v>
      </c>
      <c r="M77" s="751"/>
      <c r="N77" s="751"/>
      <c r="O77" s="751"/>
      <c r="P77" s="751"/>
      <c r="R77" s="741">
        <v>339000</v>
      </c>
      <c r="T77" s="751"/>
      <c r="U77" s="751"/>
      <c r="V77" s="751"/>
      <c r="W77" s="751"/>
      <c r="Y77" s="741">
        <v>339000</v>
      </c>
      <c r="AA77" s="751"/>
      <c r="AB77" s="751"/>
      <c r="AC77" s="751"/>
      <c r="AD77" s="751"/>
      <c r="AF77" s="741">
        <v>339000</v>
      </c>
      <c r="AH77" s="751"/>
      <c r="AI77" s="751"/>
      <c r="AJ77" s="751"/>
      <c r="AK77" s="751"/>
      <c r="AM77" s="741">
        <v>339000</v>
      </c>
      <c r="AO77" s="751"/>
      <c r="AP77" s="751"/>
      <c r="AQ77" s="751"/>
      <c r="AR77" s="751"/>
      <c r="AT77" s="741">
        <v>339000</v>
      </c>
      <c r="AV77" s="751"/>
      <c r="AW77" s="751"/>
      <c r="AX77" s="751"/>
      <c r="AY77" s="751"/>
      <c r="BA77" s="749">
        <v>339000</v>
      </c>
      <c r="BB77" s="19"/>
      <c r="BC77" s="751"/>
      <c r="BD77" s="753"/>
      <c r="BE77" s="753"/>
      <c r="BF77" s="753"/>
    </row>
    <row r="78" spans="3:58">
      <c r="D78" s="741">
        <v>340000</v>
      </c>
      <c r="F78" s="751"/>
      <c r="G78" s="751"/>
      <c r="H78" s="751"/>
      <c r="I78" s="751"/>
      <c r="K78" s="741">
        <v>340000</v>
      </c>
      <c r="M78" s="751"/>
      <c r="N78" s="751"/>
      <c r="O78" s="751"/>
      <c r="P78" s="751"/>
      <c r="R78" s="741">
        <v>340000</v>
      </c>
      <c r="T78" s="751"/>
      <c r="U78" s="751"/>
      <c r="V78" s="751"/>
      <c r="W78" s="751"/>
      <c r="Y78" s="741">
        <v>340000</v>
      </c>
      <c r="AA78" s="751"/>
      <c r="AB78" s="751"/>
      <c r="AC78" s="751"/>
      <c r="AD78" s="751"/>
      <c r="AF78" s="741">
        <v>340000</v>
      </c>
      <c r="AH78" s="751"/>
      <c r="AI78" s="751"/>
      <c r="AJ78" s="751"/>
      <c r="AK78" s="751"/>
      <c r="AM78" s="741">
        <v>340000</v>
      </c>
      <c r="AO78" s="751"/>
      <c r="AP78" s="751"/>
      <c r="AQ78" s="751"/>
      <c r="AR78" s="751"/>
      <c r="AT78" s="741">
        <v>340000</v>
      </c>
      <c r="AV78" s="751"/>
      <c r="AW78" s="751"/>
      <c r="AX78" s="751"/>
      <c r="AY78" s="751"/>
      <c r="BA78" s="749">
        <v>340000</v>
      </c>
      <c r="BB78" s="19"/>
      <c r="BC78" s="751"/>
      <c r="BD78" s="753"/>
      <c r="BE78" s="753"/>
      <c r="BF78" s="753"/>
    </row>
    <row r="79" spans="3:58">
      <c r="D79" s="741">
        <v>341000</v>
      </c>
      <c r="F79" s="751">
        <f>IF(B44=2000,'OPER-MAJOR SP. REVENUE(54-56)'!E27,0)</f>
        <v>0</v>
      </c>
      <c r="G79" s="751">
        <f>IF(B44=3000,'OPER-MAJOR SP. REVENUE(54-56)'!E27,0)</f>
        <v>0</v>
      </c>
      <c r="H79" s="751">
        <f>IF(B44=4000,'OPER-MAJOR SP. REVENUE(54-56)'!E27,0)</f>
        <v>0</v>
      </c>
      <c r="I79" s="751">
        <f>IF(B44=8000,'OPER-MAJOR SP. REVENUE(54-56)'!E27,0)</f>
        <v>0</v>
      </c>
      <c r="K79" s="741">
        <v>341000</v>
      </c>
      <c r="M79" s="751">
        <f>IF(B45=2000,'OPER-MAJOR SP. REVENUE(54-56)'!I27,0)</f>
        <v>0</v>
      </c>
      <c r="N79" s="751">
        <f>IF(B45=3000,'OPER-MAJOR SP. REVENUE(54-56)'!I27,0)</f>
        <v>0</v>
      </c>
      <c r="O79" s="751">
        <f>IF(B45=4000,'OPER-MAJOR SP. REVENUE(54-56)'!I27,0)</f>
        <v>0</v>
      </c>
      <c r="P79" s="751">
        <f>IF(B45=8000,'OPER-MAJOR SP. REVENUE(54-56)'!I27,0)</f>
        <v>0</v>
      </c>
      <c r="R79" s="741">
        <v>341000</v>
      </c>
      <c r="T79" s="751">
        <f>IF(B46=2000,'OPER-MAJOR SP. REVENUE(54-56)'!M27,0)</f>
        <v>0</v>
      </c>
      <c r="U79" s="751">
        <f>IF(B46=3000,'OPER-MAJOR SP. REVENUE(54-56)'!M27,0)</f>
        <v>0</v>
      </c>
      <c r="V79" s="751">
        <f>IF(B46=4000,'OPER-MAJOR SP. REVENUE(54-56)'!M27,0)</f>
        <v>0</v>
      </c>
      <c r="W79" s="751">
        <f>IF(B46=8000,'OPER-MAJOR SP. REVENUE(54-56)'!M27,0)</f>
        <v>0</v>
      </c>
      <c r="Y79" s="741">
        <v>341000</v>
      </c>
      <c r="AA79" s="751">
        <f>IF(B47=2000,'OPER-MAJOR SP. REVENUE(54-56)'!Q27,0)</f>
        <v>0</v>
      </c>
      <c r="AB79" s="751">
        <f>IF(B47=3000,'OPER-MAJOR SP. REVENUE(54-56)'!Q27,0)</f>
        <v>0</v>
      </c>
      <c r="AC79" s="751">
        <f>IF(B47=4000,'OPER-MAJOR SP. REVENUE(54-56)'!Q27,0)</f>
        <v>0</v>
      </c>
      <c r="AD79" s="751">
        <f>IF(B47=8000,'OPER-MAJOR SP. REVENUE(54-56)'!Q27,0)</f>
        <v>0</v>
      </c>
      <c r="AF79" s="741">
        <v>341000</v>
      </c>
      <c r="AH79" s="751">
        <f>IF(B48=2000,'OPER-MAJOR SP. REVENUE(54-56)'!U27,0)</f>
        <v>0</v>
      </c>
      <c r="AI79" s="751">
        <f>IF(B48=3000,'OPER-MAJOR SP. REVENUE(54-56)'!U27,0)</f>
        <v>0</v>
      </c>
      <c r="AJ79" s="751">
        <f>IF(B48=4000,'OPER-MAJOR SP. REVENUE(54-56)'!U27,0)</f>
        <v>0</v>
      </c>
      <c r="AK79" s="751">
        <f>IF(B48=8000,'OPER-MAJOR SP. REVENUE(54-56)'!U27,0)</f>
        <v>0</v>
      </c>
      <c r="AM79" s="741">
        <v>341000</v>
      </c>
      <c r="AO79" s="751">
        <f>IF(B49=2000,'OPER-MAJOR SP. REVENUE(54-56)'!Y27,0)</f>
        <v>0</v>
      </c>
      <c r="AP79" s="751">
        <f>IF(B49=3000,'OPER-MAJOR SP. REVENUE(54-56)'!Y27,0)</f>
        <v>0</v>
      </c>
      <c r="AQ79" s="751">
        <f>IF(B49=4000,'OPER-MAJOR SP. REVENUE(54-56)'!Y27,0)</f>
        <v>0</v>
      </c>
      <c r="AR79" s="751">
        <f>IF(B49=8000,'OPER-MAJOR SP. REVENUE(54-56)'!Y27,0)</f>
        <v>0</v>
      </c>
      <c r="AT79" s="741">
        <v>341000</v>
      </c>
      <c r="AV79" s="751">
        <f>IF(B50=2000,'OPER-MAJOR SP. REVENUE(54-56)'!AC27,0)</f>
        <v>0</v>
      </c>
      <c r="AW79" s="751">
        <f>IF(B50=3000,'OPER-MAJOR SP. REVENUE(54-56)'!AC27,0)</f>
        <v>0</v>
      </c>
      <c r="AX79" s="751">
        <f>IF(B50=4000,'OPER-MAJOR SP. REVENUE(54-56)'!AC27,0)</f>
        <v>0</v>
      </c>
      <c r="AY79" s="751">
        <f>IF(B50=8000,'OPER-MAJOR SP. REVENUE(54-56)'!AC27,0)</f>
        <v>0</v>
      </c>
      <c r="BA79" s="749">
        <v>341000</v>
      </c>
      <c r="BB79" s="19"/>
      <c r="BC79" s="751">
        <f t="shared" si="1"/>
        <v>0</v>
      </c>
      <c r="BD79" s="753">
        <f t="shared" si="2"/>
        <v>0</v>
      </c>
      <c r="BE79" s="753">
        <f t="shared" si="3"/>
        <v>0</v>
      </c>
      <c r="BF79" s="753">
        <f t="shared" si="4"/>
        <v>0</v>
      </c>
    </row>
    <row r="80" spans="3:58">
      <c r="D80" s="741">
        <v>342000</v>
      </c>
      <c r="F80" s="751">
        <f>IF(B44=2000,'OPER-MAJOR SP. REVENUE(54-56)'!E28,0)</f>
        <v>0</v>
      </c>
      <c r="G80" s="751">
        <f>IF(B44=3000,'OPER-MAJOR SP. REVENUE(54-56)'!E28,0)</f>
        <v>0</v>
      </c>
      <c r="H80" s="751">
        <f>IF(B44=4000,'OPER-MAJOR SP. REVENUE(54-56)'!E28,0)</f>
        <v>0</v>
      </c>
      <c r="I80" s="751">
        <f>IF(B44=8000,'OPER-MAJOR SP. REVENUE(54-56)'!E28,0)</f>
        <v>0</v>
      </c>
      <c r="K80" s="741">
        <v>342000</v>
      </c>
      <c r="M80" s="751">
        <f>IF(B45=2000,'OPER-MAJOR SP. REVENUE(54-56)'!I28,0)</f>
        <v>0</v>
      </c>
      <c r="N80" s="751">
        <f>IF(B45=3000,'OPER-MAJOR SP. REVENUE(54-56)'!I28,0)</f>
        <v>0</v>
      </c>
      <c r="O80" s="751">
        <f>IF(B45=4000,'OPER-MAJOR SP. REVENUE(54-56)'!I28,0)</f>
        <v>0</v>
      </c>
      <c r="P80" s="751">
        <f>IF(B45=8000,'OPER-MAJOR SP. REVENUE(54-56)'!I28,0)</f>
        <v>0</v>
      </c>
      <c r="R80" s="741">
        <v>342000</v>
      </c>
      <c r="T80" s="751">
        <f>IF(B46=2000,'OPER-MAJOR SP. REVENUE(54-56)'!M28,0)</f>
        <v>0</v>
      </c>
      <c r="U80" s="751">
        <f>IF(B46=3000,'OPER-MAJOR SP. REVENUE(54-56)'!M28,0)</f>
        <v>0</v>
      </c>
      <c r="V80" s="751">
        <f>IF(B46=4000,'OPER-MAJOR SP. REVENUE(54-56)'!M28,0)</f>
        <v>0</v>
      </c>
      <c r="W80" s="751">
        <f>IF(B46=8000,'OPER-MAJOR SP. REVENUE(54-56)'!M28,0)</f>
        <v>0</v>
      </c>
      <c r="Y80" s="741">
        <v>342000</v>
      </c>
      <c r="AA80" s="751">
        <f>IF(B47=2000,'OPER-MAJOR SP. REVENUE(54-56)'!Q28,0)</f>
        <v>0</v>
      </c>
      <c r="AB80" s="751">
        <f>IF(B47=3000,'OPER-MAJOR SP. REVENUE(54-56)'!Q28,0)</f>
        <v>0</v>
      </c>
      <c r="AC80" s="751">
        <f>IF(B47=4000,'OPER-MAJOR SP. REVENUE(54-56)'!Q28,0)</f>
        <v>0</v>
      </c>
      <c r="AD80" s="751">
        <f>IF(B47=8000,'OPER-MAJOR SP. REVENUE(54-56)'!Q28,0)</f>
        <v>0</v>
      </c>
      <c r="AF80" s="741">
        <v>342000</v>
      </c>
      <c r="AH80" s="751">
        <f>IF(B48=2000,'OPER-MAJOR SP. REVENUE(54-56)'!U28,0)</f>
        <v>0</v>
      </c>
      <c r="AI80" s="751">
        <f>IF(B48=3000,'OPER-MAJOR SP. REVENUE(54-56)'!U28,0)</f>
        <v>0</v>
      </c>
      <c r="AJ80" s="751">
        <f>IF(B48=4000,'OPER-MAJOR SP. REVENUE(54-56)'!U28,0)</f>
        <v>0</v>
      </c>
      <c r="AK80" s="751">
        <f>IF(B48=8000,'OPER-MAJOR SP. REVENUE(54-56)'!U28,0)</f>
        <v>0</v>
      </c>
      <c r="AM80" s="741">
        <v>342000</v>
      </c>
      <c r="AO80" s="751">
        <f>IF(B49=2000,'OPER-MAJOR SP. REVENUE(54-56)'!Y28,0)</f>
        <v>0</v>
      </c>
      <c r="AP80" s="751">
        <f>IF(B49=3000,'OPER-MAJOR SP. REVENUE(54-56)'!Y28,0)</f>
        <v>0</v>
      </c>
      <c r="AQ80" s="751">
        <f>IF(B49=4000,'OPER-MAJOR SP. REVENUE(54-56)'!Y28,0)</f>
        <v>0</v>
      </c>
      <c r="AR80" s="751">
        <f>IF(B49=8000,'OPER-MAJOR SP. REVENUE(54-56)'!Y28,0)</f>
        <v>0</v>
      </c>
      <c r="AT80" s="741">
        <v>342000</v>
      </c>
      <c r="AV80" s="751">
        <f>IF(B50=2000,'OPER-MAJOR SP. REVENUE(54-56)'!AC28,0)</f>
        <v>0</v>
      </c>
      <c r="AW80" s="751">
        <f>IF(B50=3000,'OPER-MAJOR SP. REVENUE(54-56)'!AC28,0)</f>
        <v>0</v>
      </c>
      <c r="AX80" s="751">
        <f>IF(B50=4000,'OPER-MAJOR SP. REVENUE(54-56)'!AC28,0)</f>
        <v>0</v>
      </c>
      <c r="AY80" s="751">
        <f>IF(B50=8000,'OPER-MAJOR SP. REVENUE(54-56)'!AC28,0)</f>
        <v>0</v>
      </c>
      <c r="BA80" s="749">
        <v>342000</v>
      </c>
      <c r="BB80" s="19"/>
      <c r="BC80" s="751">
        <f t="shared" si="1"/>
        <v>0</v>
      </c>
      <c r="BD80" s="753">
        <f t="shared" si="2"/>
        <v>0</v>
      </c>
      <c r="BE80" s="753">
        <f t="shared" si="3"/>
        <v>0</v>
      </c>
      <c r="BF80" s="753">
        <f t="shared" si="4"/>
        <v>0</v>
      </c>
    </row>
    <row r="81" spans="3:58">
      <c r="D81" s="741">
        <v>343000</v>
      </c>
      <c r="F81" s="751">
        <f>IF(B44=2000,'OPER-MAJOR SP. REVENUE(54-56)'!E29,0)</f>
        <v>0</v>
      </c>
      <c r="G81" s="751">
        <f>IF(B44=3000,'OPER-MAJOR SP. REVENUE(54-56)'!E29,0)</f>
        <v>0</v>
      </c>
      <c r="H81" s="751">
        <f>IF(B44=4000,'OPER-MAJOR SP. REVENUE(54-56)'!E29,0)</f>
        <v>0</v>
      </c>
      <c r="I81" s="751">
        <f>IF(B44=8000,'OPER-MAJOR SP. REVENUE(54-56)'!E29,0)</f>
        <v>0</v>
      </c>
      <c r="K81" s="741">
        <v>343000</v>
      </c>
      <c r="M81" s="751">
        <f>IF(B45=2000,'OPER-MAJOR SP. REVENUE(54-56)'!I29,0)</f>
        <v>0</v>
      </c>
      <c r="N81" s="751">
        <f>IF(B45=3000,'OPER-MAJOR SP. REVENUE(54-56)'!I29,0)</f>
        <v>0</v>
      </c>
      <c r="O81" s="751">
        <f>IF(B45=4000,'OPER-MAJOR SP. REVENUE(54-56)'!I29,0)</f>
        <v>0</v>
      </c>
      <c r="P81" s="751">
        <f>IF(B45=8000,'OPER-MAJOR SP. REVENUE(54-56)'!I29,0)</f>
        <v>0</v>
      </c>
      <c r="R81" s="741">
        <v>343000</v>
      </c>
      <c r="T81" s="751">
        <f>IF(B46=2000,'OPER-MAJOR SP. REVENUE(54-56)'!M29,0)</f>
        <v>0</v>
      </c>
      <c r="U81" s="751">
        <f>IF(B46=3000,'OPER-MAJOR SP. REVENUE(54-56)'!M29,0)</f>
        <v>0</v>
      </c>
      <c r="V81" s="751">
        <f>IF(B46=4000,'OPER-MAJOR SP. REVENUE(54-56)'!M29,0)</f>
        <v>0</v>
      </c>
      <c r="W81" s="751">
        <f>IF(B46=8000,'OPER-MAJOR SP. REVENUE(54-56)'!M29,0)</f>
        <v>0</v>
      </c>
      <c r="Y81" s="741">
        <v>343000</v>
      </c>
      <c r="AA81" s="751">
        <f>IF(B47=2000,'OPER-MAJOR SP. REVENUE(54-56)'!Q29,0)</f>
        <v>0</v>
      </c>
      <c r="AB81" s="751">
        <f>IF(B47=3000,'OPER-MAJOR SP. REVENUE(54-56)'!Q29,0)</f>
        <v>0</v>
      </c>
      <c r="AC81" s="751">
        <f>IF(B47=4000,'OPER-MAJOR SP. REVENUE(54-56)'!Q29,0)</f>
        <v>0</v>
      </c>
      <c r="AD81" s="751">
        <f>IF(B47=8000,'OPER-MAJOR SP. REVENUE(54-56)'!Q29,0)</f>
        <v>0</v>
      </c>
      <c r="AF81" s="741">
        <v>343000</v>
      </c>
      <c r="AH81" s="751">
        <f>IF(B48=2000,'OPER-MAJOR SP. REVENUE(54-56)'!U29,0)</f>
        <v>0</v>
      </c>
      <c r="AI81" s="751">
        <f>IF(B48=3000,'OPER-MAJOR SP. REVENUE(54-56)'!U29,0)</f>
        <v>0</v>
      </c>
      <c r="AJ81" s="751">
        <f>IF(B48=4000,'OPER-MAJOR SP. REVENUE(54-56)'!U29,0)</f>
        <v>0</v>
      </c>
      <c r="AK81" s="751">
        <f>IF(B48=8000,'OPER-MAJOR SP. REVENUE(54-56)'!U29,0)</f>
        <v>0</v>
      </c>
      <c r="AM81" s="741">
        <v>343000</v>
      </c>
      <c r="AO81" s="751">
        <f>IF(B49=2000,'OPER-MAJOR SP. REVENUE(54-56)'!Y29,0)</f>
        <v>0</v>
      </c>
      <c r="AP81" s="751">
        <f>IF(B49=3000,'OPER-MAJOR SP. REVENUE(54-56)'!Y29,0)</f>
        <v>0</v>
      </c>
      <c r="AQ81" s="751">
        <f>IF(B49=4000,'OPER-MAJOR SP. REVENUE(54-56)'!Y29,0)</f>
        <v>0</v>
      </c>
      <c r="AR81" s="751">
        <f>IF(B49=8000,'OPER-MAJOR SP. REVENUE(54-56)'!Y29,0)</f>
        <v>0</v>
      </c>
      <c r="AT81" s="741">
        <v>343000</v>
      </c>
      <c r="AV81" s="751">
        <f>IF(B50=2000,'OPER-MAJOR SP. REVENUE(54-56)'!AC29,0)</f>
        <v>0</v>
      </c>
      <c r="AW81" s="751">
        <f>IF(B50=3000,'OPER-MAJOR SP. REVENUE(54-56)'!AC29,0)</f>
        <v>0</v>
      </c>
      <c r="AX81" s="751">
        <f>IF(B50=4000,'OPER-MAJOR SP. REVENUE(54-56)'!AC29,0)</f>
        <v>0</v>
      </c>
      <c r="AY81" s="751">
        <f>IF(B50=8000,'OPER-MAJOR SP. REVENUE(54-56)'!AC29,0)</f>
        <v>0</v>
      </c>
      <c r="BA81" s="749">
        <v>343000</v>
      </c>
      <c r="BB81" s="19"/>
      <c r="BC81" s="751">
        <f t="shared" si="1"/>
        <v>0</v>
      </c>
      <c r="BD81" s="753">
        <f t="shared" si="2"/>
        <v>0</v>
      </c>
      <c r="BE81" s="753">
        <f t="shared" si="3"/>
        <v>0</v>
      </c>
      <c r="BF81" s="753">
        <f t="shared" si="4"/>
        <v>0</v>
      </c>
    </row>
    <row r="82" spans="3:58">
      <c r="D82" s="741">
        <v>344000</v>
      </c>
      <c r="F82" s="751">
        <f>IF(B44=2000,'OPER-MAJOR SP. REVENUE(54-56)'!E30,0)</f>
        <v>0</v>
      </c>
      <c r="G82" s="751">
        <f>IF(B44=3000,'OPER-MAJOR SP. REVENUE(54-56)'!E30,0)</f>
        <v>0</v>
      </c>
      <c r="H82" s="751">
        <f>IF(B44=4000,'OPER-MAJOR SP. REVENUE(54-56)'!E30,0)</f>
        <v>0</v>
      </c>
      <c r="I82" s="751">
        <f>IF(B44=8000,'OPER-MAJOR SP. REVENUE(54-56)'!E30,0)</f>
        <v>0</v>
      </c>
      <c r="K82" s="741">
        <v>344000</v>
      </c>
      <c r="M82" s="751">
        <f>IF(B45=2000,'OPER-MAJOR SP. REVENUE(54-56)'!I30,0)</f>
        <v>0</v>
      </c>
      <c r="N82" s="751">
        <f>IF(B45=3000,'OPER-MAJOR SP. REVENUE(54-56)'!I30,0)</f>
        <v>0</v>
      </c>
      <c r="O82" s="751">
        <f>IF(B45=4000,'OPER-MAJOR SP. REVENUE(54-56)'!I30,0)</f>
        <v>0</v>
      </c>
      <c r="P82" s="751">
        <f>IF(B45=8000,'OPER-MAJOR SP. REVENUE(54-56)'!I30,0)</f>
        <v>0</v>
      </c>
      <c r="R82" s="741">
        <v>344000</v>
      </c>
      <c r="T82" s="751">
        <f>IF(B46=2000,'OPER-MAJOR SP. REVENUE(54-56)'!M30,0)</f>
        <v>0</v>
      </c>
      <c r="U82" s="751">
        <f>IF(B46=3000,'OPER-MAJOR SP. REVENUE(54-56)'!M30,0)</f>
        <v>0</v>
      </c>
      <c r="V82" s="751">
        <f>IF(B46=4000,'OPER-MAJOR SP. REVENUE(54-56)'!M30,0)</f>
        <v>0</v>
      </c>
      <c r="W82" s="751">
        <f>IF(B46=8000,'OPER-MAJOR SP. REVENUE(54-56)'!M30,0)</f>
        <v>0</v>
      </c>
      <c r="Y82" s="741">
        <v>344000</v>
      </c>
      <c r="AA82" s="751">
        <f>IF(B47=2000,'OPER-MAJOR SP. REVENUE(54-56)'!Q30,0)</f>
        <v>0</v>
      </c>
      <c r="AB82" s="751">
        <f>IF(B47=3000,'OPER-MAJOR SP. REVENUE(54-56)'!Q30,0)</f>
        <v>0</v>
      </c>
      <c r="AC82" s="751">
        <f>IF(B47=4000,'OPER-MAJOR SP. REVENUE(54-56)'!Q30,0)</f>
        <v>0</v>
      </c>
      <c r="AD82" s="751">
        <f>IF(B47=8000,'OPER-MAJOR SP. REVENUE(54-56)'!Q30,0)</f>
        <v>0</v>
      </c>
      <c r="AF82" s="741">
        <v>344000</v>
      </c>
      <c r="AH82" s="751">
        <f>IF(B48=2000,'OPER-MAJOR SP. REVENUE(54-56)'!U30,0)</f>
        <v>0</v>
      </c>
      <c r="AI82" s="751">
        <f>IF(B48=3000,'OPER-MAJOR SP. REVENUE(54-56)'!U30,0)</f>
        <v>0</v>
      </c>
      <c r="AJ82" s="751">
        <f>IF(B48=4000,'OPER-MAJOR SP. REVENUE(54-56)'!U30,0)</f>
        <v>0</v>
      </c>
      <c r="AK82" s="751">
        <f>IF(B48=8000,'OPER-MAJOR SP. REVENUE(54-56)'!U30,0)</f>
        <v>0</v>
      </c>
      <c r="AM82" s="741">
        <v>344000</v>
      </c>
      <c r="AO82" s="751">
        <f>IF(B49=2000,'OPER-MAJOR SP. REVENUE(54-56)'!Y30,0)</f>
        <v>0</v>
      </c>
      <c r="AP82" s="751">
        <f>IF(B49=3000,'OPER-MAJOR SP. REVENUE(54-56)'!Y30,0)</f>
        <v>0</v>
      </c>
      <c r="AQ82" s="751">
        <f>IF(B49=4000,'OPER-MAJOR SP. REVENUE(54-56)'!Y30,0)</f>
        <v>0</v>
      </c>
      <c r="AR82" s="751">
        <f>IF(B49=8000,'OPER-MAJOR SP. REVENUE(54-56)'!Y30,0)</f>
        <v>0</v>
      </c>
      <c r="AT82" s="741">
        <v>344000</v>
      </c>
      <c r="AV82" s="751">
        <f>IF(B50=2000,'OPER-MAJOR SP. REVENUE(54-56)'!AC30,0)</f>
        <v>0</v>
      </c>
      <c r="AW82" s="751">
        <f>IF(B50=3000,'OPER-MAJOR SP. REVENUE(54-56)'!AC30,0)</f>
        <v>0</v>
      </c>
      <c r="AX82" s="751">
        <f>IF(B50=4000,'OPER-MAJOR SP. REVENUE(54-56)'!AC30,0)</f>
        <v>0</v>
      </c>
      <c r="AY82" s="751">
        <f>IF(B50=8000,'OPER-MAJOR SP. REVENUE(54-56)'!AC30,0)</f>
        <v>0</v>
      </c>
      <c r="BA82" s="749">
        <v>344000</v>
      </c>
      <c r="BB82" s="19"/>
      <c r="BC82" s="751">
        <f t="shared" si="1"/>
        <v>0</v>
      </c>
      <c r="BD82" s="753">
        <f t="shared" si="2"/>
        <v>0</v>
      </c>
      <c r="BE82" s="753">
        <f t="shared" si="3"/>
        <v>0</v>
      </c>
      <c r="BF82" s="753">
        <f t="shared" si="4"/>
        <v>0</v>
      </c>
    </row>
    <row r="83" spans="3:58">
      <c r="D83" s="741">
        <v>345000</v>
      </c>
      <c r="F83" s="751">
        <f>IF(B44=2000,'OPER-MAJOR SP. REVENUE(54-56)'!E31,0)</f>
        <v>0</v>
      </c>
      <c r="G83" s="751">
        <f>IF(B44=3000,'OPER-MAJOR SP. REVENUE(54-56)'!E31,0)</f>
        <v>0</v>
      </c>
      <c r="H83" s="751">
        <f>IF(B44=4000,'OPER-MAJOR SP. REVENUE(54-56)'!E31,0)</f>
        <v>0</v>
      </c>
      <c r="I83" s="751">
        <f>IF(B44=8000,'OPER-MAJOR SP. REVENUE(54-56)'!E31,0)</f>
        <v>0</v>
      </c>
      <c r="K83" s="741">
        <v>345000</v>
      </c>
      <c r="M83" s="751">
        <f>IF(B45=2000,'OPER-MAJOR SP. REVENUE(54-56)'!I31,0)</f>
        <v>0</v>
      </c>
      <c r="N83" s="751">
        <f>IF(B45=3000,'OPER-MAJOR SP. REVENUE(54-56)'!I31,0)</f>
        <v>0</v>
      </c>
      <c r="O83" s="751">
        <f>IF(B45=4000,'OPER-MAJOR SP. REVENUE(54-56)'!I31,0)</f>
        <v>0</v>
      </c>
      <c r="P83" s="751">
        <f>IF(B45=8000,'OPER-MAJOR SP. REVENUE(54-56)'!I31,0)</f>
        <v>0</v>
      </c>
      <c r="R83" s="741">
        <v>345000</v>
      </c>
      <c r="T83" s="751">
        <f>IF(B46=2000,'OPER-MAJOR SP. REVENUE(54-56)'!M31,0)</f>
        <v>0</v>
      </c>
      <c r="U83" s="751">
        <f>IF(B46=3000,'OPER-MAJOR SP. REVENUE(54-56)'!M31,0)</f>
        <v>0</v>
      </c>
      <c r="V83" s="751">
        <f>IF(B46=4000,'OPER-MAJOR SP. REVENUE(54-56)'!M31,0)</f>
        <v>0</v>
      </c>
      <c r="W83" s="751">
        <f>IF(B46=8000,'OPER-MAJOR SP. REVENUE(54-56)'!M31,0)</f>
        <v>0</v>
      </c>
      <c r="Y83" s="741">
        <v>345000</v>
      </c>
      <c r="AA83" s="751">
        <f>IF(B47=2000,'OPER-MAJOR SP. REVENUE(54-56)'!Q31,0)</f>
        <v>0</v>
      </c>
      <c r="AB83" s="751">
        <f>IF(B47=3000,'OPER-MAJOR SP. REVENUE(54-56)'!Q31,0)</f>
        <v>0</v>
      </c>
      <c r="AC83" s="751">
        <f>IF(B47=4000,'OPER-MAJOR SP. REVENUE(54-56)'!Q31,0)</f>
        <v>0</v>
      </c>
      <c r="AD83" s="751">
        <f>IF(B47=8000,'OPER-MAJOR SP. REVENUE(54-56)'!Q31,0)</f>
        <v>0</v>
      </c>
      <c r="AF83" s="741">
        <v>345000</v>
      </c>
      <c r="AH83" s="751">
        <f>IF(B48=2000,'OPER-MAJOR SP. REVENUE(54-56)'!U31,0)</f>
        <v>0</v>
      </c>
      <c r="AI83" s="751">
        <f>IF(B48=3000,'OPER-MAJOR SP. REVENUE(54-56)'!U31,0)</f>
        <v>0</v>
      </c>
      <c r="AJ83" s="751">
        <f>IF(B48=4000,'OPER-MAJOR SP. REVENUE(54-56)'!U31,0)</f>
        <v>0</v>
      </c>
      <c r="AK83" s="751">
        <f>IF(B48=8000,'OPER-MAJOR SP. REVENUE(54-56)'!U31,0)</f>
        <v>0</v>
      </c>
      <c r="AM83" s="741">
        <v>345000</v>
      </c>
      <c r="AO83" s="751">
        <f>IF(B49=2000,'OPER-MAJOR SP. REVENUE(54-56)'!Y31,0)</f>
        <v>0</v>
      </c>
      <c r="AP83" s="751">
        <f>IF(B49=3000,'OPER-MAJOR SP. REVENUE(54-56)'!Y31,0)</f>
        <v>0</v>
      </c>
      <c r="AQ83" s="751">
        <f>IF(B49=4000,'OPER-MAJOR SP. REVENUE(54-56)'!Y31,0)</f>
        <v>0</v>
      </c>
      <c r="AR83" s="751">
        <f>IF(B49=8000,'OPER-MAJOR SP. REVENUE(54-56)'!Y31,0)</f>
        <v>0</v>
      </c>
      <c r="AT83" s="741">
        <v>345000</v>
      </c>
      <c r="AV83" s="751">
        <f>IF(B50=2000,'OPER-MAJOR SP. REVENUE(54-56)'!AC31,0)</f>
        <v>0</v>
      </c>
      <c r="AW83" s="751">
        <f>IF(B50=3000,'OPER-MAJOR SP. REVENUE(54-56)'!AC31,0)</f>
        <v>0</v>
      </c>
      <c r="AX83" s="751">
        <f>IF(B50=4000,'OPER-MAJOR SP. REVENUE(54-56)'!AC31,0)</f>
        <v>0</v>
      </c>
      <c r="AY83" s="751">
        <f>IF(B50=8000,'OPER-MAJOR SP. REVENUE(54-56)'!AC31,0)</f>
        <v>0</v>
      </c>
      <c r="BA83" s="749">
        <v>345000</v>
      </c>
      <c r="BB83" s="19"/>
      <c r="BC83" s="751">
        <f t="shared" si="1"/>
        <v>0</v>
      </c>
      <c r="BD83" s="753">
        <f t="shared" si="2"/>
        <v>0</v>
      </c>
      <c r="BE83" s="753">
        <f t="shared" si="3"/>
        <v>0</v>
      </c>
      <c r="BF83" s="753">
        <f t="shared" si="4"/>
        <v>0</v>
      </c>
    </row>
    <row r="84" spans="3:58">
      <c r="D84" s="741">
        <v>346000</v>
      </c>
      <c r="F84" s="751">
        <f>IF(B44=2000,'OPER-MAJOR SP. REVENUE(54-56)'!E32,0)</f>
        <v>0</v>
      </c>
      <c r="G84" s="751">
        <f>IF(B44=3000,'OPER-MAJOR SP. REVENUE(54-56)'!E32,0)</f>
        <v>0</v>
      </c>
      <c r="H84" s="751">
        <f>IF(B44=4000,'OPER-MAJOR SP. REVENUE(54-56)'!E32,0)</f>
        <v>0</v>
      </c>
      <c r="I84" s="751">
        <f>IF(B44=8000,'OPER-MAJOR SP. REVENUE(54-56)'!E32,0)</f>
        <v>0</v>
      </c>
      <c r="K84" s="741">
        <v>346000</v>
      </c>
      <c r="M84" s="751">
        <f>IF(B45=2000,'OPER-MAJOR SP. REVENUE(54-56)'!I32,0)</f>
        <v>0</v>
      </c>
      <c r="N84" s="751">
        <f>IF(B45=3000,'OPER-MAJOR SP. REVENUE(54-56)'!I32,0)</f>
        <v>0</v>
      </c>
      <c r="O84" s="751">
        <f>IF(B45=4000,'OPER-MAJOR SP. REVENUE(54-56)'!I32,0)</f>
        <v>0</v>
      </c>
      <c r="P84" s="751">
        <f>IF(B45=8000,'OPER-MAJOR SP. REVENUE(54-56)'!I32,0)</f>
        <v>0</v>
      </c>
      <c r="R84" s="741">
        <v>346000</v>
      </c>
      <c r="T84" s="751">
        <f>IF(B46=2000,'OPER-MAJOR SP. REVENUE(54-56)'!M32,0)</f>
        <v>0</v>
      </c>
      <c r="U84" s="751">
        <f>IF(B46=3000,'OPER-MAJOR SP. REVENUE(54-56)'!M32,0)</f>
        <v>0</v>
      </c>
      <c r="V84" s="751">
        <f>IF(B46=4000,'OPER-MAJOR SP. REVENUE(54-56)'!M32,0)</f>
        <v>0</v>
      </c>
      <c r="W84" s="751">
        <f>IF(B46=8000,'OPER-MAJOR SP. REVENUE(54-56)'!M32,0)</f>
        <v>0</v>
      </c>
      <c r="Y84" s="741">
        <v>346000</v>
      </c>
      <c r="AA84" s="751">
        <f>IF(B47=2000,'OPER-MAJOR SP. REVENUE(54-56)'!Q32,0)</f>
        <v>0</v>
      </c>
      <c r="AB84" s="751">
        <f>IF(B47=3000,'OPER-MAJOR SP. REVENUE(54-56)'!Q32,0)</f>
        <v>0</v>
      </c>
      <c r="AC84" s="751">
        <f>IF(B47=4000,'OPER-MAJOR SP. REVENUE(54-56)'!Q32,0)</f>
        <v>0</v>
      </c>
      <c r="AD84" s="751">
        <f>IF(B47=8000,'OPER-MAJOR SP. REVENUE(54-56)'!Q32,0)</f>
        <v>0</v>
      </c>
      <c r="AF84" s="741">
        <v>346000</v>
      </c>
      <c r="AH84" s="751">
        <f>IF(B48=2000,'OPER-MAJOR SP. REVENUE(54-56)'!U32,0)</f>
        <v>0</v>
      </c>
      <c r="AI84" s="751">
        <f>IF(B48=3000,'OPER-MAJOR SP. REVENUE(54-56)'!U32,0)</f>
        <v>0</v>
      </c>
      <c r="AJ84" s="751">
        <f>IF(B48=4000,'OPER-MAJOR SP. REVENUE(54-56)'!U32,0)</f>
        <v>0</v>
      </c>
      <c r="AK84" s="751">
        <f>IF(B48=8000,'OPER-MAJOR SP. REVENUE(54-56)'!U32,0)</f>
        <v>0</v>
      </c>
      <c r="AM84" s="741">
        <v>346000</v>
      </c>
      <c r="AO84" s="751">
        <f>IF(B49=2000,'OPER-MAJOR SP. REVENUE(54-56)'!Y32,0)</f>
        <v>0</v>
      </c>
      <c r="AP84" s="751">
        <f>IF(B49=3000,'OPER-MAJOR SP. REVENUE(54-56)'!Y32,0)</f>
        <v>0</v>
      </c>
      <c r="AQ84" s="751">
        <f>IF(B49=4000,'OPER-MAJOR SP. REVENUE(54-56)'!Y32,0)</f>
        <v>0</v>
      </c>
      <c r="AR84" s="751">
        <f>IF(B49=8000,'OPER-MAJOR SP. REVENUE(54-56)'!Y32,0)</f>
        <v>0</v>
      </c>
      <c r="AT84" s="741">
        <v>346000</v>
      </c>
      <c r="AV84" s="751">
        <f>IF(B50=2000,'OPER-MAJOR SP. REVENUE(54-56)'!AC32,0)</f>
        <v>0</v>
      </c>
      <c r="AW84" s="751">
        <f>IF(B50=3000,'OPER-MAJOR SP. REVENUE(54-56)'!AC32,0)</f>
        <v>0</v>
      </c>
      <c r="AX84" s="751">
        <f>IF(B50=4000,'OPER-MAJOR SP. REVENUE(54-56)'!AC32,0)</f>
        <v>0</v>
      </c>
      <c r="AY84" s="751">
        <f>IF(B50=8000,'OPER-MAJOR SP. REVENUE(54-56)'!AC32,0)</f>
        <v>0</v>
      </c>
      <c r="BA84" s="749">
        <v>346000</v>
      </c>
      <c r="BB84" s="19"/>
      <c r="BC84" s="751">
        <f t="shared" si="1"/>
        <v>0</v>
      </c>
      <c r="BD84" s="753">
        <f t="shared" si="2"/>
        <v>0</v>
      </c>
      <c r="BE84" s="753">
        <f t="shared" si="3"/>
        <v>0</v>
      </c>
      <c r="BF84" s="753">
        <f t="shared" si="4"/>
        <v>0</v>
      </c>
    </row>
    <row r="85" spans="3:58">
      <c r="C85" s="257" t="s">
        <v>2081</v>
      </c>
      <c r="D85" s="741">
        <v>350000</v>
      </c>
      <c r="F85" s="751"/>
      <c r="G85" s="751"/>
      <c r="H85" s="751"/>
      <c r="I85" s="751"/>
      <c r="K85" s="741">
        <v>350000</v>
      </c>
      <c r="M85" s="751"/>
      <c r="N85" s="751"/>
      <c r="O85" s="751"/>
      <c r="P85" s="751"/>
      <c r="R85" s="741">
        <v>350000</v>
      </c>
      <c r="T85" s="751"/>
      <c r="U85" s="751"/>
      <c r="V85" s="751"/>
      <c r="W85" s="751"/>
      <c r="Y85" s="741">
        <v>350000</v>
      </c>
      <c r="AA85" s="751"/>
      <c r="AB85" s="751"/>
      <c r="AC85" s="751"/>
      <c r="AD85" s="751"/>
      <c r="AF85" s="741">
        <v>350000</v>
      </c>
      <c r="AH85" s="751"/>
      <c r="AI85" s="751"/>
      <c r="AJ85" s="751"/>
      <c r="AK85" s="751"/>
      <c r="AM85" s="741">
        <v>350000</v>
      </c>
      <c r="AO85" s="751"/>
      <c r="AP85" s="751"/>
      <c r="AQ85" s="751"/>
      <c r="AR85" s="751"/>
      <c r="AT85" s="741">
        <v>350000</v>
      </c>
      <c r="AV85" s="751"/>
      <c r="AW85" s="751"/>
      <c r="AX85" s="751"/>
      <c r="AY85" s="751"/>
      <c r="BA85" s="749">
        <v>350000</v>
      </c>
      <c r="BB85" s="19"/>
      <c r="BC85" s="751"/>
      <c r="BD85" s="753"/>
      <c r="BE85" s="753"/>
      <c r="BF85" s="753"/>
    </row>
    <row r="86" spans="3:58">
      <c r="D86" s="741">
        <v>351000</v>
      </c>
      <c r="F86" s="751">
        <f>IF(B44=2000,'OPER-MAJOR SP. REVENUE(54-56)'!E34+'OPER-MAJOR SP. REVENUE(54-56)'!E35+'OPER-MAJOR SP. REVENUE(54-56)'!E36,0)</f>
        <v>0</v>
      </c>
      <c r="G86" s="751">
        <f>IF(B44=3000,'OPER-MAJOR SP. REVENUE(54-56)'!E34+'OPER-MAJOR SP. REVENUE(54-56)'!E35+'OPER-MAJOR SP. REVENUE(54-56)'!E36,0)</f>
        <v>0</v>
      </c>
      <c r="H86" s="751">
        <f>IF(B44=4000,'OPER-MAJOR SP. REVENUE(54-56)'!E34+'OPER-MAJOR SP. REVENUE(54-56)'!E35+'OPER-MAJOR SP. REVENUE(54-56)'!E36,0)</f>
        <v>0</v>
      </c>
      <c r="I86" s="751">
        <f>IF(B44=8000,'OPER-MAJOR SP. REVENUE(54-56)'!E34+'OPER-MAJOR SP. REVENUE(54-56)'!E35+'OPER-MAJOR SP. REVENUE(54-56)'!E36,0)</f>
        <v>0</v>
      </c>
      <c r="K86" s="741">
        <v>351000</v>
      </c>
      <c r="M86" s="751">
        <f>IF(B45=2000,'OPER-MAJOR SP. REVENUE(54-56)'!I34+'OPER-MAJOR SP. REVENUE(54-56)'!I35+'OPER-MAJOR SP. REVENUE(54-56)'!I36,0)</f>
        <v>0</v>
      </c>
      <c r="N86" s="751">
        <f>IF(B45=3000,'OPER-MAJOR SP. REVENUE(54-56)'!I34+'OPER-MAJOR SP. REVENUE(54-56)'!I35+'OPER-MAJOR SP. REVENUE(54-56)'!I36,0)</f>
        <v>0</v>
      </c>
      <c r="O86" s="751">
        <f>IF(B45=4000,'OPER-MAJOR SP. REVENUE(54-56)'!I34+'OPER-MAJOR SP. REVENUE(54-56)'!I35+'OPER-MAJOR SP. REVENUE(54-56)'!I36,0)</f>
        <v>0</v>
      </c>
      <c r="P86" s="751">
        <f>IF(B45=8000,'OPER-MAJOR SP. REVENUE(54-56)'!I34+'OPER-MAJOR SP. REVENUE(54-56)'!I35+'OPER-MAJOR SP. REVENUE(54-56)'!I36,0)</f>
        <v>0</v>
      </c>
      <c r="R86" s="741">
        <v>351000</v>
      </c>
      <c r="T86" s="751">
        <f>IF(B46=2000,'OPER-MAJOR SP. REVENUE(54-56)'!M34+'OPER-MAJOR SP. REVENUE(54-56)'!M35+'OPER-MAJOR SP. REVENUE(54-56)'!M36,0)</f>
        <v>0</v>
      </c>
      <c r="U86" s="751">
        <f>IF(B46=3000,'OPER-MAJOR SP. REVENUE(54-56)'!M34+'OPER-MAJOR SP. REVENUE(54-56)'!M35+'OPER-MAJOR SP. REVENUE(54-56)'!M36,0)</f>
        <v>0</v>
      </c>
      <c r="V86" s="751">
        <f>IF(B46=4000,'OPER-MAJOR SP. REVENUE(54-56)'!M34+'OPER-MAJOR SP. REVENUE(54-56)'!M35+'OPER-MAJOR SP. REVENUE(54-56)'!M36,0)</f>
        <v>0</v>
      </c>
      <c r="W86" s="751">
        <f>IF(B46=8000,'OPER-MAJOR SP. REVENUE(54-56)'!M34+'OPER-MAJOR SP. REVENUE(54-56)'!M35+'OPER-MAJOR SP. REVENUE(54-56)'!M36,0)</f>
        <v>0</v>
      </c>
      <c r="Y86" s="741">
        <v>351000</v>
      </c>
      <c r="AA86" s="751">
        <f>IF(B47=2000,'OPER-MAJOR SP. REVENUE(54-56)'!Q34+'OPER-MAJOR SP. REVENUE(54-56)'!Q35+'OPER-MAJOR SP. REVENUE(54-56)'!Q36,0)</f>
        <v>0</v>
      </c>
      <c r="AB86" s="751">
        <f>IF(B47=3000,'OPER-MAJOR SP. REVENUE(54-56)'!Q34+'OPER-MAJOR SP. REVENUE(54-56)'!Q35+'OPER-MAJOR SP. REVENUE(54-56)'!Q36,0)</f>
        <v>0</v>
      </c>
      <c r="AC86" s="751">
        <f>IF(B47=4000,'OPER-MAJOR SP. REVENUE(54-56)'!Q34+'OPER-MAJOR SP. REVENUE(54-56)'!Q35+'OPER-MAJOR SP. REVENUE(54-56)'!Q36,0)</f>
        <v>0</v>
      </c>
      <c r="AD86" s="751">
        <f>IF(B47=8000,'OPER-MAJOR SP. REVENUE(54-56)'!Q34+'OPER-MAJOR SP. REVENUE(54-56)'!Q35+'OPER-MAJOR SP. REVENUE(54-56)'!Q36,0)</f>
        <v>0</v>
      </c>
      <c r="AF86" s="741">
        <v>351000</v>
      </c>
      <c r="AH86" s="751">
        <f>IF(B48=2000,'OPER-MAJOR SP. REVENUE(54-56)'!U34+'OPER-MAJOR SP. REVENUE(54-56)'!U35+'OPER-MAJOR SP. REVENUE(54-56)'!U36,0)</f>
        <v>0</v>
      </c>
      <c r="AI86" s="751">
        <f>IF(B48=3000,'OPER-MAJOR SP. REVENUE(54-56)'!U34+'OPER-MAJOR SP. REVENUE(54-56)'!U35+'OPER-MAJOR SP. REVENUE(54-56)'!U36,0)</f>
        <v>0</v>
      </c>
      <c r="AJ86" s="751">
        <f>IF(B48=4000,'OPER-MAJOR SP. REVENUE(54-56)'!U34+'OPER-MAJOR SP. REVENUE(54-56)'!U35+'OPER-MAJOR SP. REVENUE(54-56)'!U36,0)</f>
        <v>0</v>
      </c>
      <c r="AK86" s="751">
        <f>IF(B48=8000,'OPER-MAJOR SP. REVENUE(54-56)'!U34+'OPER-MAJOR SP. REVENUE(54-56)'!U35+'OPER-MAJOR SP. REVENUE(54-56)'!U36,0)</f>
        <v>0</v>
      </c>
      <c r="AM86" s="741">
        <v>351000</v>
      </c>
      <c r="AO86" s="751">
        <f>IF(B49=2000,'OPER-MAJOR SP. REVENUE(54-56)'!Y34+'OPER-MAJOR SP. REVENUE(54-56)'!Y35+'OPER-MAJOR SP. REVENUE(54-56)'!Y36,0)</f>
        <v>0</v>
      </c>
      <c r="AP86" s="751">
        <f>IF(B49=3000,'OPER-MAJOR SP. REVENUE(54-56)'!Y34+'OPER-MAJOR SP. REVENUE(54-56)'!Y35+'OPER-MAJOR SP. REVENUE(54-56)'!Y36,0)</f>
        <v>0</v>
      </c>
      <c r="AQ86" s="751">
        <f>IF(B49=4000,'OPER-MAJOR SP. REVENUE(54-56)'!Y34+'OPER-MAJOR SP. REVENUE(54-56)'!Y35+'OPER-MAJOR SP. REVENUE(54-56)'!Y36,0)</f>
        <v>0</v>
      </c>
      <c r="AR86" s="751">
        <f>IF(B49=8000,'OPER-MAJOR SP. REVENUE(54-56)'!Y34+'OPER-MAJOR SP. REVENUE(54-56)'!Y35+'OPER-MAJOR SP. REVENUE(54-56)'!Y36,0)</f>
        <v>0</v>
      </c>
      <c r="AT86" s="741">
        <v>351000</v>
      </c>
      <c r="AV86" s="751">
        <f>IF(B50=2000,'OPER-MAJOR SP. REVENUE(54-56)'!AC34+'OPER-MAJOR SP. REVENUE(54-56)'!AC35+'OPER-MAJOR SP. REVENUE(54-56)'!AC36,0)</f>
        <v>0</v>
      </c>
      <c r="AW86" s="751">
        <f>IF(B50=3000,'OPER-MAJOR SP. REVENUE(54-56)'!AC34+'OPER-MAJOR SP. REVENUE(54-56)'!AC35+'OPER-MAJOR SP. REVENUE(54-56)'!AC36,0)</f>
        <v>0</v>
      </c>
      <c r="AX86" s="751">
        <f>IF(B50=4000,'OPER-MAJOR SP. REVENUE(54-56)'!AC34+'OPER-MAJOR SP. REVENUE(54-56)'!AC35+'OPER-MAJOR SP. REVENUE(54-56)'!AC36,0)</f>
        <v>0</v>
      </c>
      <c r="AY86" s="751">
        <f>IF(B50=8000,'OPER-MAJOR SP. REVENUE(54-56)'!AC34+'OPER-MAJOR SP. REVENUE(54-56)'!AC35+'OPER-MAJOR SP. REVENUE(54-56)'!AC36,0)</f>
        <v>0</v>
      </c>
      <c r="BA86" s="749">
        <v>351000</v>
      </c>
      <c r="BB86" s="19"/>
      <c r="BC86" s="751">
        <f t="shared" si="1"/>
        <v>0</v>
      </c>
      <c r="BD86" s="753">
        <f t="shared" si="2"/>
        <v>0</v>
      </c>
      <c r="BE86" s="753">
        <f t="shared" si="3"/>
        <v>0</v>
      </c>
      <c r="BF86" s="753">
        <f t="shared" si="4"/>
        <v>0</v>
      </c>
    </row>
    <row r="87" spans="3:58">
      <c r="D87" s="741">
        <v>360000</v>
      </c>
      <c r="F87" s="751">
        <f>IF(B44=2000,'OPER-MAJOR SP. REVENUE(54-56)'!E37,0)</f>
        <v>0</v>
      </c>
      <c r="G87" s="751">
        <f>IF(B44=3000,'OPER-MAJOR SP. REVENUE(54-56)'!E37,0)</f>
        <v>0</v>
      </c>
      <c r="H87" s="751">
        <f>IF(B44=4000,'OPER-MAJOR SP. REVENUE(54-56)'!E37,0)</f>
        <v>0</v>
      </c>
      <c r="I87" s="751">
        <f>IF(B44=8000,'OPER-MAJOR SP. REVENUE(54-56)'!E37,0)</f>
        <v>0</v>
      </c>
      <c r="K87" s="741">
        <v>360000</v>
      </c>
      <c r="M87" s="751">
        <f>IF(B45=2000,'OPER-MAJOR SP. REVENUE(54-56)'!I37,0)</f>
        <v>0</v>
      </c>
      <c r="N87" s="751">
        <f>IF(B45=3000,'OPER-MAJOR SP. REVENUE(54-56)'!I37,0)</f>
        <v>0</v>
      </c>
      <c r="O87" s="751">
        <f>IF(B45=4000,'OPER-MAJOR SP. REVENUE(54-56)'!I37,0)</f>
        <v>0</v>
      </c>
      <c r="P87" s="751">
        <f>IF(B45=8000,'OPER-MAJOR SP. REVENUE(54-56)'!I37,0)</f>
        <v>0</v>
      </c>
      <c r="R87" s="741">
        <v>360000</v>
      </c>
      <c r="T87" s="751">
        <f>IF(B46=2000,'OPER-MAJOR SP. REVENUE(54-56)'!M37,0)</f>
        <v>0</v>
      </c>
      <c r="U87" s="751">
        <f>IF(B46=3000,'OPER-MAJOR SP. REVENUE(54-56)'!M37,0)</f>
        <v>0</v>
      </c>
      <c r="V87" s="751">
        <f>IF(B46=4000,'OPER-MAJOR SP. REVENUE(54-56)'!M37,0)</f>
        <v>0</v>
      </c>
      <c r="W87" s="751">
        <f>IF(B46=8000,'OPER-MAJOR SP. REVENUE(54-56)'!M37,0)</f>
        <v>0</v>
      </c>
      <c r="Y87" s="741">
        <v>360000</v>
      </c>
      <c r="AA87" s="751">
        <f>IF(B47=2000,'OPER-MAJOR SP. REVENUE(54-56)'!Q37,0)</f>
        <v>0</v>
      </c>
      <c r="AB87" s="751">
        <f>IF(B47=3000,'OPER-MAJOR SP. REVENUE(54-56)'!Q37,0)</f>
        <v>0</v>
      </c>
      <c r="AC87" s="751">
        <f>IF(B47=4000,'OPER-MAJOR SP. REVENUE(54-56)'!Q37,0)</f>
        <v>0</v>
      </c>
      <c r="AD87" s="751">
        <f>IF(B47=8000,'OPER-MAJOR SP. REVENUE(54-56)'!Q37,0)</f>
        <v>0</v>
      </c>
      <c r="AF87" s="741">
        <v>360000</v>
      </c>
      <c r="AH87" s="751">
        <f>IF(B48=2000,'OPER-MAJOR SP. REVENUE(54-56)'!U37,0)</f>
        <v>0</v>
      </c>
      <c r="AI87" s="751">
        <f>IF(B48=3000,'OPER-MAJOR SP. REVENUE(54-56)'!U37,0)</f>
        <v>0</v>
      </c>
      <c r="AJ87" s="751">
        <f>IF(B48=4000,'OPER-MAJOR SP. REVENUE(54-56)'!U37,0)</f>
        <v>0</v>
      </c>
      <c r="AK87" s="751">
        <f>IF(B48=8000,'OPER-MAJOR SP. REVENUE(54-56)'!U37,0)</f>
        <v>0</v>
      </c>
      <c r="AM87" s="741">
        <v>360000</v>
      </c>
      <c r="AO87" s="751">
        <f>IF(B49=2000,'OPER-MAJOR SP. REVENUE(54-56)'!Y37,0)</f>
        <v>0</v>
      </c>
      <c r="AP87" s="751">
        <f>IF(B49=3000,'OPER-MAJOR SP. REVENUE(54-56)'!Y37,0)</f>
        <v>0</v>
      </c>
      <c r="AQ87" s="751">
        <f>IF(B49=4000,'OPER-MAJOR SP. REVENUE(54-56)'!Y37,0)</f>
        <v>0</v>
      </c>
      <c r="AR87" s="751">
        <f>IF(B49=8000,'OPER-MAJOR SP. REVENUE(54-56)'!Y37,0)</f>
        <v>0</v>
      </c>
      <c r="AT87" s="741">
        <v>360000</v>
      </c>
      <c r="AV87" s="751">
        <f>IF(B50=2000,'OPER-MAJOR SP. REVENUE(54-56)'!AC37,0)</f>
        <v>0</v>
      </c>
      <c r="AW87" s="751">
        <f>IF(B50=3000,'OPER-MAJOR SP. REVENUE(54-56)'!AC37,0)</f>
        <v>0</v>
      </c>
      <c r="AX87" s="751">
        <f>IF(B50=4000,'OPER-MAJOR SP. REVENUE(54-56)'!AC37,0)</f>
        <v>0</v>
      </c>
      <c r="AY87" s="751">
        <f>IF(B50=8000,'OPER-MAJOR SP. REVENUE(54-56)'!AC37,0)</f>
        <v>0</v>
      </c>
      <c r="BA87" s="749">
        <v>360000</v>
      </c>
      <c r="BB87" s="19"/>
      <c r="BC87" s="751">
        <f t="shared" si="1"/>
        <v>0</v>
      </c>
      <c r="BD87" s="753">
        <f t="shared" si="2"/>
        <v>0</v>
      </c>
      <c r="BE87" s="753">
        <f t="shared" si="3"/>
        <v>0</v>
      </c>
      <c r="BF87" s="753">
        <f t="shared" si="4"/>
        <v>0</v>
      </c>
    </row>
    <row r="88" spans="3:58">
      <c r="D88" s="741">
        <v>361000</v>
      </c>
      <c r="F88" s="751"/>
      <c r="G88" s="751"/>
      <c r="H88" s="751"/>
      <c r="I88" s="751"/>
      <c r="K88" s="741">
        <v>361000</v>
      </c>
      <c r="M88" s="751"/>
      <c r="N88" s="751"/>
      <c r="O88" s="751"/>
      <c r="P88" s="751"/>
      <c r="R88" s="741">
        <v>361000</v>
      </c>
      <c r="T88" s="751"/>
      <c r="U88" s="751"/>
      <c r="V88" s="751"/>
      <c r="W88" s="751"/>
      <c r="Y88" s="741">
        <v>361000</v>
      </c>
      <c r="AA88" s="751"/>
      <c r="AB88" s="751"/>
      <c r="AC88" s="751"/>
      <c r="AD88" s="751"/>
      <c r="AF88" s="741">
        <v>361000</v>
      </c>
      <c r="AH88" s="751"/>
      <c r="AI88" s="751"/>
      <c r="AJ88" s="751"/>
      <c r="AK88" s="751"/>
      <c r="AM88" s="741">
        <v>361000</v>
      </c>
      <c r="AO88" s="751"/>
      <c r="AP88" s="751"/>
      <c r="AQ88" s="751"/>
      <c r="AR88" s="751"/>
      <c r="AT88" s="741">
        <v>361000</v>
      </c>
      <c r="AV88" s="751"/>
      <c r="AW88" s="751"/>
      <c r="AX88" s="751"/>
      <c r="AY88" s="751"/>
      <c r="BA88" s="749">
        <v>361000</v>
      </c>
      <c r="BB88" s="19"/>
      <c r="BC88" s="751"/>
      <c r="BD88" s="753"/>
      <c r="BE88" s="753"/>
      <c r="BF88" s="753"/>
    </row>
    <row r="89" spans="3:58">
      <c r="D89" s="741">
        <v>362000</v>
      </c>
      <c r="F89" s="751"/>
      <c r="G89" s="751"/>
      <c r="H89" s="751"/>
      <c r="I89" s="751"/>
      <c r="K89" s="741">
        <v>362000</v>
      </c>
      <c r="M89" s="751"/>
      <c r="N89" s="751"/>
      <c r="O89" s="751"/>
      <c r="P89" s="751"/>
      <c r="R89" s="741">
        <v>362000</v>
      </c>
      <c r="T89" s="751"/>
      <c r="U89" s="751"/>
      <c r="V89" s="751"/>
      <c r="W89" s="751"/>
      <c r="Y89" s="741">
        <v>362000</v>
      </c>
      <c r="AA89" s="751"/>
      <c r="AB89" s="751"/>
      <c r="AC89" s="751"/>
      <c r="AD89" s="751"/>
      <c r="AF89" s="741">
        <v>362000</v>
      </c>
      <c r="AH89" s="751"/>
      <c r="AI89" s="751"/>
      <c r="AJ89" s="751"/>
      <c r="AK89" s="751"/>
      <c r="AM89" s="741">
        <v>362000</v>
      </c>
      <c r="AO89" s="751"/>
      <c r="AP89" s="751"/>
      <c r="AQ89" s="751"/>
      <c r="AR89" s="751"/>
      <c r="AT89" s="741">
        <v>362000</v>
      </c>
      <c r="AV89" s="751"/>
      <c r="AW89" s="751"/>
      <c r="AX89" s="751"/>
      <c r="AY89" s="751"/>
      <c r="BA89" s="749">
        <v>362000</v>
      </c>
      <c r="BB89" s="19"/>
      <c r="BC89" s="751"/>
      <c r="BD89" s="753"/>
      <c r="BE89" s="753"/>
      <c r="BF89" s="753"/>
    </row>
    <row r="90" spans="3:58">
      <c r="D90" s="741">
        <v>363000</v>
      </c>
      <c r="F90" s="751"/>
      <c r="G90" s="751"/>
      <c r="H90" s="751"/>
      <c r="I90" s="751"/>
      <c r="K90" s="741">
        <v>363000</v>
      </c>
      <c r="M90" s="751"/>
      <c r="N90" s="751"/>
      <c r="O90" s="751"/>
      <c r="P90" s="751"/>
      <c r="R90" s="741">
        <v>363000</v>
      </c>
      <c r="T90" s="751"/>
      <c r="U90" s="751"/>
      <c r="V90" s="751"/>
      <c r="W90" s="751"/>
      <c r="Y90" s="741">
        <v>363000</v>
      </c>
      <c r="AA90" s="751"/>
      <c r="AB90" s="751"/>
      <c r="AC90" s="751"/>
      <c r="AD90" s="751"/>
      <c r="AF90" s="741">
        <v>363000</v>
      </c>
      <c r="AH90" s="751"/>
      <c r="AI90" s="751"/>
      <c r="AJ90" s="751"/>
      <c r="AK90" s="751"/>
      <c r="AM90" s="741">
        <v>363000</v>
      </c>
      <c r="AO90" s="751"/>
      <c r="AP90" s="751"/>
      <c r="AQ90" s="751"/>
      <c r="AR90" s="751"/>
      <c r="AT90" s="741">
        <v>363000</v>
      </c>
      <c r="AV90" s="751"/>
      <c r="AW90" s="751"/>
      <c r="AX90" s="751"/>
      <c r="AY90" s="751"/>
      <c r="BA90" s="749">
        <v>363000</v>
      </c>
      <c r="BB90" s="19"/>
      <c r="BC90" s="751"/>
      <c r="BD90" s="753"/>
      <c r="BE90" s="753"/>
      <c r="BF90" s="753"/>
    </row>
    <row r="91" spans="3:58">
      <c r="D91" s="741">
        <v>365000</v>
      </c>
      <c r="F91" s="751"/>
      <c r="G91" s="751"/>
      <c r="H91" s="751"/>
      <c r="I91" s="751"/>
      <c r="K91" s="741">
        <v>365000</v>
      </c>
      <c r="M91" s="751"/>
      <c r="N91" s="751"/>
      <c r="O91" s="751"/>
      <c r="P91" s="751"/>
      <c r="R91" s="741">
        <v>365000</v>
      </c>
      <c r="T91" s="751"/>
      <c r="U91" s="751"/>
      <c r="V91" s="751"/>
      <c r="W91" s="751"/>
      <c r="Y91" s="741">
        <v>365000</v>
      </c>
      <c r="AA91" s="751"/>
      <c r="AB91" s="751"/>
      <c r="AC91" s="751"/>
      <c r="AD91" s="751"/>
      <c r="AF91" s="741">
        <v>365000</v>
      </c>
      <c r="AH91" s="751"/>
      <c r="AI91" s="751"/>
      <c r="AJ91" s="751"/>
      <c r="AK91" s="751"/>
      <c r="AM91" s="741">
        <v>365000</v>
      </c>
      <c r="AO91" s="751"/>
      <c r="AP91" s="751"/>
      <c r="AQ91" s="751"/>
      <c r="AR91" s="751"/>
      <c r="AT91" s="741">
        <v>365000</v>
      </c>
      <c r="AV91" s="751"/>
      <c r="AW91" s="751"/>
      <c r="AX91" s="751"/>
      <c r="AY91" s="751"/>
      <c r="BA91" s="749">
        <v>365000</v>
      </c>
      <c r="BB91" s="19"/>
      <c r="BC91" s="751"/>
      <c r="BD91" s="753"/>
      <c r="BE91" s="753"/>
      <c r="BF91" s="753"/>
    </row>
    <row r="92" spans="3:58">
      <c r="D92" s="741">
        <v>366000</v>
      </c>
      <c r="F92" s="751"/>
      <c r="G92" s="751"/>
      <c r="H92" s="751"/>
      <c r="I92" s="751"/>
      <c r="K92" s="741">
        <v>366000</v>
      </c>
      <c r="M92" s="751"/>
      <c r="N92" s="751"/>
      <c r="O92" s="751"/>
      <c r="P92" s="751"/>
      <c r="R92" s="741">
        <v>366000</v>
      </c>
      <c r="T92" s="751"/>
      <c r="U92" s="751"/>
      <c r="V92" s="751"/>
      <c r="W92" s="751"/>
      <c r="Y92" s="741">
        <v>366000</v>
      </c>
      <c r="AA92" s="751"/>
      <c r="AB92" s="751"/>
      <c r="AC92" s="751"/>
      <c r="AD92" s="751"/>
      <c r="AF92" s="741">
        <v>366000</v>
      </c>
      <c r="AH92" s="751"/>
      <c r="AI92" s="751"/>
      <c r="AJ92" s="751"/>
      <c r="AK92" s="751"/>
      <c r="AM92" s="741">
        <v>366000</v>
      </c>
      <c r="AO92" s="751"/>
      <c r="AP92" s="751"/>
      <c r="AQ92" s="751"/>
      <c r="AR92" s="751"/>
      <c r="AT92" s="741">
        <v>366000</v>
      </c>
      <c r="AV92" s="751"/>
      <c r="AW92" s="751"/>
      <c r="AX92" s="751"/>
      <c r="AY92" s="751"/>
      <c r="BA92" s="749">
        <v>366000</v>
      </c>
      <c r="BB92" s="19"/>
      <c r="BC92" s="751"/>
      <c r="BD92" s="753"/>
      <c r="BE92" s="753"/>
      <c r="BF92" s="753"/>
    </row>
    <row r="93" spans="3:58">
      <c r="D93" s="741">
        <v>367000</v>
      </c>
      <c r="F93" s="751"/>
      <c r="G93" s="751"/>
      <c r="H93" s="751"/>
      <c r="I93" s="751"/>
      <c r="K93" s="741">
        <v>367000</v>
      </c>
      <c r="M93" s="751"/>
      <c r="N93" s="751"/>
      <c r="O93" s="751"/>
      <c r="P93" s="751"/>
      <c r="R93" s="741">
        <v>367000</v>
      </c>
      <c r="T93" s="751"/>
      <c r="U93" s="751"/>
      <c r="V93" s="751"/>
      <c r="W93" s="751"/>
      <c r="Y93" s="741">
        <v>367000</v>
      </c>
      <c r="AA93" s="751"/>
      <c r="AB93" s="751"/>
      <c r="AC93" s="751"/>
      <c r="AD93" s="751"/>
      <c r="AF93" s="741">
        <v>367000</v>
      </c>
      <c r="AH93" s="751"/>
      <c r="AI93" s="751"/>
      <c r="AJ93" s="751"/>
      <c r="AK93" s="751"/>
      <c r="AM93" s="741">
        <v>367000</v>
      </c>
      <c r="AO93" s="751"/>
      <c r="AP93" s="751"/>
      <c r="AQ93" s="751"/>
      <c r="AR93" s="751"/>
      <c r="AT93" s="741">
        <v>367000</v>
      </c>
      <c r="AV93" s="751"/>
      <c r="AW93" s="751"/>
      <c r="AX93" s="751"/>
      <c r="AY93" s="751"/>
      <c r="BA93" s="749">
        <v>367000</v>
      </c>
      <c r="BB93" s="19"/>
      <c r="BC93" s="751"/>
      <c r="BD93" s="753"/>
      <c r="BE93" s="753"/>
      <c r="BF93" s="753"/>
    </row>
    <row r="94" spans="3:58">
      <c r="D94" s="741">
        <v>368000</v>
      </c>
      <c r="F94" s="751"/>
      <c r="G94" s="751"/>
      <c r="H94" s="751"/>
      <c r="I94" s="751"/>
      <c r="K94" s="741">
        <v>368000</v>
      </c>
      <c r="M94" s="751"/>
      <c r="N94" s="751"/>
      <c r="O94" s="751"/>
      <c r="P94" s="751"/>
      <c r="R94" s="741">
        <v>368000</v>
      </c>
      <c r="T94" s="751"/>
      <c r="U94" s="751"/>
      <c r="V94" s="751"/>
      <c r="W94" s="751"/>
      <c r="Y94" s="741">
        <v>368000</v>
      </c>
      <c r="AA94" s="751"/>
      <c r="AB94" s="751"/>
      <c r="AC94" s="751"/>
      <c r="AD94" s="751"/>
      <c r="AF94" s="741">
        <v>368000</v>
      </c>
      <c r="AH94" s="751"/>
      <c r="AI94" s="751"/>
      <c r="AJ94" s="751"/>
      <c r="AK94" s="751"/>
      <c r="AM94" s="741">
        <v>368000</v>
      </c>
      <c r="AO94" s="751"/>
      <c r="AP94" s="751"/>
      <c r="AQ94" s="751"/>
      <c r="AR94" s="751"/>
      <c r="AT94" s="741">
        <v>368000</v>
      </c>
      <c r="AV94" s="751"/>
      <c r="AW94" s="751"/>
      <c r="AX94" s="751"/>
      <c r="AY94" s="751"/>
      <c r="BA94" s="749">
        <v>368000</v>
      </c>
      <c r="BB94" s="19"/>
      <c r="BC94" s="751"/>
      <c r="BD94" s="753"/>
      <c r="BE94" s="753"/>
      <c r="BF94" s="753"/>
    </row>
    <row r="95" spans="3:58">
      <c r="D95" s="741">
        <v>370000</v>
      </c>
      <c r="F95" s="751">
        <f>IF(B44=2000,'OPER-MAJOR SP. REVENUE(54-56)'!E38,0)</f>
        <v>1.36</v>
      </c>
      <c r="G95" s="751">
        <f>IF(B44=3000,'OPER-MAJOR SP. REVENUE(54-56)'!E38,0)</f>
        <v>0</v>
      </c>
      <c r="H95" s="751">
        <f>IF(B44=4000,'OPER-MAJOR SP. REVENUE(54-56)'!E38,0)</f>
        <v>0</v>
      </c>
      <c r="I95" s="751">
        <f>IF(B44=8000,'OPER-MAJOR SP. REVENUE(54-56)'!E38,0)</f>
        <v>0</v>
      </c>
      <c r="K95" s="741">
        <v>370000</v>
      </c>
      <c r="M95" s="751">
        <f>IF(B45=2000,'OPER-MAJOR SP. REVENUE(54-56)'!I38,0)</f>
        <v>74.430000000000007</v>
      </c>
      <c r="N95" s="751">
        <f>IF(B45=3000,'OPER-MAJOR SP. REVENUE(54-56)'!I38,0)</f>
        <v>0</v>
      </c>
      <c r="O95" s="751">
        <f>IF(B45=4000,'OPER-MAJOR SP. REVENUE(54-56)'!I38,0)</f>
        <v>0</v>
      </c>
      <c r="P95" s="751">
        <f>IF(B45=8000,'OPER-MAJOR SP. REVENUE(54-56)'!I38,0)</f>
        <v>0</v>
      </c>
      <c r="R95" s="741">
        <v>370000</v>
      </c>
      <c r="T95" s="751">
        <f>IF(B46=2000,'OPER-MAJOR SP. REVENUE(54-56)'!M38,0)</f>
        <v>11.24</v>
      </c>
      <c r="U95" s="751">
        <f>IF(B46=3000,'OPER-MAJOR SP. REVENUE(54-56)'!M38,0)</f>
        <v>0</v>
      </c>
      <c r="V95" s="751">
        <f>IF(B46=4000,'OPER-MAJOR SP. REVENUE(54-56)'!M38,0)</f>
        <v>0</v>
      </c>
      <c r="W95" s="751">
        <f>IF(B46=8000,'OPER-MAJOR SP. REVENUE(54-56)'!M38,0)</f>
        <v>0</v>
      </c>
      <c r="Y95" s="741">
        <v>370000</v>
      </c>
      <c r="AA95" s="751">
        <f>IF(B47=2000,'OPER-MAJOR SP. REVENUE(54-56)'!Q38,0)</f>
        <v>0</v>
      </c>
      <c r="AB95" s="751">
        <f>IF(B47=3000,'OPER-MAJOR SP. REVENUE(54-56)'!Q38,0)</f>
        <v>0</v>
      </c>
      <c r="AC95" s="751">
        <f>IF(B47=4000,'OPER-MAJOR SP. REVENUE(54-56)'!Q38,0)</f>
        <v>9.17</v>
      </c>
      <c r="AD95" s="751">
        <f>IF(B47=8000,'OPER-MAJOR SP. REVENUE(54-56)'!Q38,0)</f>
        <v>0</v>
      </c>
      <c r="AF95" s="741">
        <v>370000</v>
      </c>
      <c r="AH95" s="751">
        <f>IF(B48=2000,'OPER-MAJOR SP. REVENUE(54-56)'!U38,0)</f>
        <v>0</v>
      </c>
      <c r="AI95" s="751">
        <f>IF(B48=3000,'OPER-MAJOR SP. REVENUE(54-56)'!U38,0)</f>
        <v>0</v>
      </c>
      <c r="AJ95" s="751">
        <f>IF(B48=4000,'OPER-MAJOR SP. REVENUE(54-56)'!U38,0)</f>
        <v>0</v>
      </c>
      <c r="AK95" s="751">
        <f>IF(B48=8000,'OPER-MAJOR SP. REVENUE(54-56)'!U38,0)</f>
        <v>0</v>
      </c>
      <c r="AM95" s="741">
        <v>370000</v>
      </c>
      <c r="AO95" s="751">
        <f>IF(B49=2000,'OPER-MAJOR SP. REVENUE(54-56)'!Y38,0)</f>
        <v>0</v>
      </c>
      <c r="AP95" s="751">
        <f>IF(B49=3000,'OPER-MAJOR SP. REVENUE(54-56)'!Y38,0)</f>
        <v>0</v>
      </c>
      <c r="AQ95" s="751">
        <f>IF(B49=4000,'OPER-MAJOR SP. REVENUE(54-56)'!Y38,0)</f>
        <v>0</v>
      </c>
      <c r="AR95" s="751">
        <f>IF(B49=8000,'OPER-MAJOR SP. REVENUE(54-56)'!Y38,0)</f>
        <v>0</v>
      </c>
      <c r="AT95" s="741">
        <v>370000</v>
      </c>
      <c r="AV95" s="751">
        <f>IF(B50=2000,'OPER-MAJOR SP. REVENUE(54-56)'!AC38,0)</f>
        <v>0</v>
      </c>
      <c r="AW95" s="751">
        <f>IF(B50=3000,'OPER-MAJOR SP. REVENUE(54-56)'!AC38,0)</f>
        <v>0</v>
      </c>
      <c r="AX95" s="751">
        <f>IF(B50=4000,'OPER-MAJOR SP. REVENUE(54-56)'!AC38,0)</f>
        <v>0</v>
      </c>
      <c r="AY95" s="751">
        <f>IF(B50=8000,'OPER-MAJOR SP. REVENUE(54-56)'!AC38,0)</f>
        <v>0</v>
      </c>
      <c r="BA95" s="749">
        <v>370000</v>
      </c>
      <c r="BB95" s="19"/>
      <c r="BC95" s="751">
        <f t="shared" si="1"/>
        <v>87.03</v>
      </c>
      <c r="BD95" s="753">
        <f t="shared" si="2"/>
        <v>0</v>
      </c>
      <c r="BE95" s="753">
        <f t="shared" si="3"/>
        <v>9.17</v>
      </c>
      <c r="BF95" s="753">
        <f t="shared" si="4"/>
        <v>0</v>
      </c>
    </row>
    <row r="96" spans="3:58">
      <c r="D96" s="741">
        <v>371000</v>
      </c>
      <c r="F96" s="751"/>
      <c r="G96" s="751"/>
      <c r="H96" s="751"/>
      <c r="I96" s="751"/>
      <c r="K96" s="741">
        <v>371000</v>
      </c>
      <c r="M96" s="751"/>
      <c r="N96" s="751"/>
      <c r="O96" s="751"/>
      <c r="P96" s="751"/>
      <c r="R96" s="741">
        <v>371000</v>
      </c>
      <c r="T96" s="751"/>
      <c r="U96" s="751"/>
      <c r="V96" s="751"/>
      <c r="W96" s="751"/>
      <c r="Y96" s="741">
        <v>371000</v>
      </c>
      <c r="AA96" s="751"/>
      <c r="AB96" s="751"/>
      <c r="AC96" s="751"/>
      <c r="AD96" s="751"/>
      <c r="AF96" s="741">
        <v>371000</v>
      </c>
      <c r="AH96" s="751"/>
      <c r="AI96" s="751"/>
      <c r="AJ96" s="751"/>
      <c r="AK96" s="751"/>
      <c r="AM96" s="741">
        <v>371000</v>
      </c>
      <c r="AO96" s="751"/>
      <c r="AP96" s="751"/>
      <c r="AQ96" s="751"/>
      <c r="AR96" s="751"/>
      <c r="AT96" s="741">
        <v>371000</v>
      </c>
      <c r="AV96" s="751"/>
      <c r="AW96" s="751"/>
      <c r="AX96" s="751"/>
      <c r="AY96" s="751"/>
      <c r="BA96" s="749">
        <v>371000</v>
      </c>
      <c r="BB96" s="19"/>
      <c r="BC96" s="751"/>
      <c r="BD96" s="753"/>
      <c r="BE96" s="753"/>
      <c r="BF96" s="753"/>
    </row>
    <row r="97" spans="4:58">
      <c r="D97" s="741">
        <v>372000</v>
      </c>
      <c r="F97" s="751"/>
      <c r="G97" s="751"/>
      <c r="H97" s="751"/>
      <c r="I97" s="751"/>
      <c r="K97" s="741">
        <v>372000</v>
      </c>
      <c r="M97" s="751"/>
      <c r="N97" s="751"/>
      <c r="O97" s="751"/>
      <c r="P97" s="751"/>
      <c r="R97" s="741">
        <v>372000</v>
      </c>
      <c r="T97" s="751"/>
      <c r="U97" s="751"/>
      <c r="V97" s="751"/>
      <c r="W97" s="751"/>
      <c r="Y97" s="741">
        <v>372000</v>
      </c>
      <c r="AA97" s="751"/>
      <c r="AB97" s="751"/>
      <c r="AC97" s="751"/>
      <c r="AD97" s="751"/>
      <c r="AF97" s="741">
        <v>372000</v>
      </c>
      <c r="AH97" s="751"/>
      <c r="AI97" s="751"/>
      <c r="AJ97" s="751"/>
      <c r="AK97" s="751"/>
      <c r="AM97" s="741">
        <v>372000</v>
      </c>
      <c r="AO97" s="751"/>
      <c r="AP97" s="751"/>
      <c r="AQ97" s="751"/>
      <c r="AR97" s="751"/>
      <c r="AT97" s="741">
        <v>372000</v>
      </c>
      <c r="AV97" s="751"/>
      <c r="AW97" s="751"/>
      <c r="AX97" s="751"/>
      <c r="AY97" s="751"/>
      <c r="BA97" s="749">
        <v>372000</v>
      </c>
      <c r="BB97" s="19"/>
      <c r="BC97" s="751"/>
      <c r="BD97" s="753"/>
      <c r="BE97" s="753"/>
      <c r="BF97" s="753"/>
    </row>
    <row r="98" spans="4:58">
      <c r="D98" s="741">
        <v>373000</v>
      </c>
      <c r="F98" s="751"/>
      <c r="G98" s="751"/>
      <c r="H98" s="751"/>
      <c r="I98" s="751"/>
      <c r="K98" s="741">
        <v>373000</v>
      </c>
      <c r="M98" s="751"/>
      <c r="N98" s="751"/>
      <c r="O98" s="751"/>
      <c r="P98" s="751"/>
      <c r="R98" s="741">
        <v>373000</v>
      </c>
      <c r="T98" s="751"/>
      <c r="U98" s="751"/>
      <c r="V98" s="751"/>
      <c r="W98" s="751"/>
      <c r="Y98" s="741">
        <v>373000</v>
      </c>
      <c r="AA98" s="751"/>
      <c r="AB98" s="751"/>
      <c r="AC98" s="751"/>
      <c r="AD98" s="751"/>
      <c r="AF98" s="741">
        <v>373000</v>
      </c>
      <c r="AH98" s="751"/>
      <c r="AI98" s="751"/>
      <c r="AJ98" s="751"/>
      <c r="AK98" s="751"/>
      <c r="AM98" s="741">
        <v>373000</v>
      </c>
      <c r="AO98" s="751"/>
      <c r="AP98" s="751"/>
      <c r="AQ98" s="751"/>
      <c r="AR98" s="751"/>
      <c r="AT98" s="741">
        <v>373000</v>
      </c>
      <c r="AV98" s="751"/>
      <c r="AW98" s="751"/>
      <c r="AX98" s="751"/>
      <c r="AY98" s="751"/>
      <c r="BA98" s="749">
        <v>373000</v>
      </c>
      <c r="BB98" s="19"/>
      <c r="BC98" s="751"/>
      <c r="BD98" s="753"/>
      <c r="BE98" s="753"/>
      <c r="BF98" s="753"/>
    </row>
    <row r="99" spans="4:58">
      <c r="D99" s="741">
        <v>380000</v>
      </c>
      <c r="F99" s="751"/>
      <c r="G99" s="751"/>
      <c r="H99" s="751"/>
      <c r="I99" s="751"/>
      <c r="K99" s="741">
        <v>380000</v>
      </c>
      <c r="M99" s="751"/>
      <c r="N99" s="751"/>
      <c r="O99" s="751"/>
      <c r="P99" s="751"/>
      <c r="R99" s="741">
        <v>380000</v>
      </c>
      <c r="T99" s="751"/>
      <c r="U99" s="751"/>
      <c r="V99" s="751"/>
      <c r="W99" s="751"/>
      <c r="Y99" s="741">
        <v>380000</v>
      </c>
      <c r="AA99" s="751"/>
      <c r="AB99" s="751"/>
      <c r="AC99" s="751"/>
      <c r="AD99" s="751"/>
      <c r="AF99" s="741">
        <v>380000</v>
      </c>
      <c r="AH99" s="751"/>
      <c r="AI99" s="751"/>
      <c r="AJ99" s="751"/>
      <c r="AK99" s="751"/>
      <c r="AM99" s="741">
        <v>380000</v>
      </c>
      <c r="AO99" s="751"/>
      <c r="AP99" s="751"/>
      <c r="AQ99" s="751"/>
      <c r="AR99" s="751"/>
      <c r="AT99" s="741">
        <v>380000</v>
      </c>
      <c r="AV99" s="751"/>
      <c r="AW99" s="751"/>
      <c r="AX99" s="751"/>
      <c r="AY99" s="751"/>
      <c r="BA99" s="749">
        <v>380000</v>
      </c>
      <c r="BB99" s="19"/>
      <c r="BC99" s="751"/>
      <c r="BD99" s="753"/>
      <c r="BE99" s="753"/>
      <c r="BF99" s="753"/>
    </row>
    <row r="100" spans="4:58">
      <c r="D100" s="741">
        <v>381000</v>
      </c>
      <c r="F100" s="751">
        <f>IF(B44=2000,'OPER.-MAJOR SP. REV. (B)(57-59)'!E42+'OPER.-MAJOR SP. REV. (B)(57-59)'!E43+'OPER.-MAJOR SP. REV. (B)(57-59)'!E44+'OPER.-MAJOR SP. REV. (B)(57-59)'!E45,0)</f>
        <v>0</v>
      </c>
      <c r="G100" s="751">
        <f>IF(B44=3000,'OPER.-MAJOR SP. REV. (B)(57-59)'!E42+'OPER.-MAJOR SP. REV. (B)(57-59)'!E43+'OPER.-MAJOR SP. REV. (B)(57-59)'!E44+'OPER.-MAJOR SP. REV. (B)(57-59)'!E45,0)</f>
        <v>0</v>
      </c>
      <c r="H100" s="751">
        <f>IF(B44=4000,'OPER.-MAJOR SP. REV. (B)(57-59)'!E42+'OPER.-MAJOR SP. REV. (B)(57-59)'!E43+'OPER.-MAJOR SP. REV. (B)(57-59)'!E44+'OPER.-MAJOR SP. REV. (B)(57-59)'!E45,0)</f>
        <v>0</v>
      </c>
      <c r="I100" s="751">
        <f>IF(B44=8000,'OPER.-MAJOR SP. REV. (B)(57-59)'!E42+'OPER.-MAJOR SP. REV. (B)(57-59)'!E43+'OPER.-MAJOR SP. REV. (B)(57-59)'!E44+'OPER.-MAJOR SP. REV. (B)(57-59)'!E45,0)</f>
        <v>0</v>
      </c>
      <c r="K100" s="741">
        <v>381000</v>
      </c>
      <c r="M100" s="751">
        <f>IF(B45=2000,'OPER.-MAJOR SP. REV. (B)(57-59)'!I42+'OPER.-MAJOR SP. REV. (B)(57-59)'!I43+'OPER.-MAJOR SP. REV. (B)(57-59)'!I44+'OPER.-MAJOR SP. REV. (B)(57-59)'!I45,0)</f>
        <v>0</v>
      </c>
      <c r="N100" s="751">
        <f>IF(B45=3000,'OPER.-MAJOR SP. REV. (B)(57-59)'!I42+'OPER.-MAJOR SP. REV. (B)(57-59)'!I43+'OPER.-MAJOR SP. REV. (B)(57-59)'!I44+'OPER.-MAJOR SP. REV. (B)(57-59)'!I45,0)</f>
        <v>0</v>
      </c>
      <c r="O100" s="751">
        <f>IF(B45=4000,'OPER.-MAJOR SP. REV. (B)(57-59)'!I42+'OPER.-MAJOR SP. REV. (B)(57-59)'!I43+'OPER.-MAJOR SP. REV. (B)(57-59)'!I44+'OPER.-MAJOR SP. REV. (B)(57-59)'!I45,0)</f>
        <v>0</v>
      </c>
      <c r="P100" s="751">
        <f>IF(B45=8000,'OPER.-MAJOR SP. REV. (B)(57-59)'!I42+'OPER.-MAJOR SP. REV. (B)(57-59)'!I43+'OPER.-MAJOR SP. REV. (B)(57-59)'!I44+'OPER.-MAJOR SP. REV. (B)(57-59)'!I45,0)</f>
        <v>0</v>
      </c>
      <c r="R100" s="741">
        <v>381000</v>
      </c>
      <c r="T100" s="751">
        <f>IF(B46=2000,'OPER.-MAJOR SP. REV. (B)(57-59)'!M42+'OPER.-MAJOR SP. REV. (B)(57-59)'!M43+'OPER.-MAJOR SP. REV. (B)(57-59)'!M44+'OPER.-MAJOR SP. REV. (B)(57-59)'!M45,0)</f>
        <v>0</v>
      </c>
      <c r="U100" s="751">
        <f>IF(B46=3000,'OPER.-MAJOR SP. REV. (B)(57-59)'!M42+'OPER.-MAJOR SP. REV. (B)(57-59)'!M43+'OPER.-MAJOR SP. REV. (B)(57-59)'!M44+'OPER.-MAJOR SP. REV. (B)(57-59)'!M45,0)</f>
        <v>0</v>
      </c>
      <c r="V100" s="751">
        <f>IF(B46=4000,'OPER.-MAJOR SP. REV. (B)(57-59)'!M42+'OPER.-MAJOR SP. REV. (B)(57-59)'!M43+'OPER.-MAJOR SP. REV. (B)(57-59)'!M44+'OPER.-MAJOR SP. REV. (B)(57-59)'!M45,0)</f>
        <v>0</v>
      </c>
      <c r="W100" s="751">
        <f>IF(B46=8000,'OPER.-MAJOR SP. REV. (B)(57-59)'!M42+'OPER.-MAJOR SP. REV. (B)(57-59)'!M43+'OPER.-MAJOR SP. REV. (B)(57-59)'!M44+'OPER.-MAJOR SP. REV. (B)(57-59)'!M45,0)</f>
        <v>0</v>
      </c>
      <c r="Y100" s="741">
        <v>381000</v>
      </c>
      <c r="AA100" s="751">
        <f>IF(B47=2000,'OPER.-MAJOR SP. REV. (B)(57-59)'!Q42+'OPER.-MAJOR SP. REV. (B)(57-59)'!Q43+'OPER.-MAJOR SP. REV. (B)(57-59)'!Q44+'OPER.-MAJOR SP. REV. (B)(57-59)'!Q45,0)</f>
        <v>0</v>
      </c>
      <c r="AB100" s="751">
        <f>IF(B47=3000,'OPER.-MAJOR SP. REV. (B)(57-59)'!Q42+'OPER.-MAJOR SP. REV. (B)(57-59)'!Q43+'OPER.-MAJOR SP. REV. (B)(57-59)'!Q44+'OPER.-MAJOR SP. REV. (B)(57-59)'!Q45,0)</f>
        <v>0</v>
      </c>
      <c r="AC100" s="751">
        <f>IF(B47=4000,'OPER.-MAJOR SP. REV. (B)(57-59)'!Q42+'OPER.-MAJOR SP. REV. (B)(57-59)'!Q43+'OPER.-MAJOR SP. REV. (B)(57-59)'!Q44+'OPER.-MAJOR SP. REV. (B)(57-59)'!Q45,0)</f>
        <v>0</v>
      </c>
      <c r="AD100" s="751">
        <f>IF(B47=8000,'OPER.-MAJOR SP. REV. (B)(57-59)'!Q42+'OPER.-MAJOR SP. REV. (B)(57-59)'!Q43+'OPER.-MAJOR SP. REV. (B)(57-59)'!Q44+'OPER.-MAJOR SP. REV. (B)(57-59)'!Q45,0)</f>
        <v>0</v>
      </c>
      <c r="AF100" s="741">
        <v>381000</v>
      </c>
      <c r="AH100" s="751">
        <f>IF(B48=2000,'OPER.-MAJOR SP. REV. (B)(57-59)'!U42+'OPER.-MAJOR SP. REV. (B)(57-59)'!U43+'OPER.-MAJOR SP. REV. (B)(57-59)'!U44+'OPER.-MAJOR SP. REV. (B)(57-59)'!U45,0)</f>
        <v>0</v>
      </c>
      <c r="AI100" s="751">
        <f>IF(B48=3000,'OPER.-MAJOR SP. REV. (B)(57-59)'!U42+'OPER.-MAJOR SP. REV. (B)(57-59)'!U43+'OPER.-MAJOR SP. REV. (B)(57-59)'!U44+'OPER.-MAJOR SP. REV. (B)(57-59)'!U45,0)</f>
        <v>0</v>
      </c>
      <c r="AJ100" s="751">
        <f>IF(B48=4000,'OPER.-MAJOR SP. REV. (B)(57-59)'!U42+'OPER.-MAJOR SP. REV. (B)(57-59)'!U43+'OPER.-MAJOR SP. REV. (B)(57-59)'!U44+'OPER.-MAJOR SP. REV. (B)(57-59)'!U45,0)</f>
        <v>0</v>
      </c>
      <c r="AK100" s="751">
        <f>IF(B48=8000,'OPER.-MAJOR SP. REV. (B)(57-59)'!U42+'OPER.-MAJOR SP. REV. (B)(57-59)'!U43+'OPER.-MAJOR SP. REV. (B)(57-59)'!U44+'OPER.-MAJOR SP. REV. (B)(57-59)'!U45,0)</f>
        <v>0</v>
      </c>
      <c r="AM100" s="741">
        <v>381000</v>
      </c>
      <c r="AO100" s="751">
        <f>IF(B49=2000,'OPER.-MAJOR SP. REV. (B)(57-59)'!Y42+'OPER.-MAJOR SP. REV. (B)(57-59)'!Y43+'OPER.-MAJOR SP. REV. (B)(57-59)'!Y44+'OPER.-MAJOR SP. REV. (B)(57-59)'!Y45,0)</f>
        <v>0</v>
      </c>
      <c r="AP100" s="751">
        <f>IF(B49=3000,'OPER.-MAJOR SP. REV. (B)(57-59)'!Y42+'OPER.-MAJOR SP. REV. (B)(57-59)'!Y43+'OPER.-MAJOR SP. REV. (B)(57-59)'!Y44+'OPER.-MAJOR SP. REV. (B)(57-59)'!Y45,0)</f>
        <v>0</v>
      </c>
      <c r="AQ100" s="751">
        <f>IF(B49=4000,'OPER.-MAJOR SP. REV. (B)(57-59)'!Y42+'OPER.-MAJOR SP. REV. (B)(57-59)'!Y43+'OPER.-MAJOR SP. REV. (B)(57-59)'!Y44+'OPER.-MAJOR SP. REV. (B)(57-59)'!Y45,0)</f>
        <v>0</v>
      </c>
      <c r="AR100" s="751">
        <f>IF(B49=8000,'OPER.-MAJOR SP. REV. (B)(57-59)'!Y42+'OPER.-MAJOR SP. REV. (B)(57-59)'!Y43+'OPER.-MAJOR SP. REV. (B)(57-59)'!Y44+'OPER.-MAJOR SP. REV. (B)(57-59)'!Y45,0)</f>
        <v>0</v>
      </c>
      <c r="AT100" s="741">
        <v>381000</v>
      </c>
      <c r="AV100" s="751">
        <f>IF(B50=2000,'OPER.-MAJOR SP. REV. (B)(57-59)'!AC42+'OPER.-MAJOR SP. REV. (B)(57-59)'!AC43+'OPER.-MAJOR SP. REV. (B)(57-59)'!AC44+'OPER.-MAJOR SP. REV. (B)(57-59)'!AC45,0)</f>
        <v>0</v>
      </c>
      <c r="AW100" s="751">
        <f>IF(B50=3000,'OPER.-MAJOR SP. REV. (B)(57-59)'!AC42+'OPER.-MAJOR SP. REV. (B)(57-59)'!AC43+'OPER.-MAJOR SP. REV. (B)(57-59)'!AC44+'OPER.-MAJOR SP. REV. (B)(57-59)'!AC45,0)</f>
        <v>0</v>
      </c>
      <c r="AX100" s="751">
        <f>IF(B50=4000,'OPER.-MAJOR SP. REV. (B)(57-59)'!AC42+'OPER.-MAJOR SP. REV. (B)(57-59)'!AC43+'OPER.-MAJOR SP. REV. (B)(57-59)'!AC44+'OPER.-MAJOR SP. REV. (B)(57-59)'!AC45,0)</f>
        <v>0</v>
      </c>
      <c r="AY100" s="751">
        <f>IF(B50=8000,'OPER.-MAJOR SP. REV. (B)(57-59)'!AC42+'OPER.-MAJOR SP. REV. (B)(57-59)'!AC43+'OPER.-MAJOR SP. REV. (B)(57-59)'!AC44+'OPER.-MAJOR SP. REV. (B)(57-59)'!AC45,0)</f>
        <v>0</v>
      </c>
      <c r="BA100" s="749">
        <v>381000</v>
      </c>
      <c r="BB100" s="19"/>
      <c r="BC100" s="751">
        <f t="shared" si="1"/>
        <v>0</v>
      </c>
      <c r="BD100" s="753">
        <f t="shared" si="2"/>
        <v>0</v>
      </c>
      <c r="BE100" s="753">
        <f t="shared" si="3"/>
        <v>0</v>
      </c>
      <c r="BF100" s="753">
        <f t="shared" si="4"/>
        <v>0</v>
      </c>
    </row>
    <row r="101" spans="4:58">
      <c r="D101" s="741">
        <v>382000</v>
      </c>
      <c r="F101" s="751">
        <f>IF(B44=2000,'OPER.-MAJOR SP. REV. (B)(57-59)'!E46,0)</f>
        <v>0</v>
      </c>
      <c r="G101" s="751">
        <f>IF(B44=3000,'OPER.-MAJOR SP. REV. (B)(57-59)'!E46,0)</f>
        <v>0</v>
      </c>
      <c r="H101" s="751">
        <f>IF(B44=4000,'OPER.-MAJOR SP. REV. (B)(57-59)'!E46,0)</f>
        <v>0</v>
      </c>
      <c r="I101" s="751">
        <f>IF(B44=8000,'OPER.-MAJOR SP. REV. (B)(57-59)'!E46,0)</f>
        <v>0</v>
      </c>
      <c r="K101" s="741">
        <v>382000</v>
      </c>
      <c r="M101" s="751">
        <f>IF(B45=2000,'OPER.-MAJOR SP. REV. (B)(57-59)'!I46,0)</f>
        <v>0</v>
      </c>
      <c r="N101" s="751">
        <f>IF(B45=3000,'OPER.-MAJOR SP. REV. (B)(57-59)'!I46,0)</f>
        <v>0</v>
      </c>
      <c r="O101" s="751">
        <f>IF(B45=4000,'OPER.-MAJOR SP. REV. (B)(57-59)'!I46,0)</f>
        <v>0</v>
      </c>
      <c r="P101" s="751">
        <f>IF(B45=8000,'OPER.-MAJOR SP. REV. (B)(57-59)'!I46,0)</f>
        <v>0</v>
      </c>
      <c r="R101" s="741">
        <v>382000</v>
      </c>
      <c r="T101" s="751">
        <f>IF(B46=2000,'OPER.-MAJOR SP. REV. (B)(57-59)'!M46,0)</f>
        <v>0</v>
      </c>
      <c r="U101" s="751">
        <f>IF(B46=3000,'OPER.-MAJOR SP. REV. (B)(57-59)'!M46,0)</f>
        <v>0</v>
      </c>
      <c r="V101" s="751">
        <f>IF(B46=4000,'OPER.-MAJOR SP. REV. (B)(57-59)'!M46,0)</f>
        <v>0</v>
      </c>
      <c r="W101" s="751">
        <f>IF(B46=8000,'OPER.-MAJOR SP. REV. (B)(57-59)'!M46,0)</f>
        <v>0</v>
      </c>
      <c r="Y101" s="741">
        <v>382000</v>
      </c>
      <c r="AA101" s="751">
        <f>IF(B47=2000,'OPER.-MAJOR SP. REV. (B)(57-59)'!Q46,0)</f>
        <v>0</v>
      </c>
      <c r="AB101" s="751">
        <f>IF(B47=3000,'OPER.-MAJOR SP. REV. (B)(57-59)'!Q46,0)</f>
        <v>0</v>
      </c>
      <c r="AC101" s="751">
        <f>IF(B47=4000,'OPER.-MAJOR SP. REV. (B)(57-59)'!Q46,0)</f>
        <v>0</v>
      </c>
      <c r="AD101" s="751">
        <f>IF(B47=8000,'OPER.-MAJOR SP. REV. (B)(57-59)'!Q46,0)</f>
        <v>0</v>
      </c>
      <c r="AF101" s="741">
        <v>382000</v>
      </c>
      <c r="AH101" s="751">
        <f>IF(B48=2000,'OPER.-MAJOR SP. REV. (B)(57-59)'!U46,0)</f>
        <v>0</v>
      </c>
      <c r="AI101" s="751">
        <f>IF(B48=3000,'OPER.-MAJOR SP. REV. (B)(57-59)'!U46,0)</f>
        <v>0</v>
      </c>
      <c r="AJ101" s="751">
        <f>IF(B48=4000,'OPER.-MAJOR SP. REV. (B)(57-59)'!U46,0)</f>
        <v>0</v>
      </c>
      <c r="AK101" s="751">
        <f>IF(B48=8000,'OPER.-MAJOR SP. REV. (B)(57-59)'!U46,0)</f>
        <v>0</v>
      </c>
      <c r="AM101" s="741">
        <v>382000</v>
      </c>
      <c r="AO101" s="751">
        <f>IF(B49=2000,'OPER.-MAJOR SP. REV. (B)(57-59)'!Y46,0)</f>
        <v>0</v>
      </c>
      <c r="AP101" s="751">
        <f>IF(B49=3000,'OPER.-MAJOR SP. REV. (B)(57-59)'!Y46,0)</f>
        <v>0</v>
      </c>
      <c r="AQ101" s="751">
        <f>IF(B49=4000,'OPER.-MAJOR SP. REV. (B)(57-59)'!Y46,0)</f>
        <v>0</v>
      </c>
      <c r="AR101" s="751">
        <f>IF(B49=8000,'OPER.-MAJOR SP. REV. (B)(57-59)'!Y46,0)</f>
        <v>0</v>
      </c>
      <c r="AT101" s="741">
        <v>382000</v>
      </c>
      <c r="AV101" s="751">
        <f>IF(B50=2000,'OPER.-MAJOR SP. REV. (B)(57-59)'!AC46,0)</f>
        <v>0</v>
      </c>
      <c r="AW101" s="751">
        <f>IF(B50=3000,'OPER.-MAJOR SP. REV. (B)(57-59)'!AC46,0)</f>
        <v>0</v>
      </c>
      <c r="AX101" s="751">
        <f>IF(B50=4000,'OPER.-MAJOR SP. REV. (B)(57-59)'!AC46,0)</f>
        <v>0</v>
      </c>
      <c r="AY101" s="751">
        <f>IF(B50=8000,'OPER.-MAJOR SP. REV. (B)(57-59)'!AC46,0)</f>
        <v>0</v>
      </c>
      <c r="BA101" s="749">
        <v>382000</v>
      </c>
      <c r="BB101" s="19"/>
      <c r="BC101" s="751">
        <f t="shared" si="1"/>
        <v>0</v>
      </c>
      <c r="BD101" s="753">
        <f t="shared" si="2"/>
        <v>0</v>
      </c>
      <c r="BE101" s="753">
        <f t="shared" si="3"/>
        <v>0</v>
      </c>
      <c r="BF101" s="753">
        <f t="shared" si="4"/>
        <v>0</v>
      </c>
    </row>
    <row r="102" spans="4:58">
      <c r="D102" s="741">
        <v>383000</v>
      </c>
      <c r="F102" s="751">
        <f>IF(B44=2000,'OPER.-MAJOR SP. REV. (B)(57-59)'!E47,0)</f>
        <v>0</v>
      </c>
      <c r="G102" s="751">
        <f>IF(B44=3000,'OPER.-MAJOR SP. REV. (B)(57-59)'!E47,0)</f>
        <v>0</v>
      </c>
      <c r="H102" s="751">
        <f>IF(B44=4000,'OPER.-MAJOR SP. REV. (B)(57-59)'!E47,0)</f>
        <v>0</v>
      </c>
      <c r="I102" s="751">
        <f>IF(B44=8000,'OPER.-MAJOR SP. REV. (B)(57-59)'!E47,0)</f>
        <v>0</v>
      </c>
      <c r="K102" s="741">
        <v>383000</v>
      </c>
      <c r="M102" s="751">
        <f>IF(B45=2000,'OPER.-MAJOR SP. REV. (B)(57-59)'!I47,0)</f>
        <v>0</v>
      </c>
      <c r="N102" s="751">
        <f>IF(B45=3000,'OPER.-MAJOR SP. REV. (B)(57-59)'!I47,0)</f>
        <v>0</v>
      </c>
      <c r="O102" s="751">
        <f>IF(B45=4000,'OPER.-MAJOR SP. REV. (B)(57-59)'!I47,0)</f>
        <v>0</v>
      </c>
      <c r="P102" s="751">
        <f>IF(B45=8000,'OPER.-MAJOR SP. REV. (B)(57-59)'!I47,0)</f>
        <v>0</v>
      </c>
      <c r="R102" s="741">
        <v>383000</v>
      </c>
      <c r="T102" s="751">
        <f>IF(B46=2000,'OPER.-MAJOR SP. REV. (B)(57-59)'!M47,0)</f>
        <v>0</v>
      </c>
      <c r="U102" s="751">
        <f>IF(B46=3000,'OPER.-MAJOR SP. REV. (B)(57-59)'!M47,0)</f>
        <v>0</v>
      </c>
      <c r="V102" s="751">
        <f>IF(B46=4000,'OPER.-MAJOR SP. REV. (B)(57-59)'!M47,0)</f>
        <v>0</v>
      </c>
      <c r="W102" s="751">
        <f>IF(B46=8000,'OPER.-MAJOR SP. REV. (B)(57-59)'!M47,0)</f>
        <v>0</v>
      </c>
      <c r="Y102" s="741">
        <v>383000</v>
      </c>
      <c r="AA102" s="751">
        <f>IF(B47=2000,'OPER.-MAJOR SP. REV. (B)(57-59)'!Q47,0)</f>
        <v>0</v>
      </c>
      <c r="AB102" s="751">
        <f>IF(B47=3000,'OPER.-MAJOR SP. REV. (B)(57-59)'!Q47,0)</f>
        <v>0</v>
      </c>
      <c r="AC102" s="751">
        <f>IF(B47=4000,'OPER.-MAJOR SP. REV. (B)(57-59)'!Q47,0)</f>
        <v>1200</v>
      </c>
      <c r="AD102" s="751">
        <f>IF(B47=8000,'OPER.-MAJOR SP. REV. (B)(57-59)'!Q47,0)</f>
        <v>0</v>
      </c>
      <c r="AF102" s="741">
        <v>383000</v>
      </c>
      <c r="AH102" s="751">
        <f>IF(B48=2000,'OPER.-MAJOR SP. REV. (B)(57-59)'!U47,0)</f>
        <v>0</v>
      </c>
      <c r="AI102" s="751">
        <f>IF(B48=3000,'OPER.-MAJOR SP. REV. (B)(57-59)'!U47,0)</f>
        <v>0</v>
      </c>
      <c r="AJ102" s="751">
        <f>IF(B48=4000,'OPER.-MAJOR SP. REV. (B)(57-59)'!U47,0)</f>
        <v>0</v>
      </c>
      <c r="AK102" s="751">
        <f>IF(B48=8000,'OPER.-MAJOR SP. REV. (B)(57-59)'!U47,0)</f>
        <v>0</v>
      </c>
      <c r="AM102" s="741">
        <v>383000</v>
      </c>
      <c r="AO102" s="751">
        <f>IF(B49=2000,'OPER.-MAJOR SP. REV. (B)(57-59)'!Y47,0)</f>
        <v>0</v>
      </c>
      <c r="AP102" s="751">
        <f>IF(B49=3000,'OPER.-MAJOR SP. REV. (B)(57-59)'!Y47,0)</f>
        <v>0</v>
      </c>
      <c r="AQ102" s="751">
        <f>IF(B49=4000,'OPER.-MAJOR SP. REV. (B)(57-59)'!Y47,0)</f>
        <v>0</v>
      </c>
      <c r="AR102" s="751">
        <f>IF(B49=8000,'OPER.-MAJOR SP. REV. (B)(57-59)'!Y47,0)</f>
        <v>0</v>
      </c>
      <c r="AT102" s="741">
        <v>383000</v>
      </c>
      <c r="AV102" s="751">
        <f>IF(B50=2000,'OPER.-MAJOR SP. REV. (B)(57-59)'!AC47,0)</f>
        <v>0</v>
      </c>
      <c r="AW102" s="751">
        <f>IF(B50=3000,'OPER.-MAJOR SP. REV. (B)(57-59)'!AC47,0)</f>
        <v>0</v>
      </c>
      <c r="AX102" s="751">
        <f>IF(B50=4000,'OPER.-MAJOR SP. REV. (B)(57-59)'!AC47,0)</f>
        <v>0</v>
      </c>
      <c r="AY102" s="751">
        <f>IF(B50=8000,'OPER.-MAJOR SP. REV. (B)(57-59)'!AC47,0)</f>
        <v>0</v>
      </c>
      <c r="BA102" s="749">
        <v>383000</v>
      </c>
      <c r="BB102" s="19"/>
      <c r="BC102" s="751">
        <f t="shared" si="1"/>
        <v>0</v>
      </c>
      <c r="BD102" s="753">
        <f t="shared" si="2"/>
        <v>0</v>
      </c>
      <c r="BE102" s="753">
        <f t="shared" si="3"/>
        <v>1200</v>
      </c>
      <c r="BF102" s="753">
        <f t="shared" si="4"/>
        <v>0</v>
      </c>
    </row>
    <row r="103" spans="4:58">
      <c r="D103" s="741">
        <v>384000</v>
      </c>
      <c r="F103" s="751">
        <f>IF(B44=2000,'OPER.-MAJOR SP. REV. (B)(57-59)'!E49,0)</f>
        <v>0</v>
      </c>
      <c r="G103" s="751">
        <f>IF(B44=3000,'OPER.-MAJOR SP. REV. (B)(57-59)'!E49,0)</f>
        <v>0</v>
      </c>
      <c r="H103" s="751">
        <f>IF(B44=4000,'OPER.-MAJOR SP. REV. (B)(57-59)'!E49,0)</f>
        <v>0</v>
      </c>
      <c r="I103" s="751">
        <f>IF(B44=8000,'OPER.-MAJOR SP. REV. (B)(57-59)'!E49,0)</f>
        <v>0</v>
      </c>
      <c r="K103" s="741">
        <v>384000</v>
      </c>
      <c r="M103" s="751">
        <f>IF(B45=2000,'OPER.-MAJOR SP. REV. (B)(57-59)'!I49,0)</f>
        <v>0</v>
      </c>
      <c r="N103" s="751">
        <f>IF(B45=3000,'OPER.-MAJOR SP. REV. (B)(57-59)'!I49,0)</f>
        <v>0</v>
      </c>
      <c r="O103" s="751">
        <f>IF(B45=4000,'OPER.-MAJOR SP. REV. (B)(57-59)'!I49,0)</f>
        <v>0</v>
      </c>
      <c r="P103" s="751">
        <f>IF(B45=8000,'OPER.-MAJOR SP. REV. (B)(57-59)'!I49,0)</f>
        <v>0</v>
      </c>
      <c r="R103" s="741">
        <v>384000</v>
      </c>
      <c r="T103" s="751">
        <f>IF(B46=2000,'OPER.-MAJOR SP. REV. (B)(57-59)'!M49,0)</f>
        <v>0</v>
      </c>
      <c r="U103" s="751">
        <f>IF(B46=3000,'OPER.-MAJOR SP. REV. (B)(57-59)'!M49,0)</f>
        <v>0</v>
      </c>
      <c r="V103" s="751">
        <f>IF(B46=4000,'OPER.-MAJOR SP. REV. (B)(57-59)'!M49,0)</f>
        <v>0</v>
      </c>
      <c r="W103" s="751">
        <f>IF(B46=8000,'OPER.-MAJOR SP. REV. (B)(57-59)'!M49,0)</f>
        <v>0</v>
      </c>
      <c r="Y103" s="741">
        <v>384000</v>
      </c>
      <c r="AA103" s="751">
        <f>IF(B47=2000,'OPER.-MAJOR SP. REV. (B)(57-59)'!Q49,0)</f>
        <v>0</v>
      </c>
      <c r="AB103" s="751">
        <f>IF(B47=3000,'OPER.-MAJOR SP. REV. (B)(57-59)'!Q49,0)</f>
        <v>0</v>
      </c>
      <c r="AC103" s="751">
        <f>IF(B47=4000,'OPER.-MAJOR SP. REV. (B)(57-59)'!Q49,0)</f>
        <v>0</v>
      </c>
      <c r="AD103" s="751">
        <f>IF(B47=8000,'OPER.-MAJOR SP. REV. (B)(57-59)'!Q49,0)</f>
        <v>0</v>
      </c>
      <c r="AF103" s="741">
        <v>384000</v>
      </c>
      <c r="AH103" s="751">
        <f>IF(B48=2000,'OPER.-MAJOR SP. REV. (B)(57-59)'!U49,0)</f>
        <v>0</v>
      </c>
      <c r="AI103" s="751">
        <f>IF(B48=3000,'OPER.-MAJOR SP. REV. (B)(57-59)'!U49,0)</f>
        <v>0</v>
      </c>
      <c r="AJ103" s="751">
        <f>IF(B48=4000,'OPER.-MAJOR SP. REV. (B)(57-59)'!U49,0)</f>
        <v>0</v>
      </c>
      <c r="AK103" s="751">
        <f>IF(B48=8000,'OPER.-MAJOR SP. REV. (B)(57-59)'!U49,0)</f>
        <v>0</v>
      </c>
      <c r="AM103" s="741">
        <v>384000</v>
      </c>
      <c r="AO103" s="751">
        <f>IF(B49=2000,'OPER.-MAJOR SP. REV. (B)(57-59)'!Y49,0)</f>
        <v>0</v>
      </c>
      <c r="AP103" s="751">
        <f>IF(B49=3000,'OPER.-MAJOR SP. REV. (B)(57-59)'!Y49,0)</f>
        <v>0</v>
      </c>
      <c r="AQ103" s="751">
        <f>IF(B49=4000,'OPER.-MAJOR SP. REV. (B)(57-59)'!Y49,0)</f>
        <v>0</v>
      </c>
      <c r="AR103" s="751">
        <f>IF(B49=8000,'OPER.-MAJOR SP. REV. (B)(57-59)'!Y49,0)</f>
        <v>0</v>
      </c>
      <c r="AT103" s="741">
        <v>384000</v>
      </c>
      <c r="AV103" s="751">
        <f>IF(B50=2000,'OPER.-MAJOR SP. REV. (B)(57-59)'!AC49,0)</f>
        <v>0</v>
      </c>
      <c r="AW103" s="751">
        <f>IF(B50=3000,'OPER.-MAJOR SP. REV. (B)(57-59)'!AC49,0)</f>
        <v>0</v>
      </c>
      <c r="AX103" s="751">
        <f>IF(B50=4000,'OPER.-MAJOR SP. REV. (B)(57-59)'!AC49,0)</f>
        <v>0</v>
      </c>
      <c r="AY103" s="751">
        <f>IF(B50=8000,'OPER.-MAJOR SP. REV. (B)(57-59)'!AC49,0)</f>
        <v>0</v>
      </c>
      <c r="BA103" s="749">
        <v>384000</v>
      </c>
      <c r="BB103" s="19"/>
      <c r="BC103" s="751">
        <f t="shared" ref="BC103:BC164" si="5">F103+M103+T103+AA103+AH103+AO103+AV103</f>
        <v>0</v>
      </c>
      <c r="BD103" s="753">
        <f t="shared" ref="BD103:BD164" si="6">G103+N103+U103+AB103+AI103+AP103+AW103</f>
        <v>0</v>
      </c>
      <c r="BE103" s="753">
        <f t="shared" ref="BE103:BE164" si="7">H103+O103+V103+AC103+AJ103+AQ103+AX103</f>
        <v>0</v>
      </c>
      <c r="BF103" s="753">
        <f t="shared" ref="BF103:BF164" si="8">I103+P103+W103+AD103+AK103+AR103+AY103</f>
        <v>0</v>
      </c>
    </row>
    <row r="104" spans="4:58">
      <c r="D104" s="741">
        <v>385000</v>
      </c>
      <c r="F104" s="751">
        <f>IF(B44=2000,'OPER.-MAJOR SP. REV. (B)(57-59)'!E50,0)</f>
        <v>0</v>
      </c>
      <c r="G104" s="751">
        <f>IF(B44=3000,'OPER.-MAJOR SP. REV. (B)(57-59)'!E50,0)</f>
        <v>0</v>
      </c>
      <c r="H104" s="751">
        <f>IF(B44=4000,'OPER.-MAJOR SP. REV. (B)(57-59)'!E50,0)</f>
        <v>0</v>
      </c>
      <c r="I104" s="751">
        <f>IF(B44=8000,'OPER.-MAJOR SP. REV. (B)(57-59)'!E50,0)</f>
        <v>0</v>
      </c>
      <c r="K104" s="741">
        <v>385000</v>
      </c>
      <c r="M104" s="751">
        <f>IF(B45=2000,'OPER.-MAJOR SP. REV. (B)(57-59)'!I50,0)</f>
        <v>0</v>
      </c>
      <c r="N104" s="751">
        <f>IF(B45=3000,'OPER.-MAJOR SP. REV. (B)(57-59)'!I50,0)</f>
        <v>0</v>
      </c>
      <c r="O104" s="751">
        <f>IF(B45=4000,'OPER.-MAJOR SP. REV. (B)(57-59)'!I50,0)</f>
        <v>0</v>
      </c>
      <c r="P104" s="751">
        <f>IF(B45=8000,'OPER.-MAJOR SP. REV. (B)(57-59)'!I50,0)</f>
        <v>0</v>
      </c>
      <c r="R104" s="741">
        <v>385000</v>
      </c>
      <c r="T104" s="751">
        <f>IF(B46=2000,'OPER.-MAJOR SP. REV. (B)(57-59)'!M50,0)</f>
        <v>0</v>
      </c>
      <c r="U104" s="751">
        <f>IF(B46=3000,'OPER.-MAJOR SP. REV. (B)(57-59)'!M50,0)</f>
        <v>0</v>
      </c>
      <c r="V104" s="751">
        <f>IF(B46=4000,'OPER.-MAJOR SP. REV. (B)(57-59)'!M50,0)</f>
        <v>0</v>
      </c>
      <c r="W104" s="751">
        <f>IF(B46=8000,'OPER.-MAJOR SP. REV. (B)(57-59)'!M50,0)</f>
        <v>0</v>
      </c>
      <c r="Y104" s="741">
        <v>385000</v>
      </c>
      <c r="AA104" s="751">
        <f>IF(B47=2000,'OPER.-MAJOR SP. REV. (B)(57-59)'!Q50,0)</f>
        <v>0</v>
      </c>
      <c r="AB104" s="751">
        <f>IF(B47=3000,'OPER.-MAJOR SP. REV. (B)(57-59)'!Q50,0)</f>
        <v>0</v>
      </c>
      <c r="AC104" s="751">
        <f>IF(B47=4000,'OPER.-MAJOR SP. REV. (B)(57-59)'!Q50,0)</f>
        <v>0</v>
      </c>
      <c r="AD104" s="751">
        <f>IF(B47=8000,'OPER.-MAJOR SP. REV. (B)(57-59)'!Q50,0)</f>
        <v>0</v>
      </c>
      <c r="AF104" s="741">
        <v>385000</v>
      </c>
      <c r="AH104" s="751">
        <f>IF(B48=2000,'OPER.-MAJOR SP. REV. (B)(57-59)'!U50,0)</f>
        <v>0</v>
      </c>
      <c r="AI104" s="751">
        <f>IF(B48=3000,'OPER.-MAJOR SP. REV. (B)(57-59)'!U50,0)</f>
        <v>0</v>
      </c>
      <c r="AJ104" s="751">
        <f>IF(B48=4000,'OPER.-MAJOR SP. REV. (B)(57-59)'!U50,0)</f>
        <v>0</v>
      </c>
      <c r="AK104" s="751">
        <f>IF(B48=8000,'OPER.-MAJOR SP. REV. (B)(57-59)'!U50,0)</f>
        <v>0</v>
      </c>
      <c r="AM104" s="741">
        <v>385000</v>
      </c>
      <c r="AO104" s="751">
        <f>IF(B49=2000,'OPER.-MAJOR SP. REV. (B)(57-59)'!Y50,0)</f>
        <v>0</v>
      </c>
      <c r="AP104" s="751">
        <f>IF(B49=3000,'OPER.-MAJOR SP. REV. (B)(57-59)'!Y50,0)</f>
        <v>0</v>
      </c>
      <c r="AQ104" s="751">
        <f>IF(B49=4000,'OPER.-MAJOR SP. REV. (B)(57-59)'!Y50,0)</f>
        <v>0</v>
      </c>
      <c r="AR104" s="751">
        <f>IF(B49=8000,'OPER.-MAJOR SP. REV. (B)(57-59)'!Y50,0)</f>
        <v>0</v>
      </c>
      <c r="AT104" s="741">
        <v>385000</v>
      </c>
      <c r="AV104" s="751">
        <f>IF(B50=2000,'OPER.-MAJOR SP. REV. (B)(57-59)'!AC50,0)</f>
        <v>0</v>
      </c>
      <c r="AW104" s="751">
        <f>IF(B50=3000,'OPER.-MAJOR SP. REV. (B)(57-59)'!AC50,0)</f>
        <v>0</v>
      </c>
      <c r="AX104" s="751">
        <f>IF(B50=4000,'OPER.-MAJOR SP. REV. (B)(57-59)'!AC50,0)</f>
        <v>0</v>
      </c>
      <c r="AY104" s="751">
        <f>IF(B50=8000,'OPER.-MAJOR SP. REV. (B)(57-59)'!AC50,0)</f>
        <v>0</v>
      </c>
      <c r="BA104" s="749">
        <v>385000</v>
      </c>
      <c r="BB104" s="19"/>
      <c r="BC104" s="751">
        <f t="shared" si="5"/>
        <v>0</v>
      </c>
      <c r="BD104" s="753">
        <f t="shared" si="6"/>
        <v>0</v>
      </c>
      <c r="BE104" s="753">
        <f t="shared" si="7"/>
        <v>0</v>
      </c>
      <c r="BF104" s="753">
        <f t="shared" si="8"/>
        <v>0</v>
      </c>
    </row>
    <row r="105" spans="4:58">
      <c r="D105" s="741">
        <v>390000</v>
      </c>
      <c r="F105" s="751"/>
      <c r="G105" s="751"/>
      <c r="H105" s="751"/>
      <c r="I105" s="751"/>
      <c r="K105" s="741">
        <v>390000</v>
      </c>
      <c r="M105" s="751"/>
      <c r="N105" s="751"/>
      <c r="O105" s="751"/>
      <c r="P105" s="751"/>
      <c r="R105" s="741">
        <v>390000</v>
      </c>
      <c r="T105" s="751"/>
      <c r="U105" s="751"/>
      <c r="V105" s="751"/>
      <c r="W105" s="751"/>
      <c r="Y105" s="741">
        <v>390000</v>
      </c>
      <c r="AA105" s="751"/>
      <c r="AB105" s="751"/>
      <c r="AC105" s="751"/>
      <c r="AD105" s="751"/>
      <c r="AF105" s="741">
        <v>390000</v>
      </c>
      <c r="AH105" s="751"/>
      <c r="AI105" s="751"/>
      <c r="AJ105" s="751"/>
      <c r="AK105" s="751"/>
      <c r="AM105" s="741">
        <v>390000</v>
      </c>
      <c r="AO105" s="751"/>
      <c r="AP105" s="751"/>
      <c r="AQ105" s="751"/>
      <c r="AR105" s="751"/>
      <c r="AT105" s="741">
        <v>390000</v>
      </c>
      <c r="AV105" s="751"/>
      <c r="AW105" s="751"/>
      <c r="AX105" s="751"/>
      <c r="AY105" s="751"/>
      <c r="BA105" s="749">
        <v>390000</v>
      </c>
      <c r="BB105" s="19"/>
      <c r="BC105" s="751"/>
      <c r="BD105" s="753"/>
      <c r="BE105" s="753"/>
      <c r="BF105" s="753"/>
    </row>
    <row r="106" spans="4:58">
      <c r="D106" s="741">
        <v>391000</v>
      </c>
      <c r="F106" s="751"/>
      <c r="G106" s="751"/>
      <c r="H106" s="751"/>
      <c r="I106" s="751"/>
      <c r="K106" s="741">
        <v>391000</v>
      </c>
      <c r="M106" s="751"/>
      <c r="N106" s="751"/>
      <c r="O106" s="751"/>
      <c r="P106" s="751"/>
      <c r="R106" s="741">
        <v>391000</v>
      </c>
      <c r="T106" s="751"/>
      <c r="U106" s="751"/>
      <c r="V106" s="751"/>
      <c r="W106" s="751"/>
      <c r="Y106" s="741">
        <v>391000</v>
      </c>
      <c r="AA106" s="751"/>
      <c r="AB106" s="751"/>
      <c r="AC106" s="751"/>
      <c r="AD106" s="751"/>
      <c r="AF106" s="741">
        <v>391000</v>
      </c>
      <c r="AH106" s="751"/>
      <c r="AI106" s="751"/>
      <c r="AJ106" s="751"/>
      <c r="AK106" s="751"/>
      <c r="AM106" s="741">
        <v>391000</v>
      </c>
      <c r="AO106" s="751"/>
      <c r="AP106" s="751"/>
      <c r="AQ106" s="751"/>
      <c r="AR106" s="751"/>
      <c r="AT106" s="741">
        <v>391000</v>
      </c>
      <c r="AV106" s="751"/>
      <c r="AW106" s="751"/>
      <c r="AX106" s="751"/>
      <c r="AY106" s="751"/>
      <c r="BA106" s="749">
        <v>391000</v>
      </c>
      <c r="BB106" s="19"/>
      <c r="BC106" s="751"/>
      <c r="BD106" s="753"/>
      <c r="BE106" s="753"/>
      <c r="BF106" s="753"/>
    </row>
    <row r="107" spans="4:58">
      <c r="D107" s="741">
        <v>392000</v>
      </c>
      <c r="F107" s="751"/>
      <c r="G107" s="751"/>
      <c r="H107" s="751"/>
      <c r="I107" s="751"/>
      <c r="K107" s="741">
        <v>392000</v>
      </c>
      <c r="M107" s="751"/>
      <c r="N107" s="751"/>
      <c r="O107" s="751"/>
      <c r="P107" s="751"/>
      <c r="R107" s="741">
        <v>392000</v>
      </c>
      <c r="T107" s="751"/>
      <c r="U107" s="751"/>
      <c r="V107" s="751"/>
      <c r="W107" s="751"/>
      <c r="Y107" s="741">
        <v>392000</v>
      </c>
      <c r="AA107" s="751"/>
      <c r="AB107" s="751"/>
      <c r="AC107" s="751"/>
      <c r="AD107" s="751"/>
      <c r="AF107" s="741">
        <v>392000</v>
      </c>
      <c r="AH107" s="751"/>
      <c r="AI107" s="751"/>
      <c r="AJ107" s="751"/>
      <c r="AK107" s="751"/>
      <c r="AM107" s="741">
        <v>392000</v>
      </c>
      <c r="AO107" s="751"/>
      <c r="AP107" s="751"/>
      <c r="AQ107" s="751"/>
      <c r="AR107" s="751"/>
      <c r="AT107" s="741">
        <v>392000</v>
      </c>
      <c r="AV107" s="751"/>
      <c r="AW107" s="751"/>
      <c r="AX107" s="751"/>
      <c r="AY107" s="751"/>
      <c r="BA107" s="749">
        <v>392000</v>
      </c>
      <c r="BB107" s="19"/>
      <c r="BC107" s="751"/>
      <c r="BD107" s="753"/>
      <c r="BE107" s="753"/>
      <c r="BF107" s="753"/>
    </row>
    <row r="108" spans="4:58">
      <c r="D108" s="741">
        <v>393000</v>
      </c>
      <c r="F108" s="751"/>
      <c r="G108" s="751"/>
      <c r="H108" s="751"/>
      <c r="I108" s="751"/>
      <c r="K108" s="741">
        <v>393000</v>
      </c>
      <c r="M108" s="751"/>
      <c r="N108" s="751"/>
      <c r="O108" s="751"/>
      <c r="P108" s="751"/>
      <c r="R108" s="741">
        <v>393000</v>
      </c>
      <c r="T108" s="751"/>
      <c r="U108" s="751"/>
      <c r="V108" s="751"/>
      <c r="W108" s="751"/>
      <c r="Y108" s="741">
        <v>393000</v>
      </c>
      <c r="AA108" s="751"/>
      <c r="AB108" s="751"/>
      <c r="AC108" s="751"/>
      <c r="AD108" s="751"/>
      <c r="AF108" s="741">
        <v>393000</v>
      </c>
      <c r="AH108" s="751"/>
      <c r="AI108" s="751"/>
      <c r="AJ108" s="751"/>
      <c r="AK108" s="751"/>
      <c r="AM108" s="741">
        <v>393000</v>
      </c>
      <c r="AO108" s="751"/>
      <c r="AP108" s="751"/>
      <c r="AQ108" s="751"/>
      <c r="AR108" s="751"/>
      <c r="AT108" s="741">
        <v>393000</v>
      </c>
      <c r="AV108" s="751"/>
      <c r="AW108" s="751"/>
      <c r="AX108" s="751"/>
      <c r="AY108" s="751"/>
      <c r="BA108" s="749">
        <v>393000</v>
      </c>
      <c r="BB108" s="19"/>
      <c r="BC108" s="751"/>
      <c r="BD108" s="753"/>
      <c r="BE108" s="753"/>
      <c r="BF108" s="753"/>
    </row>
    <row r="109" spans="4:58">
      <c r="D109" s="741">
        <v>394000</v>
      </c>
      <c r="F109" s="751"/>
      <c r="G109" s="751"/>
      <c r="H109" s="751"/>
      <c r="I109" s="751"/>
      <c r="K109" s="741">
        <v>394000</v>
      </c>
      <c r="M109" s="751"/>
      <c r="N109" s="751"/>
      <c r="O109" s="751"/>
      <c r="P109" s="751"/>
      <c r="R109" s="741">
        <v>394000</v>
      </c>
      <c r="T109" s="751"/>
      <c r="U109" s="751"/>
      <c r="V109" s="751"/>
      <c r="W109" s="751"/>
      <c r="Y109" s="741">
        <v>394000</v>
      </c>
      <c r="AA109" s="751"/>
      <c r="AB109" s="751"/>
      <c r="AC109" s="751"/>
      <c r="AD109" s="751"/>
      <c r="AF109" s="741">
        <v>394000</v>
      </c>
      <c r="AH109" s="751"/>
      <c r="AI109" s="751"/>
      <c r="AJ109" s="751"/>
      <c r="AK109" s="751"/>
      <c r="AM109" s="741">
        <v>394000</v>
      </c>
      <c r="AO109" s="751"/>
      <c r="AP109" s="751"/>
      <c r="AQ109" s="751"/>
      <c r="AR109" s="751"/>
      <c r="AT109" s="741">
        <v>394000</v>
      </c>
      <c r="AV109" s="751"/>
      <c r="AW109" s="751"/>
      <c r="AX109" s="751"/>
      <c r="AY109" s="751"/>
      <c r="BA109" s="749">
        <v>394000</v>
      </c>
      <c r="BB109" s="19"/>
      <c r="BC109" s="751"/>
      <c r="BD109" s="753"/>
      <c r="BE109" s="753"/>
      <c r="BF109" s="753"/>
    </row>
    <row r="110" spans="4:58">
      <c r="D110" s="741">
        <v>395000</v>
      </c>
      <c r="F110" s="751"/>
      <c r="G110" s="751"/>
      <c r="H110" s="751"/>
      <c r="I110" s="751"/>
      <c r="K110" s="741">
        <v>395000</v>
      </c>
      <c r="M110" s="751"/>
      <c r="N110" s="751"/>
      <c r="O110" s="751"/>
      <c r="P110" s="751"/>
      <c r="R110" s="741">
        <v>395000</v>
      </c>
      <c r="T110" s="751"/>
      <c r="U110" s="751"/>
      <c r="V110" s="751"/>
      <c r="W110" s="751"/>
      <c r="Y110" s="741">
        <v>395000</v>
      </c>
      <c r="AA110" s="751"/>
      <c r="AB110" s="751"/>
      <c r="AC110" s="751"/>
      <c r="AD110" s="751"/>
      <c r="AF110" s="741">
        <v>395000</v>
      </c>
      <c r="AH110" s="751"/>
      <c r="AI110" s="751"/>
      <c r="AJ110" s="751"/>
      <c r="AK110" s="751"/>
      <c r="AM110" s="741">
        <v>395000</v>
      </c>
      <c r="AO110" s="751"/>
      <c r="AP110" s="751"/>
      <c r="AQ110" s="751"/>
      <c r="AR110" s="751"/>
      <c r="AT110" s="741">
        <v>395000</v>
      </c>
      <c r="AV110" s="751"/>
      <c r="AW110" s="751"/>
      <c r="AX110" s="751"/>
      <c r="AY110" s="751"/>
      <c r="BA110" s="749">
        <v>395000</v>
      </c>
      <c r="BB110" s="19"/>
      <c r="BC110" s="751"/>
      <c r="BD110" s="753"/>
      <c r="BE110" s="753"/>
      <c r="BF110" s="753"/>
    </row>
    <row r="111" spans="4:58">
      <c r="D111" s="741">
        <v>396000</v>
      </c>
      <c r="F111" s="751"/>
      <c r="G111" s="751"/>
      <c r="H111" s="751"/>
      <c r="I111" s="751"/>
      <c r="K111" s="741">
        <v>396000</v>
      </c>
      <c r="M111" s="751"/>
      <c r="N111" s="751"/>
      <c r="O111" s="751"/>
      <c r="P111" s="751"/>
      <c r="R111" s="741">
        <v>396000</v>
      </c>
      <c r="T111" s="751"/>
      <c r="U111" s="751"/>
      <c r="V111" s="751"/>
      <c r="W111" s="751"/>
      <c r="Y111" s="741">
        <v>396000</v>
      </c>
      <c r="AA111" s="751"/>
      <c r="AB111" s="751"/>
      <c r="AC111" s="751"/>
      <c r="AD111" s="751"/>
      <c r="AF111" s="741">
        <v>396000</v>
      </c>
      <c r="AH111" s="751"/>
      <c r="AI111" s="751"/>
      <c r="AJ111" s="751"/>
      <c r="AK111" s="751"/>
      <c r="AM111" s="741">
        <v>396000</v>
      </c>
      <c r="AO111" s="751"/>
      <c r="AP111" s="751"/>
      <c r="AQ111" s="751"/>
      <c r="AR111" s="751"/>
      <c r="AT111" s="741">
        <v>396000</v>
      </c>
      <c r="AV111" s="751"/>
      <c r="AW111" s="751"/>
      <c r="AX111" s="751"/>
      <c r="AY111" s="751"/>
      <c r="BA111" s="749">
        <v>396000</v>
      </c>
      <c r="BB111" s="19"/>
      <c r="BC111" s="751"/>
      <c r="BD111" s="753"/>
      <c r="BE111" s="753"/>
      <c r="BF111" s="753"/>
    </row>
    <row r="112" spans="4:58">
      <c r="D112" s="741">
        <v>397000</v>
      </c>
      <c r="F112" s="751"/>
      <c r="G112" s="751"/>
      <c r="H112" s="751"/>
      <c r="I112" s="751"/>
      <c r="K112" s="741">
        <v>397000</v>
      </c>
      <c r="M112" s="751"/>
      <c r="N112" s="751"/>
      <c r="O112" s="751"/>
      <c r="P112" s="751"/>
      <c r="R112" s="741">
        <v>397000</v>
      </c>
      <c r="T112" s="751"/>
      <c r="U112" s="751"/>
      <c r="V112" s="751"/>
      <c r="W112" s="751"/>
      <c r="Y112" s="741">
        <v>397000</v>
      </c>
      <c r="AA112" s="751"/>
      <c r="AB112" s="751"/>
      <c r="AC112" s="751"/>
      <c r="AD112" s="751"/>
      <c r="AF112" s="741">
        <v>397000</v>
      </c>
      <c r="AH112" s="751"/>
      <c r="AI112" s="751"/>
      <c r="AJ112" s="751"/>
      <c r="AK112" s="751"/>
      <c r="AM112" s="741">
        <v>397000</v>
      </c>
      <c r="AO112" s="751"/>
      <c r="AP112" s="751"/>
      <c r="AQ112" s="751"/>
      <c r="AR112" s="751"/>
      <c r="AT112" s="741">
        <v>397000</v>
      </c>
      <c r="AV112" s="751"/>
      <c r="AW112" s="751"/>
      <c r="AX112" s="751"/>
      <c r="AY112" s="751"/>
      <c r="BA112" s="749">
        <v>397000</v>
      </c>
      <c r="BB112" s="19"/>
      <c r="BC112" s="751"/>
      <c r="BD112" s="753"/>
      <c r="BE112" s="753"/>
      <c r="BF112" s="753"/>
    </row>
    <row r="113" spans="4:58">
      <c r="D113" s="741">
        <v>410000</v>
      </c>
      <c r="E113" s="742">
        <v>100</v>
      </c>
      <c r="F113" s="751">
        <f>IF(B44=2000,'OPER.-MAJOR SP. REV. (B)(57-59)'!E11,0)</f>
        <v>0</v>
      </c>
      <c r="G113" s="751">
        <f>IF(B44=3000,'OPER.-MAJOR SP. REV. (B)(57-59)'!E11,0)</f>
        <v>0</v>
      </c>
      <c r="H113" s="751">
        <f>IF(B44=4000,'OPER.-MAJOR SP. REV. (B)(57-59)'!E11,0)</f>
        <v>0</v>
      </c>
      <c r="I113" s="751">
        <f>IF(B44=8000,'OPER.-MAJOR SP. REV. (B)(57-59)'!E11,0)</f>
        <v>0</v>
      </c>
      <c r="K113" s="741">
        <v>410000</v>
      </c>
      <c r="L113" s="742">
        <v>100</v>
      </c>
      <c r="M113" s="751">
        <f>IF(B45=2000,'OPER.-MAJOR SP. REV. (B)(57-59)'!I11,0)</f>
        <v>0</v>
      </c>
      <c r="N113" s="751">
        <f>IF(B45=3000,'OPER.-MAJOR SP. REV. (B)(57-59)'!I11,0)</f>
        <v>0</v>
      </c>
      <c r="O113" s="751">
        <f>IF(B45=4000,'OPER.-MAJOR SP. REV. (B)(57-59)'!I11,0)</f>
        <v>0</v>
      </c>
      <c r="P113" s="751">
        <f>IF(B45=8000,'OPER.-MAJOR SP. REV. (B)(57-59)'!I11,0)</f>
        <v>0</v>
      </c>
      <c r="R113" s="741">
        <v>410000</v>
      </c>
      <c r="S113" s="742">
        <v>100</v>
      </c>
      <c r="T113" s="751">
        <f>IF(B46=2000,'OPER.-MAJOR SP. REV. (B)(57-59)'!M11,0)</f>
        <v>0</v>
      </c>
      <c r="U113" s="751">
        <f>IF(B46=3000,'OPER.-MAJOR SP. REV. (B)(57-59)'!M11,0)</f>
        <v>0</v>
      </c>
      <c r="V113" s="751">
        <f>IF(B46=4000,'OPER.-MAJOR SP. REV. (B)(57-59)'!M11,0)</f>
        <v>0</v>
      </c>
      <c r="W113" s="751">
        <f>IF(B46=8000,'OPER.-MAJOR SP. REV. (B)(57-59)'!M11,0)</f>
        <v>0</v>
      </c>
      <c r="Y113" s="741">
        <v>410000</v>
      </c>
      <c r="Z113" s="742">
        <v>100</v>
      </c>
      <c r="AA113" s="751">
        <f>IF(B47=2000,'OPER.-MAJOR SP. REV. (B)(57-59)'!Q11,0)</f>
        <v>0</v>
      </c>
      <c r="AB113" s="751">
        <f>IF(B47=3000,'OPER.-MAJOR SP. REV. (B)(57-59)'!Q11,0)</f>
        <v>0</v>
      </c>
      <c r="AC113" s="751">
        <f>IF(B47=4000,'OPER.-MAJOR SP. REV. (B)(57-59)'!Q11,0)</f>
        <v>0</v>
      </c>
      <c r="AD113" s="751">
        <f>IF(B47=8000,'OPER.-MAJOR SP. REV. (B)(57-59)'!Q11,0)</f>
        <v>0</v>
      </c>
      <c r="AF113" s="741">
        <v>410000</v>
      </c>
      <c r="AG113" s="742">
        <v>100</v>
      </c>
      <c r="AH113" s="751">
        <f>IF(B48=2000,'OPER.-MAJOR SP. REV. (B)(57-59)'!U11,0)</f>
        <v>0</v>
      </c>
      <c r="AI113" s="751">
        <f>IF(B48=3000,'OPER.-MAJOR SP. REV. (B)(57-59)'!U11,0)</f>
        <v>0</v>
      </c>
      <c r="AJ113" s="751">
        <f>IF(B48=4000,'OPER.-MAJOR SP. REV. (B)(57-59)'!U11,0)</f>
        <v>0</v>
      </c>
      <c r="AK113" s="751">
        <f>IF(B48=8000,'OPER.-MAJOR SP. REV. (B)(57-59)'!U11,0)</f>
        <v>0</v>
      </c>
      <c r="AM113" s="741">
        <v>410000</v>
      </c>
      <c r="AN113" s="742">
        <v>100</v>
      </c>
      <c r="AO113" s="751">
        <f>IF(B49=2000,'OPER.-MAJOR SP. REV. (B)(57-59)'!Y11,0)</f>
        <v>0</v>
      </c>
      <c r="AP113" s="751">
        <f>IF(B49=3000,'OPER.-MAJOR SP. REV. (B)(57-59)'!Y11,0)</f>
        <v>0</v>
      </c>
      <c r="AQ113" s="751">
        <f>IF(B49=4000,'OPER.-MAJOR SP. REV. (B)(57-59)'!Y11,0)</f>
        <v>0</v>
      </c>
      <c r="AR113" s="751">
        <f>IF(B49=8000,'OPER.-MAJOR SP. REV. (B)(57-59)'!Y11,0)</f>
        <v>0</v>
      </c>
      <c r="AT113" s="741">
        <v>410000</v>
      </c>
      <c r="AU113" s="742">
        <v>100</v>
      </c>
      <c r="AV113" s="751">
        <f>IF(B50=2000,'OPER.-MAJOR SP. REV. (B)(57-59)'!AC11,0)</f>
        <v>0</v>
      </c>
      <c r="AW113" s="751">
        <f>IF(B50=3000,'OPER.-MAJOR SP. REV. (B)(57-59)'!AC11,0)</f>
        <v>0</v>
      </c>
      <c r="AX113" s="751">
        <f>IF(B50=4000,'OPER.-MAJOR SP. REV. (B)(57-59)'!AC11,0)</f>
        <v>0</v>
      </c>
      <c r="AY113" s="751">
        <f>IF(B50=8000,'OPER.-MAJOR SP. REV. (B)(57-59)'!AC11,0)</f>
        <v>0</v>
      </c>
      <c r="BA113" s="749">
        <v>410000</v>
      </c>
      <c r="BB113" s="750">
        <v>100</v>
      </c>
      <c r="BC113" s="751">
        <f t="shared" si="5"/>
        <v>0</v>
      </c>
      <c r="BD113" s="753">
        <f t="shared" si="6"/>
        <v>0</v>
      </c>
      <c r="BE113" s="753">
        <f t="shared" si="7"/>
        <v>0</v>
      </c>
      <c r="BF113" s="753">
        <f t="shared" si="8"/>
        <v>0</v>
      </c>
    </row>
    <row r="114" spans="4:58">
      <c r="D114" s="741">
        <v>410000</v>
      </c>
      <c r="E114" s="742">
        <v>200</v>
      </c>
      <c r="F114" s="751">
        <f>IF(B44=2000,'OPER.-MAJOR SP. REV. (B)(57-59)'!E12,0)</f>
        <v>0</v>
      </c>
      <c r="G114" s="751">
        <f>IF(B44=3000,'OPER.-MAJOR SP. REV. (B)(57-59)'!E12,0)</f>
        <v>0</v>
      </c>
      <c r="H114" s="751">
        <f>IF(B44=4000,'OPER.-MAJOR SP. REV. (B)(57-59)'!E12,0)</f>
        <v>0</v>
      </c>
      <c r="I114" s="751">
        <f>IF(B44=8000,'OPER.-MAJOR SP. REV. (B)(57-59)'!E12,0)</f>
        <v>0</v>
      </c>
      <c r="K114" s="741">
        <v>410000</v>
      </c>
      <c r="L114" s="742">
        <v>200</v>
      </c>
      <c r="M114" s="751">
        <f>IF(B45=2000,'OPER.-MAJOR SP. REV. (B)(57-59)'!I12,0)</f>
        <v>0</v>
      </c>
      <c r="N114" s="751">
        <f>IF(B45=3000,'OPER.-MAJOR SP. REV. (B)(57-59)'!I12,0)</f>
        <v>0</v>
      </c>
      <c r="O114" s="751">
        <f>IF(B45=4000,'OPER.-MAJOR SP. REV. (B)(57-59)'!I12,0)</f>
        <v>0</v>
      </c>
      <c r="P114" s="751">
        <f>IF(B45=8000,'OPER.-MAJOR SP. REV. (B)(57-59)'!I12,0)</f>
        <v>0</v>
      </c>
      <c r="R114" s="741">
        <v>410000</v>
      </c>
      <c r="S114" s="742">
        <v>200</v>
      </c>
      <c r="T114" s="751">
        <f>IF(B46=2000,'OPER.-MAJOR SP. REV. (B)(57-59)'!M12,0)</f>
        <v>0</v>
      </c>
      <c r="U114" s="751">
        <f>IF(B46=3000,'OPER.-MAJOR SP. REV. (B)(57-59)'!M12,0)</f>
        <v>0</v>
      </c>
      <c r="V114" s="751">
        <f>IF(B46=4000,'OPER.-MAJOR SP. REV. (B)(57-59)'!M12,0)</f>
        <v>0</v>
      </c>
      <c r="W114" s="751">
        <f>IF(B46=8000,'OPER.-MAJOR SP. REV. (B)(57-59)'!M12,0)</f>
        <v>0</v>
      </c>
      <c r="Y114" s="741">
        <v>410000</v>
      </c>
      <c r="Z114" s="742">
        <v>200</v>
      </c>
      <c r="AA114" s="751">
        <f>IF(B47=2000,'OPER.-MAJOR SP. REV. (B)(57-59)'!Q12,0)</f>
        <v>0</v>
      </c>
      <c r="AB114" s="751">
        <f>IF(B47=3000,'OPER.-MAJOR SP. REV. (B)(57-59)'!Q12,0)</f>
        <v>0</v>
      </c>
      <c r="AC114" s="751">
        <f>IF(B47=4000,'OPER.-MAJOR SP. REV. (B)(57-59)'!Q12,0)</f>
        <v>0</v>
      </c>
      <c r="AD114" s="751">
        <f>IF(B47=8000,'OPER.-MAJOR SP. REV. (B)(57-59)'!Q12,0)</f>
        <v>0</v>
      </c>
      <c r="AF114" s="741">
        <v>410000</v>
      </c>
      <c r="AG114" s="742">
        <v>200</v>
      </c>
      <c r="AH114" s="751">
        <f>IF(B48=2000,'OPER.-MAJOR SP. REV. (B)(57-59)'!U12,0)</f>
        <v>0</v>
      </c>
      <c r="AI114" s="751">
        <f>IF(B48=3000,'OPER.-MAJOR SP. REV. (B)(57-59)'!U12,0)</f>
        <v>0</v>
      </c>
      <c r="AJ114" s="751">
        <f>IF(B48=4000,'OPER.-MAJOR SP. REV. (B)(57-59)'!U12,0)</f>
        <v>0</v>
      </c>
      <c r="AK114" s="751">
        <f>IF(B48=8000,'OPER.-MAJOR SP. REV. (B)(57-59)'!U12,0)</f>
        <v>0</v>
      </c>
      <c r="AM114" s="741">
        <v>410000</v>
      </c>
      <c r="AN114" s="742">
        <v>200</v>
      </c>
      <c r="AO114" s="751">
        <f>IF(B49=2000,'OPER.-MAJOR SP. REV. (B)(57-59)'!Y12,0)</f>
        <v>0</v>
      </c>
      <c r="AP114" s="751">
        <f>IF(B49=3000,'OPER.-MAJOR SP. REV. (B)(57-59)'!Y12,0)</f>
        <v>0</v>
      </c>
      <c r="AQ114" s="751">
        <f>IF(B49=4000,'OPER.-MAJOR SP. REV. (B)(57-59)'!Y12,0)</f>
        <v>0</v>
      </c>
      <c r="AR114" s="751">
        <f>IF(B49=8000,'OPER.-MAJOR SP. REV. (B)(57-59)'!Y12,0)</f>
        <v>0</v>
      </c>
      <c r="AT114" s="741">
        <v>410000</v>
      </c>
      <c r="AU114" s="742">
        <v>200</v>
      </c>
      <c r="AV114" s="751">
        <f>IF(B50=2000,'OPER.-MAJOR SP. REV. (B)(57-59)'!AC12,0)</f>
        <v>0</v>
      </c>
      <c r="AW114" s="751">
        <f>IF(B50=3000,'OPER.-MAJOR SP. REV. (B)(57-59)'!AC12,0)</f>
        <v>0</v>
      </c>
      <c r="AX114" s="751">
        <f>IF(B50=4000,'OPER.-MAJOR SP. REV. (B)(57-59)'!AC12,0)</f>
        <v>0</v>
      </c>
      <c r="AY114" s="751">
        <f>IF(B50=8000,'OPER.-MAJOR SP. REV. (B)(57-59)'!AC12,0)</f>
        <v>0</v>
      </c>
      <c r="BA114" s="749">
        <v>410000</v>
      </c>
      <c r="BB114" s="750">
        <v>200</v>
      </c>
      <c r="BC114" s="751">
        <f t="shared" si="5"/>
        <v>0</v>
      </c>
      <c r="BD114" s="753">
        <f t="shared" si="6"/>
        <v>0</v>
      </c>
      <c r="BE114" s="753">
        <f t="shared" si="7"/>
        <v>0</v>
      </c>
      <c r="BF114" s="753">
        <f t="shared" si="8"/>
        <v>0</v>
      </c>
    </row>
    <row r="115" spans="4:58">
      <c r="D115" s="741">
        <v>410000</v>
      </c>
      <c r="E115" s="742">
        <v>610</v>
      </c>
      <c r="F115" s="751"/>
      <c r="G115" s="751"/>
      <c r="H115" s="751"/>
      <c r="I115" s="751"/>
      <c r="K115" s="741">
        <v>410000</v>
      </c>
      <c r="L115" s="742">
        <v>610</v>
      </c>
      <c r="M115" s="751"/>
      <c r="N115" s="751"/>
      <c r="O115" s="751"/>
      <c r="P115" s="751"/>
      <c r="R115" s="741">
        <v>410000</v>
      </c>
      <c r="S115" s="742">
        <v>610</v>
      </c>
      <c r="T115" s="751"/>
      <c r="U115" s="751"/>
      <c r="V115" s="751"/>
      <c r="W115" s="751"/>
      <c r="Y115" s="741">
        <v>410000</v>
      </c>
      <c r="Z115" s="742">
        <v>610</v>
      </c>
      <c r="AA115" s="751"/>
      <c r="AB115" s="751"/>
      <c r="AC115" s="751"/>
      <c r="AD115" s="751"/>
      <c r="AF115" s="741">
        <v>410000</v>
      </c>
      <c r="AG115" s="742">
        <v>610</v>
      </c>
      <c r="AH115" s="751"/>
      <c r="AI115" s="751"/>
      <c r="AJ115" s="751"/>
      <c r="AK115" s="751"/>
      <c r="AM115" s="741">
        <v>410000</v>
      </c>
      <c r="AN115" s="742">
        <v>610</v>
      </c>
      <c r="AO115" s="751"/>
      <c r="AP115" s="751"/>
      <c r="AQ115" s="751"/>
      <c r="AR115" s="751"/>
      <c r="AT115" s="741">
        <v>410000</v>
      </c>
      <c r="AU115" s="742">
        <v>610</v>
      </c>
      <c r="AV115" s="751"/>
      <c r="AW115" s="751"/>
      <c r="AX115" s="751"/>
      <c r="AY115" s="751"/>
      <c r="BA115" s="749">
        <v>410000</v>
      </c>
      <c r="BB115" s="750">
        <v>610</v>
      </c>
      <c r="BC115" s="751"/>
      <c r="BD115" s="753"/>
      <c r="BE115" s="753"/>
      <c r="BF115" s="753"/>
    </row>
    <row r="116" spans="4:58">
      <c r="D116" s="741">
        <v>410000</v>
      </c>
      <c r="E116" s="742">
        <v>620</v>
      </c>
      <c r="F116" s="751"/>
      <c r="G116" s="751"/>
      <c r="H116" s="751"/>
      <c r="I116" s="751"/>
      <c r="K116" s="741">
        <v>410000</v>
      </c>
      <c r="L116" s="742">
        <v>620</v>
      </c>
      <c r="M116" s="751"/>
      <c r="N116" s="751"/>
      <c r="O116" s="751"/>
      <c r="P116" s="751"/>
      <c r="R116" s="741">
        <v>410000</v>
      </c>
      <c r="S116" s="742">
        <v>620</v>
      </c>
      <c r="T116" s="751"/>
      <c r="U116" s="751"/>
      <c r="V116" s="751"/>
      <c r="W116" s="751"/>
      <c r="Y116" s="741">
        <v>410000</v>
      </c>
      <c r="Z116" s="742">
        <v>620</v>
      </c>
      <c r="AA116" s="751"/>
      <c r="AB116" s="751"/>
      <c r="AC116" s="751"/>
      <c r="AD116" s="751"/>
      <c r="AF116" s="741">
        <v>410000</v>
      </c>
      <c r="AG116" s="742">
        <v>620</v>
      </c>
      <c r="AH116" s="751"/>
      <c r="AI116" s="751"/>
      <c r="AJ116" s="751"/>
      <c r="AK116" s="751"/>
      <c r="AM116" s="741">
        <v>410000</v>
      </c>
      <c r="AN116" s="742">
        <v>620</v>
      </c>
      <c r="AO116" s="751"/>
      <c r="AP116" s="751"/>
      <c r="AQ116" s="751"/>
      <c r="AR116" s="751"/>
      <c r="AT116" s="741">
        <v>410000</v>
      </c>
      <c r="AU116" s="742">
        <v>620</v>
      </c>
      <c r="AV116" s="751"/>
      <c r="AW116" s="751"/>
      <c r="AX116" s="751"/>
      <c r="AY116" s="751"/>
      <c r="BA116" s="749">
        <v>410000</v>
      </c>
      <c r="BB116" s="750">
        <v>620</v>
      </c>
      <c r="BC116" s="751"/>
      <c r="BD116" s="753"/>
      <c r="BE116" s="753"/>
      <c r="BF116" s="753"/>
    </row>
    <row r="117" spans="4:58">
      <c r="D117" s="741">
        <v>410000</v>
      </c>
      <c r="E117" s="742">
        <v>900</v>
      </c>
      <c r="F117" s="751"/>
      <c r="G117" s="751"/>
      <c r="H117" s="751"/>
      <c r="I117" s="751"/>
      <c r="K117" s="741">
        <v>410000</v>
      </c>
      <c r="L117" s="742">
        <v>900</v>
      </c>
      <c r="M117" s="751"/>
      <c r="N117" s="751"/>
      <c r="O117" s="751"/>
      <c r="P117" s="751"/>
      <c r="R117" s="741">
        <v>410000</v>
      </c>
      <c r="S117" s="742">
        <v>900</v>
      </c>
      <c r="T117" s="751"/>
      <c r="U117" s="751"/>
      <c r="V117" s="751"/>
      <c r="W117" s="751"/>
      <c r="Y117" s="741">
        <v>410000</v>
      </c>
      <c r="Z117" s="742">
        <v>900</v>
      </c>
      <c r="AA117" s="751"/>
      <c r="AB117" s="751"/>
      <c r="AC117" s="751"/>
      <c r="AD117" s="751"/>
      <c r="AF117" s="741">
        <v>410000</v>
      </c>
      <c r="AG117" s="742">
        <v>900</v>
      </c>
      <c r="AH117" s="751"/>
      <c r="AI117" s="751"/>
      <c r="AJ117" s="751"/>
      <c r="AK117" s="751"/>
      <c r="AM117" s="741">
        <v>410000</v>
      </c>
      <c r="AN117" s="742">
        <v>900</v>
      </c>
      <c r="AO117" s="751"/>
      <c r="AP117" s="751"/>
      <c r="AQ117" s="751"/>
      <c r="AR117" s="751"/>
      <c r="AT117" s="741">
        <v>410000</v>
      </c>
      <c r="AU117" s="742">
        <v>900</v>
      </c>
      <c r="AV117" s="751"/>
      <c r="AW117" s="751"/>
      <c r="AX117" s="751"/>
      <c r="AY117" s="751"/>
      <c r="BA117" s="749">
        <v>410000</v>
      </c>
      <c r="BB117" s="750">
        <v>900</v>
      </c>
      <c r="BC117" s="751"/>
      <c r="BD117" s="753"/>
      <c r="BE117" s="753"/>
      <c r="BF117" s="753"/>
    </row>
    <row r="118" spans="4:58">
      <c r="D118" s="741">
        <v>420000</v>
      </c>
      <c r="E118" s="742">
        <v>100</v>
      </c>
      <c r="F118" s="751">
        <f>IF(B44=2000,'OPER.-MAJOR SP. REV. (B)(57-59)'!E14,0)</f>
        <v>0</v>
      </c>
      <c r="G118" s="751">
        <f>IF(B44=3000,'OPER.-MAJOR SP. REV. (B)(57-59)'!E14,0)</f>
        <v>0</v>
      </c>
      <c r="H118" s="751">
        <f>IF(B44=4000,'OPER.-MAJOR SP. REV. (B)(57-59)'!E14,0)</f>
        <v>0</v>
      </c>
      <c r="I118" s="751">
        <f>IF(B44=8000,'OPER.-MAJOR SP. REV. (B)(57-59)'!E14,0)</f>
        <v>0</v>
      </c>
      <c r="K118" s="741">
        <v>420000</v>
      </c>
      <c r="L118" s="742">
        <v>100</v>
      </c>
      <c r="M118" s="751">
        <f>IF(B45=2000,'OPER.-MAJOR SP. REV. (B)(57-59)'!I14,0)</f>
        <v>0</v>
      </c>
      <c r="N118" s="751">
        <f>IF(B45=3000,'OPER.-MAJOR SP. REV. (B)(57-59)'!I14,0)</f>
        <v>0</v>
      </c>
      <c r="O118" s="751">
        <f>IF(B45=4000,'OPER.-MAJOR SP. REV. (B)(57-59)'!I14,0)</f>
        <v>0</v>
      </c>
      <c r="P118" s="751">
        <f>IF(B45=8000,'OPER.-MAJOR SP. REV. (B)(57-59)'!I14,0)</f>
        <v>0</v>
      </c>
      <c r="R118" s="741">
        <v>420000</v>
      </c>
      <c r="S118" s="742">
        <v>100</v>
      </c>
      <c r="T118" s="751">
        <f>IF(B46=2000,'OPER.-MAJOR SP. REV. (B)(57-59)'!M14,0)</f>
        <v>0</v>
      </c>
      <c r="U118" s="751">
        <f>IF(B46=3000,'OPER.-MAJOR SP. REV. (B)(57-59)'!M14,0)</f>
        <v>0</v>
      </c>
      <c r="V118" s="751">
        <f>IF(B46=4000,'OPER.-MAJOR SP. REV. (B)(57-59)'!M14,0)</f>
        <v>0</v>
      </c>
      <c r="W118" s="751">
        <f>IF(B46=8000,'OPER.-MAJOR SP. REV. (B)(57-59)'!M14,0)</f>
        <v>0</v>
      </c>
      <c r="Y118" s="741">
        <v>420000</v>
      </c>
      <c r="Z118" s="742">
        <v>100</v>
      </c>
      <c r="AA118" s="751">
        <f>IF(B47=2000,'OPER.-MAJOR SP. REV. (B)(57-59)'!Q14,0)</f>
        <v>0</v>
      </c>
      <c r="AB118" s="751">
        <f>IF(B47=3000,'OPER.-MAJOR SP. REV. (B)(57-59)'!Q14,0)</f>
        <v>0</v>
      </c>
      <c r="AC118" s="751">
        <f>IF(B47=4000,'OPER.-MAJOR SP. REV. (B)(57-59)'!Q14,0)</f>
        <v>0</v>
      </c>
      <c r="AD118" s="751">
        <f>IF(B47=8000,'OPER.-MAJOR SP. REV. (B)(57-59)'!Q14,0)</f>
        <v>0</v>
      </c>
      <c r="AF118" s="741">
        <v>420000</v>
      </c>
      <c r="AG118" s="742">
        <v>100</v>
      </c>
      <c r="AH118" s="751">
        <f>IF(B48=2000,'OPER.-MAJOR SP. REV. (B)(57-59)'!U14,0)</f>
        <v>0</v>
      </c>
      <c r="AI118" s="751">
        <f>IF(B48=3000,'OPER.-MAJOR SP. REV. (B)(57-59)'!U14,0)</f>
        <v>0</v>
      </c>
      <c r="AJ118" s="751">
        <f>IF(B48=4000,'OPER.-MAJOR SP. REV. (B)(57-59)'!U14,0)</f>
        <v>0</v>
      </c>
      <c r="AK118" s="751">
        <f>IF(B48=8000,'OPER.-MAJOR SP. REV. (B)(57-59)'!U14,0)</f>
        <v>0</v>
      </c>
      <c r="AM118" s="741">
        <v>420000</v>
      </c>
      <c r="AN118" s="742">
        <v>100</v>
      </c>
      <c r="AO118" s="751">
        <f>IF(B49=2000,'OPER.-MAJOR SP. REV. (B)(57-59)'!Y14,0)</f>
        <v>0</v>
      </c>
      <c r="AP118" s="751">
        <f>IF(B49=3000,'OPER.-MAJOR SP. REV. (B)(57-59)'!Y14,0)</f>
        <v>0</v>
      </c>
      <c r="AQ118" s="751">
        <f>IF(B49=4000,'OPER.-MAJOR SP. REV. (B)(57-59)'!Y14,0)</f>
        <v>0</v>
      </c>
      <c r="AR118" s="751">
        <f>IF(B49=8000,'OPER.-MAJOR SP. REV. (B)(57-59)'!Y14,0)</f>
        <v>0</v>
      </c>
      <c r="AT118" s="741">
        <v>420000</v>
      </c>
      <c r="AU118" s="742">
        <v>100</v>
      </c>
      <c r="AV118" s="751">
        <f>IF(B50=2000,'OPER.-MAJOR SP. REV. (B)(57-59)'!AC14,0)</f>
        <v>0</v>
      </c>
      <c r="AW118" s="751">
        <f>IF(B50=3000,'OPER.-MAJOR SP. REV. (B)(57-59)'!AC14,0)</f>
        <v>0</v>
      </c>
      <c r="AX118" s="751">
        <f>IF(B50=4000,'OPER.-MAJOR SP. REV. (B)(57-59)'!AC14,0)</f>
        <v>0</v>
      </c>
      <c r="AY118" s="751">
        <f>IF(B50=8000,'OPER.-MAJOR SP. REV. (B)(57-59)'!AC14,0)</f>
        <v>0</v>
      </c>
      <c r="BA118" s="749">
        <v>420000</v>
      </c>
      <c r="BB118" s="750">
        <v>100</v>
      </c>
      <c r="BC118" s="751">
        <f t="shared" si="5"/>
        <v>0</v>
      </c>
      <c r="BD118" s="753">
        <f t="shared" si="6"/>
        <v>0</v>
      </c>
      <c r="BE118" s="753">
        <f t="shared" si="7"/>
        <v>0</v>
      </c>
      <c r="BF118" s="753">
        <f t="shared" si="8"/>
        <v>0</v>
      </c>
    </row>
    <row r="119" spans="4:58">
      <c r="D119" s="741">
        <v>420000</v>
      </c>
      <c r="E119" s="742">
        <v>200</v>
      </c>
      <c r="F119" s="751">
        <f>IF(B44=2000,'OPER.-MAJOR SP. REV. (B)(57-59)'!E15,0)</f>
        <v>0</v>
      </c>
      <c r="G119" s="751">
        <f>IF(B44=3000,'OPER.-MAJOR SP. REV. (B)(57-59)'!E15,0)</f>
        <v>0</v>
      </c>
      <c r="H119" s="751">
        <f>IF(B44=4000,'OPER.-MAJOR SP. REV. (B)(57-59)'!E15,0)</f>
        <v>0</v>
      </c>
      <c r="I119" s="751">
        <f>IF(B44=8000,'OPER.-MAJOR SP. REV. (B)(57-59)'!E15,0)</f>
        <v>0</v>
      </c>
      <c r="K119" s="741">
        <v>420000</v>
      </c>
      <c r="L119" s="742">
        <v>200</v>
      </c>
      <c r="M119" s="751">
        <f>IF(B45=2000,'OPER.-MAJOR SP. REV. (B)(57-59)'!I15,0)</f>
        <v>0</v>
      </c>
      <c r="N119" s="751">
        <f>IF(B45=3000,'OPER.-MAJOR SP. REV. (B)(57-59)'!I15,0)</f>
        <v>0</v>
      </c>
      <c r="O119" s="751">
        <f>IF(B45=4000,'OPER.-MAJOR SP. REV. (B)(57-59)'!I15,0)</f>
        <v>0</v>
      </c>
      <c r="P119" s="751">
        <f>IF(B45=8000,'OPER.-MAJOR SP. REV. (B)(57-59)'!I15,0)</f>
        <v>0</v>
      </c>
      <c r="R119" s="741">
        <v>420000</v>
      </c>
      <c r="S119" s="742">
        <v>200</v>
      </c>
      <c r="T119" s="751">
        <f>IF(B46=2000,'OPER.-MAJOR SP. REV. (B)(57-59)'!M15,0)</f>
        <v>0</v>
      </c>
      <c r="U119" s="751">
        <f>IF(B46=3000,'OPER.-MAJOR SP. REV. (B)(57-59)'!M15,0)</f>
        <v>0</v>
      </c>
      <c r="V119" s="751">
        <f>IF(B46=4000,'OPER.-MAJOR SP. REV. (B)(57-59)'!M15,0)</f>
        <v>0</v>
      </c>
      <c r="W119" s="751">
        <f>IF(B46=8000,'OPER.-MAJOR SP. REV. (B)(57-59)'!M15,0)</f>
        <v>0</v>
      </c>
      <c r="Y119" s="741">
        <v>420000</v>
      </c>
      <c r="Z119" s="742">
        <v>200</v>
      </c>
      <c r="AA119" s="751">
        <f>IF(B47=2000,'OPER.-MAJOR SP. REV. (B)(57-59)'!Q15,0)</f>
        <v>0</v>
      </c>
      <c r="AB119" s="751">
        <f>IF(B47=3000,'OPER.-MAJOR SP. REV. (B)(57-59)'!Q15,0)</f>
        <v>0</v>
      </c>
      <c r="AC119" s="751">
        <f>IF(B47=4000,'OPER.-MAJOR SP. REV. (B)(57-59)'!Q15,0)</f>
        <v>0</v>
      </c>
      <c r="AD119" s="751">
        <f>IF(B47=8000,'OPER.-MAJOR SP. REV. (B)(57-59)'!Q15,0)</f>
        <v>0</v>
      </c>
      <c r="AF119" s="741">
        <v>420000</v>
      </c>
      <c r="AG119" s="742">
        <v>200</v>
      </c>
      <c r="AH119" s="751">
        <f>IF(B48=2000,'OPER.-MAJOR SP. REV. (B)(57-59)'!U15,0)</f>
        <v>0</v>
      </c>
      <c r="AI119" s="751">
        <f>IF(B48=3000,'OPER.-MAJOR SP. REV. (B)(57-59)'!U15,0)</f>
        <v>0</v>
      </c>
      <c r="AJ119" s="751">
        <f>IF(B48=4000,'OPER.-MAJOR SP. REV. (B)(57-59)'!U15,0)</f>
        <v>0</v>
      </c>
      <c r="AK119" s="751">
        <f>IF(B48=8000,'OPER.-MAJOR SP. REV. (B)(57-59)'!U15,0)</f>
        <v>0</v>
      </c>
      <c r="AM119" s="741">
        <v>420000</v>
      </c>
      <c r="AN119" s="742">
        <v>200</v>
      </c>
      <c r="AO119" s="751">
        <f>IF(B49=2000,'OPER.-MAJOR SP. REV. (B)(57-59)'!Y15,0)</f>
        <v>0</v>
      </c>
      <c r="AP119" s="751">
        <f>IF(B49=3000,'OPER.-MAJOR SP. REV. (B)(57-59)'!Y15,0)</f>
        <v>0</v>
      </c>
      <c r="AQ119" s="751">
        <f>IF(B49=4000,'OPER.-MAJOR SP. REV. (B)(57-59)'!Y15,0)</f>
        <v>0</v>
      </c>
      <c r="AR119" s="751">
        <f>IF(B49=8000,'OPER.-MAJOR SP. REV. (B)(57-59)'!Y15,0)</f>
        <v>0</v>
      </c>
      <c r="AT119" s="741">
        <v>420000</v>
      </c>
      <c r="AU119" s="742">
        <v>200</v>
      </c>
      <c r="AV119" s="751">
        <f>IF(B50=2000,'OPER.-MAJOR SP. REV. (B)(57-59)'!AC15,0)</f>
        <v>0</v>
      </c>
      <c r="AW119" s="751">
        <f>IF(B50=3000,'OPER.-MAJOR SP. REV. (B)(57-59)'!AC15,0)</f>
        <v>0</v>
      </c>
      <c r="AX119" s="751">
        <f>IF(B50=4000,'OPER.-MAJOR SP. REV. (B)(57-59)'!AC15,0)</f>
        <v>0</v>
      </c>
      <c r="AY119" s="751">
        <f>IF(B50=8000,'OPER.-MAJOR SP. REV. (B)(57-59)'!AC15,0)</f>
        <v>0</v>
      </c>
      <c r="BA119" s="749">
        <v>420000</v>
      </c>
      <c r="BB119" s="750">
        <v>200</v>
      </c>
      <c r="BC119" s="751">
        <f t="shared" si="5"/>
        <v>0</v>
      </c>
      <c r="BD119" s="753">
        <f t="shared" si="6"/>
        <v>0</v>
      </c>
      <c r="BE119" s="753">
        <f t="shared" si="7"/>
        <v>0</v>
      </c>
      <c r="BF119" s="753">
        <f t="shared" si="8"/>
        <v>0</v>
      </c>
    </row>
    <row r="120" spans="4:58">
      <c r="D120" s="741">
        <v>420000</v>
      </c>
      <c r="E120" s="742">
        <v>610</v>
      </c>
      <c r="F120" s="751"/>
      <c r="G120" s="751"/>
      <c r="H120" s="751"/>
      <c r="I120" s="751"/>
      <c r="K120" s="741">
        <v>420000</v>
      </c>
      <c r="L120" s="742">
        <v>610</v>
      </c>
      <c r="M120" s="751"/>
      <c r="N120" s="751"/>
      <c r="O120" s="751"/>
      <c r="P120" s="751"/>
      <c r="R120" s="741">
        <v>420000</v>
      </c>
      <c r="S120" s="742">
        <v>610</v>
      </c>
      <c r="T120" s="751"/>
      <c r="U120" s="751"/>
      <c r="V120" s="751"/>
      <c r="W120" s="751"/>
      <c r="Y120" s="741">
        <v>420000</v>
      </c>
      <c r="Z120" s="742">
        <v>610</v>
      </c>
      <c r="AA120" s="751"/>
      <c r="AB120" s="751"/>
      <c r="AC120" s="751"/>
      <c r="AD120" s="751"/>
      <c r="AF120" s="741">
        <v>420000</v>
      </c>
      <c r="AG120" s="742">
        <v>610</v>
      </c>
      <c r="AH120" s="751"/>
      <c r="AI120" s="751"/>
      <c r="AJ120" s="751"/>
      <c r="AK120" s="751"/>
      <c r="AM120" s="741">
        <v>420000</v>
      </c>
      <c r="AN120" s="742">
        <v>610</v>
      </c>
      <c r="AO120" s="751"/>
      <c r="AP120" s="751"/>
      <c r="AQ120" s="751"/>
      <c r="AR120" s="751"/>
      <c r="AT120" s="741">
        <v>420000</v>
      </c>
      <c r="AU120" s="742">
        <v>610</v>
      </c>
      <c r="AV120" s="751"/>
      <c r="AW120" s="751"/>
      <c r="AX120" s="751"/>
      <c r="AY120" s="751"/>
      <c r="BA120" s="749">
        <v>420000</v>
      </c>
      <c r="BB120" s="750">
        <v>610</v>
      </c>
      <c r="BC120" s="751"/>
      <c r="BD120" s="753"/>
      <c r="BE120" s="753"/>
      <c r="BF120" s="753"/>
    </row>
    <row r="121" spans="4:58">
      <c r="D121" s="741">
        <v>420000</v>
      </c>
      <c r="E121" s="742">
        <v>620</v>
      </c>
      <c r="F121" s="751"/>
      <c r="G121" s="751"/>
      <c r="H121" s="751"/>
      <c r="I121" s="751"/>
      <c r="K121" s="741">
        <v>420000</v>
      </c>
      <c r="L121" s="742">
        <v>620</v>
      </c>
      <c r="M121" s="751"/>
      <c r="N121" s="751"/>
      <c r="O121" s="751"/>
      <c r="P121" s="751"/>
      <c r="R121" s="741">
        <v>420000</v>
      </c>
      <c r="S121" s="742">
        <v>620</v>
      </c>
      <c r="T121" s="751"/>
      <c r="U121" s="751"/>
      <c r="V121" s="751"/>
      <c r="W121" s="751"/>
      <c r="Y121" s="741">
        <v>420000</v>
      </c>
      <c r="Z121" s="742">
        <v>620</v>
      </c>
      <c r="AA121" s="751"/>
      <c r="AB121" s="751"/>
      <c r="AC121" s="751"/>
      <c r="AD121" s="751"/>
      <c r="AF121" s="741">
        <v>420000</v>
      </c>
      <c r="AG121" s="742">
        <v>620</v>
      </c>
      <c r="AH121" s="751"/>
      <c r="AI121" s="751"/>
      <c r="AJ121" s="751"/>
      <c r="AK121" s="751"/>
      <c r="AM121" s="741">
        <v>420000</v>
      </c>
      <c r="AN121" s="742">
        <v>620</v>
      </c>
      <c r="AO121" s="751"/>
      <c r="AP121" s="751"/>
      <c r="AQ121" s="751"/>
      <c r="AR121" s="751"/>
      <c r="AT121" s="741">
        <v>420000</v>
      </c>
      <c r="AU121" s="742">
        <v>620</v>
      </c>
      <c r="AV121" s="751"/>
      <c r="AW121" s="751"/>
      <c r="AX121" s="751"/>
      <c r="AY121" s="751"/>
      <c r="BA121" s="749">
        <v>420000</v>
      </c>
      <c r="BB121" s="750">
        <v>620</v>
      </c>
      <c r="BC121" s="751"/>
      <c r="BD121" s="753"/>
      <c r="BE121" s="753"/>
      <c r="BF121" s="753"/>
    </row>
    <row r="122" spans="4:58">
      <c r="D122" s="741">
        <v>420000</v>
      </c>
      <c r="E122" s="742">
        <v>900</v>
      </c>
      <c r="F122" s="751"/>
      <c r="G122" s="751"/>
      <c r="H122" s="751"/>
      <c r="I122" s="751"/>
      <c r="K122" s="741">
        <v>420000</v>
      </c>
      <c r="L122" s="742">
        <v>900</v>
      </c>
      <c r="M122" s="751"/>
      <c r="N122" s="751"/>
      <c r="O122" s="751"/>
      <c r="P122" s="751"/>
      <c r="R122" s="741">
        <v>420000</v>
      </c>
      <c r="S122" s="742">
        <v>900</v>
      </c>
      <c r="T122" s="751"/>
      <c r="U122" s="751"/>
      <c r="V122" s="751"/>
      <c r="W122" s="751"/>
      <c r="Y122" s="741">
        <v>420000</v>
      </c>
      <c r="Z122" s="742">
        <v>900</v>
      </c>
      <c r="AA122" s="751"/>
      <c r="AB122" s="751"/>
      <c r="AC122" s="751"/>
      <c r="AD122" s="751"/>
      <c r="AF122" s="741">
        <v>420000</v>
      </c>
      <c r="AG122" s="742">
        <v>900</v>
      </c>
      <c r="AH122" s="751"/>
      <c r="AI122" s="751"/>
      <c r="AJ122" s="751"/>
      <c r="AK122" s="751"/>
      <c r="AM122" s="741">
        <v>420000</v>
      </c>
      <c r="AN122" s="742">
        <v>900</v>
      </c>
      <c r="AO122" s="751"/>
      <c r="AP122" s="751"/>
      <c r="AQ122" s="751"/>
      <c r="AR122" s="751"/>
      <c r="AT122" s="741">
        <v>420000</v>
      </c>
      <c r="AU122" s="742">
        <v>900</v>
      </c>
      <c r="AV122" s="751"/>
      <c r="AW122" s="751"/>
      <c r="AX122" s="751"/>
      <c r="AY122" s="751"/>
      <c r="BA122" s="749">
        <v>420000</v>
      </c>
      <c r="BB122" s="750">
        <v>900</v>
      </c>
      <c r="BC122" s="751"/>
      <c r="BD122" s="753"/>
      <c r="BE122" s="753"/>
      <c r="BF122" s="753"/>
    </row>
    <row r="123" spans="4:58">
      <c r="D123" s="741">
        <v>430000</v>
      </c>
      <c r="E123" s="742">
        <v>100</v>
      </c>
      <c r="F123" s="751">
        <f>IF(B44=2000,'OPER.-MAJOR SP. REV. (B)(57-59)'!E17,0)</f>
        <v>0</v>
      </c>
      <c r="G123" s="751">
        <f>IF(B44=3000,'OPER.-MAJOR SP. REV. (B)(57-59)'!E17,0)</f>
        <v>0</v>
      </c>
      <c r="H123" s="751">
        <f>IF(B44=4000,'OPER.-MAJOR SP. REV. (B)(57-59)'!E17,0)</f>
        <v>0</v>
      </c>
      <c r="I123" s="751">
        <f>IF(B44=8000,'OPER.-MAJOR SP. REV. (B)(57-59)'!E17,0)</f>
        <v>0</v>
      </c>
      <c r="K123" s="741">
        <v>430000</v>
      </c>
      <c r="L123" s="742">
        <v>100</v>
      </c>
      <c r="M123" s="751">
        <f>IF(B45=2000,'OPER.-MAJOR SP. REV. (B)(57-59)'!I17,0)</f>
        <v>55803.97</v>
      </c>
      <c r="N123" s="751">
        <f>IF(B45=3000,'OPER.-MAJOR SP. REV. (B)(57-59)'!I17,0)</f>
        <v>0</v>
      </c>
      <c r="O123" s="751">
        <f>IF(B45=4000,'OPER.-MAJOR SP. REV. (B)(57-59)'!I17,0)</f>
        <v>0</v>
      </c>
      <c r="P123" s="751">
        <f>IF(B45=8000,'OPER.-MAJOR SP. REV. (B)(57-59)'!I17,0)</f>
        <v>0</v>
      </c>
      <c r="R123" s="741">
        <v>430000</v>
      </c>
      <c r="S123" s="742">
        <v>100</v>
      </c>
      <c r="T123" s="751">
        <f>IF(B46=2000,'OPER.-MAJOR SP. REV. (B)(57-59)'!M17,0)</f>
        <v>0</v>
      </c>
      <c r="U123" s="751">
        <f>IF(B46=3000,'OPER.-MAJOR SP. REV. (B)(57-59)'!M17,0)</f>
        <v>0</v>
      </c>
      <c r="V123" s="751">
        <f>IF(B46=4000,'OPER.-MAJOR SP. REV. (B)(57-59)'!M17,0)</f>
        <v>0</v>
      </c>
      <c r="W123" s="751">
        <f>IF(B46=8000,'OPER.-MAJOR SP. REV. (B)(57-59)'!M17,0)</f>
        <v>0</v>
      </c>
      <c r="Y123" s="741">
        <v>430000</v>
      </c>
      <c r="Z123" s="742">
        <v>100</v>
      </c>
      <c r="AA123" s="751">
        <f>IF(B47=2000,'OPER.-MAJOR SP. REV. (B)(57-59)'!Q17,0)</f>
        <v>0</v>
      </c>
      <c r="AB123" s="751">
        <f>IF(B47=3000,'OPER.-MAJOR SP. REV. (B)(57-59)'!Q17,0)</f>
        <v>0</v>
      </c>
      <c r="AC123" s="751">
        <f>IF(B47=4000,'OPER.-MAJOR SP. REV. (B)(57-59)'!Q17,0)</f>
        <v>0</v>
      </c>
      <c r="AD123" s="751">
        <f>IF(B47=8000,'OPER.-MAJOR SP. REV. (B)(57-59)'!Q17,0)</f>
        <v>0</v>
      </c>
      <c r="AF123" s="741">
        <v>430000</v>
      </c>
      <c r="AG123" s="742">
        <v>100</v>
      </c>
      <c r="AH123" s="751">
        <f>IF(B48=2000,'OPER.-MAJOR SP. REV. (B)(57-59)'!U17,0)</f>
        <v>0</v>
      </c>
      <c r="AI123" s="751">
        <f>IF(B48=3000,'OPER.-MAJOR SP. REV. (B)(57-59)'!U17,0)</f>
        <v>0</v>
      </c>
      <c r="AJ123" s="751">
        <f>IF(B48=4000,'OPER.-MAJOR SP. REV. (B)(57-59)'!U17,0)</f>
        <v>0</v>
      </c>
      <c r="AK123" s="751">
        <f>IF(B48=8000,'OPER.-MAJOR SP. REV. (B)(57-59)'!U17,0)</f>
        <v>0</v>
      </c>
      <c r="AM123" s="741">
        <v>430000</v>
      </c>
      <c r="AN123" s="742">
        <v>100</v>
      </c>
      <c r="AO123" s="751">
        <f>IF(B49=2000,'OPER.-MAJOR SP. REV. (B)(57-59)'!Y17,0)</f>
        <v>0</v>
      </c>
      <c r="AP123" s="751">
        <f>IF(B49=3000,'OPER.-MAJOR SP. REV. (B)(57-59)'!Y17,0)</f>
        <v>0</v>
      </c>
      <c r="AQ123" s="751">
        <f>IF(B49=4000,'OPER.-MAJOR SP. REV. (B)(57-59)'!Y17,0)</f>
        <v>0</v>
      </c>
      <c r="AR123" s="751">
        <f>IF(B49=8000,'OPER.-MAJOR SP. REV. (B)(57-59)'!Y17,0)</f>
        <v>0</v>
      </c>
      <c r="AT123" s="741">
        <v>430000</v>
      </c>
      <c r="AU123" s="742">
        <v>100</v>
      </c>
      <c r="AV123" s="751">
        <f>IF(B50=2000,'OPER.-MAJOR SP. REV. (B)(57-59)'!AC17,0)</f>
        <v>0</v>
      </c>
      <c r="AW123" s="751">
        <f>IF(B50=3000,'OPER.-MAJOR SP. REV. (B)(57-59)'!AC17,0)</f>
        <v>0</v>
      </c>
      <c r="AX123" s="751">
        <f>IF(B50=4000,'OPER.-MAJOR SP. REV. (B)(57-59)'!AC17,0)</f>
        <v>0</v>
      </c>
      <c r="AY123" s="751">
        <f>IF(B50=8000,'OPER.-MAJOR SP. REV. (B)(57-59)'!AC17,0)</f>
        <v>0</v>
      </c>
      <c r="BA123" s="749">
        <v>430000</v>
      </c>
      <c r="BB123" s="750">
        <v>100</v>
      </c>
      <c r="BC123" s="751">
        <f t="shared" si="5"/>
        <v>55803.97</v>
      </c>
      <c r="BD123" s="753">
        <f t="shared" si="6"/>
        <v>0</v>
      </c>
      <c r="BE123" s="753">
        <f t="shared" si="7"/>
        <v>0</v>
      </c>
      <c r="BF123" s="753">
        <f t="shared" si="8"/>
        <v>0</v>
      </c>
    </row>
    <row r="124" spans="4:58">
      <c r="D124" s="741">
        <v>430000</v>
      </c>
      <c r="E124" s="742">
        <v>200</v>
      </c>
      <c r="F124" s="751">
        <f>IF(B44=2000,'OPER.-MAJOR SP. REV. (B)(57-59)'!E18,0)</f>
        <v>0</v>
      </c>
      <c r="G124" s="751">
        <f>IF(B44=3000,'OPER.-MAJOR SP. REV. (B)(57-59)'!E18,0)</f>
        <v>0</v>
      </c>
      <c r="H124" s="751">
        <f>IF(B44=4000,'OPER.-MAJOR SP. REV. (B)(57-59)'!E18,0)</f>
        <v>0</v>
      </c>
      <c r="I124" s="751">
        <f>IF(B44=8000,'OPER.-MAJOR SP. REV. (B)(57-59)'!E18,0)</f>
        <v>0</v>
      </c>
      <c r="K124" s="741">
        <v>430000</v>
      </c>
      <c r="L124" s="742">
        <v>200</v>
      </c>
      <c r="M124" s="751">
        <f>IF(B45=2000,'OPER.-MAJOR SP. REV. (B)(57-59)'!I18,0)</f>
        <v>14020</v>
      </c>
      <c r="N124" s="751">
        <f>IF(B45=3000,'OPER.-MAJOR SP. REV. (B)(57-59)'!I18,0)</f>
        <v>0</v>
      </c>
      <c r="O124" s="751">
        <f>IF(B45=4000,'OPER.-MAJOR SP. REV. (B)(57-59)'!I18,0)</f>
        <v>0</v>
      </c>
      <c r="P124" s="751">
        <f>IF(B45=8000,'OPER.-MAJOR SP. REV. (B)(57-59)'!I18,0)</f>
        <v>0</v>
      </c>
      <c r="R124" s="741">
        <v>430000</v>
      </c>
      <c r="S124" s="742">
        <v>200</v>
      </c>
      <c r="T124" s="751">
        <f>IF(B46=2000,'OPER.-MAJOR SP. REV. (B)(57-59)'!M18,0)</f>
        <v>15620.19</v>
      </c>
      <c r="U124" s="751">
        <f>IF(B46=3000,'OPER.-MAJOR SP. REV. (B)(57-59)'!M18,0)</f>
        <v>0</v>
      </c>
      <c r="V124" s="751">
        <f>IF(B46=4000,'OPER.-MAJOR SP. REV. (B)(57-59)'!M18,0)</f>
        <v>0</v>
      </c>
      <c r="W124" s="751">
        <f>IF(B46=8000,'OPER.-MAJOR SP. REV. (B)(57-59)'!M18,0)</f>
        <v>0</v>
      </c>
      <c r="Y124" s="741">
        <v>430000</v>
      </c>
      <c r="Z124" s="742">
        <v>200</v>
      </c>
      <c r="AA124" s="751">
        <f>IF(B47=2000,'OPER.-MAJOR SP. REV. (B)(57-59)'!Q18,0)</f>
        <v>0</v>
      </c>
      <c r="AB124" s="751">
        <f>IF(B47=3000,'OPER.-MAJOR SP. REV. (B)(57-59)'!Q18,0)</f>
        <v>0</v>
      </c>
      <c r="AC124" s="751">
        <f>IF(B47=4000,'OPER.-MAJOR SP. REV. (B)(57-59)'!Q18,0)</f>
        <v>0</v>
      </c>
      <c r="AD124" s="751">
        <f>IF(B47=8000,'OPER.-MAJOR SP. REV. (B)(57-59)'!Q18,0)</f>
        <v>0</v>
      </c>
      <c r="AF124" s="741">
        <v>430000</v>
      </c>
      <c r="AG124" s="742">
        <v>200</v>
      </c>
      <c r="AH124" s="751">
        <f>IF(B48=2000,'OPER.-MAJOR SP. REV. (B)(57-59)'!U18,0)</f>
        <v>0</v>
      </c>
      <c r="AI124" s="751">
        <f>IF(B48=3000,'OPER.-MAJOR SP. REV. (B)(57-59)'!U18,0)</f>
        <v>0</v>
      </c>
      <c r="AJ124" s="751">
        <f>IF(B48=4000,'OPER.-MAJOR SP. REV. (B)(57-59)'!U18,0)</f>
        <v>0</v>
      </c>
      <c r="AK124" s="751">
        <f>IF(B48=8000,'OPER.-MAJOR SP. REV. (B)(57-59)'!U18,0)</f>
        <v>0</v>
      </c>
      <c r="AM124" s="741">
        <v>430000</v>
      </c>
      <c r="AN124" s="742">
        <v>200</v>
      </c>
      <c r="AO124" s="751">
        <f>IF(B49=2000,'OPER.-MAJOR SP. REV. (B)(57-59)'!Y18,0)</f>
        <v>0</v>
      </c>
      <c r="AP124" s="751">
        <f>IF(B49=3000,'OPER.-MAJOR SP. REV. (B)(57-59)'!Y18,0)</f>
        <v>0</v>
      </c>
      <c r="AQ124" s="751">
        <f>IF(B49=4000,'OPER.-MAJOR SP. REV. (B)(57-59)'!Y18,0)</f>
        <v>0</v>
      </c>
      <c r="AR124" s="751">
        <f>IF(B49=8000,'OPER.-MAJOR SP. REV. (B)(57-59)'!Y18,0)</f>
        <v>0</v>
      </c>
      <c r="AT124" s="741">
        <v>430000</v>
      </c>
      <c r="AU124" s="742">
        <v>200</v>
      </c>
      <c r="AV124" s="751">
        <f>IF(B50=2000,'OPER.-MAJOR SP. REV. (B)(57-59)'!AC18,0)</f>
        <v>0</v>
      </c>
      <c r="AW124" s="751">
        <f>IF(B50=3000,'OPER.-MAJOR SP. REV. (B)(57-59)'!AC18,0)</f>
        <v>0</v>
      </c>
      <c r="AX124" s="751">
        <f>IF(B50=4000,'OPER.-MAJOR SP. REV. (B)(57-59)'!AC18,0)</f>
        <v>0</v>
      </c>
      <c r="AY124" s="751">
        <f>IF(B50=8000,'OPER.-MAJOR SP. REV. (B)(57-59)'!AC18,0)</f>
        <v>0</v>
      </c>
      <c r="BA124" s="749">
        <v>430000</v>
      </c>
      <c r="BB124" s="750">
        <v>200</v>
      </c>
      <c r="BC124" s="751">
        <f t="shared" si="5"/>
        <v>29640.190000000002</v>
      </c>
      <c r="BD124" s="753">
        <f t="shared" si="6"/>
        <v>0</v>
      </c>
      <c r="BE124" s="753">
        <f t="shared" si="7"/>
        <v>0</v>
      </c>
      <c r="BF124" s="753">
        <f t="shared" si="8"/>
        <v>0</v>
      </c>
    </row>
    <row r="125" spans="4:58">
      <c r="D125" s="741">
        <v>430000</v>
      </c>
      <c r="E125" s="742">
        <v>610</v>
      </c>
      <c r="F125" s="751"/>
      <c r="G125" s="751"/>
      <c r="H125" s="751"/>
      <c r="I125" s="751"/>
      <c r="K125" s="741">
        <v>430000</v>
      </c>
      <c r="L125" s="742">
        <v>610</v>
      </c>
      <c r="M125" s="751"/>
      <c r="N125" s="751"/>
      <c r="O125" s="751"/>
      <c r="P125" s="751"/>
      <c r="R125" s="741">
        <v>430000</v>
      </c>
      <c r="S125" s="742">
        <v>610</v>
      </c>
      <c r="T125" s="751"/>
      <c r="U125" s="751"/>
      <c r="V125" s="751"/>
      <c r="W125" s="751"/>
      <c r="Y125" s="741">
        <v>430000</v>
      </c>
      <c r="Z125" s="742">
        <v>610</v>
      </c>
      <c r="AA125" s="751"/>
      <c r="AB125" s="751"/>
      <c r="AC125" s="751"/>
      <c r="AD125" s="751"/>
      <c r="AF125" s="741">
        <v>430000</v>
      </c>
      <c r="AG125" s="742">
        <v>610</v>
      </c>
      <c r="AH125" s="751"/>
      <c r="AI125" s="751"/>
      <c r="AJ125" s="751"/>
      <c r="AK125" s="751"/>
      <c r="AM125" s="741">
        <v>430000</v>
      </c>
      <c r="AN125" s="742">
        <v>610</v>
      </c>
      <c r="AO125" s="751"/>
      <c r="AP125" s="751"/>
      <c r="AQ125" s="751"/>
      <c r="AR125" s="751"/>
      <c r="AT125" s="741">
        <v>430000</v>
      </c>
      <c r="AU125" s="742">
        <v>610</v>
      </c>
      <c r="AV125" s="751"/>
      <c r="AW125" s="751"/>
      <c r="AX125" s="751"/>
      <c r="AY125" s="751"/>
      <c r="BA125" s="749">
        <v>430000</v>
      </c>
      <c r="BB125" s="750">
        <v>610</v>
      </c>
      <c r="BC125" s="751"/>
      <c r="BD125" s="753"/>
      <c r="BE125" s="753"/>
      <c r="BF125" s="753"/>
    </row>
    <row r="126" spans="4:58">
      <c r="D126" s="741">
        <v>430000</v>
      </c>
      <c r="E126" s="742">
        <v>620</v>
      </c>
      <c r="F126" s="751"/>
      <c r="G126" s="751"/>
      <c r="H126" s="751"/>
      <c r="I126" s="751"/>
      <c r="K126" s="741">
        <v>430000</v>
      </c>
      <c r="L126" s="742">
        <v>620</v>
      </c>
      <c r="M126" s="751"/>
      <c r="N126" s="751"/>
      <c r="O126" s="751"/>
      <c r="P126" s="751"/>
      <c r="R126" s="741">
        <v>430000</v>
      </c>
      <c r="S126" s="742">
        <v>620</v>
      </c>
      <c r="T126" s="751"/>
      <c r="U126" s="751"/>
      <c r="V126" s="751"/>
      <c r="W126" s="751"/>
      <c r="Y126" s="741">
        <v>430000</v>
      </c>
      <c r="Z126" s="742">
        <v>620</v>
      </c>
      <c r="AA126" s="751"/>
      <c r="AB126" s="751"/>
      <c r="AC126" s="751"/>
      <c r="AD126" s="751"/>
      <c r="AF126" s="741">
        <v>430000</v>
      </c>
      <c r="AG126" s="742">
        <v>620</v>
      </c>
      <c r="AH126" s="751"/>
      <c r="AI126" s="751"/>
      <c r="AJ126" s="751"/>
      <c r="AK126" s="751"/>
      <c r="AM126" s="741">
        <v>430000</v>
      </c>
      <c r="AN126" s="742">
        <v>620</v>
      </c>
      <c r="AO126" s="751"/>
      <c r="AP126" s="751"/>
      <c r="AQ126" s="751"/>
      <c r="AR126" s="751"/>
      <c r="AT126" s="741">
        <v>430000</v>
      </c>
      <c r="AU126" s="742">
        <v>620</v>
      </c>
      <c r="AV126" s="751"/>
      <c r="AW126" s="751"/>
      <c r="AX126" s="751"/>
      <c r="AY126" s="751"/>
      <c r="BA126" s="749">
        <v>430000</v>
      </c>
      <c r="BB126" s="750">
        <v>620</v>
      </c>
      <c r="BC126" s="751"/>
      <c r="BD126" s="753"/>
      <c r="BE126" s="753"/>
      <c r="BF126" s="753"/>
    </row>
    <row r="127" spans="4:58">
      <c r="D127" s="741">
        <v>430000</v>
      </c>
      <c r="E127" s="742">
        <v>900</v>
      </c>
      <c r="F127" s="751"/>
      <c r="G127" s="751"/>
      <c r="H127" s="751"/>
      <c r="I127" s="751"/>
      <c r="K127" s="741">
        <v>430000</v>
      </c>
      <c r="L127" s="742">
        <v>900</v>
      </c>
      <c r="M127" s="751"/>
      <c r="N127" s="751"/>
      <c r="O127" s="751"/>
      <c r="P127" s="751"/>
      <c r="R127" s="741">
        <v>430000</v>
      </c>
      <c r="S127" s="742">
        <v>900</v>
      </c>
      <c r="T127" s="751"/>
      <c r="U127" s="751"/>
      <c r="V127" s="751"/>
      <c r="W127" s="751"/>
      <c r="Y127" s="741">
        <v>430000</v>
      </c>
      <c r="Z127" s="742">
        <v>900</v>
      </c>
      <c r="AA127" s="751"/>
      <c r="AB127" s="751"/>
      <c r="AC127" s="751"/>
      <c r="AD127" s="751"/>
      <c r="AF127" s="741">
        <v>430000</v>
      </c>
      <c r="AG127" s="742">
        <v>900</v>
      </c>
      <c r="AH127" s="751"/>
      <c r="AI127" s="751"/>
      <c r="AJ127" s="751"/>
      <c r="AK127" s="751"/>
      <c r="AM127" s="741">
        <v>430000</v>
      </c>
      <c r="AN127" s="742">
        <v>900</v>
      </c>
      <c r="AO127" s="751"/>
      <c r="AP127" s="751"/>
      <c r="AQ127" s="751"/>
      <c r="AR127" s="751"/>
      <c r="AT127" s="741">
        <v>430000</v>
      </c>
      <c r="AU127" s="742">
        <v>900</v>
      </c>
      <c r="AV127" s="751"/>
      <c r="AW127" s="751"/>
      <c r="AX127" s="751"/>
      <c r="AY127" s="751"/>
      <c r="BA127" s="749">
        <v>430000</v>
      </c>
      <c r="BB127" s="750">
        <v>900</v>
      </c>
      <c r="BC127" s="751"/>
      <c r="BD127" s="753"/>
      <c r="BE127" s="753"/>
      <c r="BF127" s="753"/>
    </row>
    <row r="128" spans="4:58">
      <c r="D128" s="741">
        <v>440000</v>
      </c>
      <c r="E128" s="742">
        <v>100</v>
      </c>
      <c r="F128" s="751">
        <f>IF(B44=2000,'OPER.-MAJOR SP. REV. (B)(57-59)'!E20,0)</f>
        <v>0</v>
      </c>
      <c r="G128" s="751">
        <f>IF(B44=3000,'OPER.-MAJOR SP. REV. (B)(57-59)'!E20,0)</f>
        <v>0</v>
      </c>
      <c r="H128" s="751">
        <f>IF(B44=4000,'OPER.-MAJOR SP. REV. (B)(57-59)'!E20,0)</f>
        <v>0</v>
      </c>
      <c r="I128" s="751">
        <f>IF(B44=8000,'OPER.-MAJOR SP. REV. (B)(57-59)'!E20,0)</f>
        <v>0</v>
      </c>
      <c r="K128" s="741">
        <v>440000</v>
      </c>
      <c r="L128" s="742">
        <v>100</v>
      </c>
      <c r="M128" s="751">
        <f>IF(B45=2000,'OPER.-MAJOR SP. REV. (B)(57-59)'!I20,0)</f>
        <v>0</v>
      </c>
      <c r="N128" s="751">
        <f>IF(B45=3000,'OPER.-MAJOR SP. REV. (B)(57-59)'!I20,0)</f>
        <v>0</v>
      </c>
      <c r="O128" s="751">
        <f>IF(B45=4000,'OPER.-MAJOR SP. REV. (B)(57-59)'!I20,0)</f>
        <v>0</v>
      </c>
      <c r="P128" s="751">
        <f>IF(B45=8000,'OPER.-MAJOR SP. REV. (B)(57-59)'!I20,0)</f>
        <v>0</v>
      </c>
      <c r="R128" s="741">
        <v>440000</v>
      </c>
      <c r="S128" s="742">
        <v>100</v>
      </c>
      <c r="T128" s="751">
        <f>IF(B46=2000,'OPER.-MAJOR SP. REV. (B)(57-59)'!M20,0)</f>
        <v>0</v>
      </c>
      <c r="U128" s="751">
        <f>IF(B46=3000,'OPER.-MAJOR SP. REV. (B)(57-59)'!M20,0)</f>
        <v>0</v>
      </c>
      <c r="V128" s="751">
        <f>IF(B46=4000,'OPER.-MAJOR SP. REV. (B)(57-59)'!M20,0)</f>
        <v>0</v>
      </c>
      <c r="W128" s="751">
        <f>IF(B46=8000,'OPER.-MAJOR SP. REV. (B)(57-59)'!M20,0)</f>
        <v>0</v>
      </c>
      <c r="Y128" s="741">
        <v>440000</v>
      </c>
      <c r="Z128" s="742">
        <v>100</v>
      </c>
      <c r="AA128" s="751">
        <f>IF(B47=2000,'OPER.-MAJOR SP. REV. (B)(57-59)'!Q20,0)</f>
        <v>0</v>
      </c>
      <c r="AB128" s="751">
        <f>IF(B47=3000,'OPER.-MAJOR SP. REV. (B)(57-59)'!Q20,0)</f>
        <v>0</v>
      </c>
      <c r="AC128" s="751">
        <f>IF(B47=4000,'OPER.-MAJOR SP. REV. (B)(57-59)'!Q20,0)</f>
        <v>0</v>
      </c>
      <c r="AD128" s="751">
        <f>IF(B47=8000,'OPER.-MAJOR SP. REV. (B)(57-59)'!Q20,0)</f>
        <v>0</v>
      </c>
      <c r="AF128" s="741">
        <v>440000</v>
      </c>
      <c r="AG128" s="742">
        <v>100</v>
      </c>
      <c r="AH128" s="751">
        <f>IF(B48=2000,'OPER.-MAJOR SP. REV. (B)(57-59)'!U20,0)</f>
        <v>0</v>
      </c>
      <c r="AI128" s="751">
        <f>IF(B48=3000,'OPER.-MAJOR SP. REV. (B)(57-59)'!U20,0)</f>
        <v>0</v>
      </c>
      <c r="AJ128" s="751">
        <f>IF(B48=4000,'OPER.-MAJOR SP. REV. (B)(57-59)'!U20,0)</f>
        <v>0</v>
      </c>
      <c r="AK128" s="751">
        <f>IF(B48=8000,'OPER.-MAJOR SP. REV. (B)(57-59)'!U20,0)</f>
        <v>0</v>
      </c>
      <c r="AM128" s="741">
        <v>440000</v>
      </c>
      <c r="AN128" s="742">
        <v>100</v>
      </c>
      <c r="AO128" s="751">
        <f>IF(B49=2000,'OPER.-MAJOR SP. REV. (B)(57-59)'!Y20,0)</f>
        <v>0</v>
      </c>
      <c r="AP128" s="751">
        <f>IF(B49=3000,'OPER.-MAJOR SP. REV. (B)(57-59)'!Y20,0)</f>
        <v>0</v>
      </c>
      <c r="AQ128" s="751">
        <f>IF(B49=4000,'OPER.-MAJOR SP. REV. (B)(57-59)'!Y20,0)</f>
        <v>0</v>
      </c>
      <c r="AR128" s="751">
        <f>IF(B49=8000,'OPER.-MAJOR SP. REV. (B)(57-59)'!Y20,0)</f>
        <v>0</v>
      </c>
      <c r="AT128" s="741">
        <v>440000</v>
      </c>
      <c r="AU128" s="742">
        <v>100</v>
      </c>
      <c r="AV128" s="751">
        <f>IF(B50=2000,'OPER.-MAJOR SP. REV. (B)(57-59)'!AC20,0)</f>
        <v>0</v>
      </c>
      <c r="AW128" s="751">
        <f>IF(B50=3000,'OPER.-MAJOR SP. REV. (B)(57-59)'!AC20,0)</f>
        <v>0</v>
      </c>
      <c r="AX128" s="751">
        <f>IF(B50=4000,'OPER.-MAJOR SP. REV. (B)(57-59)'!AC20,0)</f>
        <v>0</v>
      </c>
      <c r="AY128" s="751">
        <f>IF(B50=8000,'OPER.-MAJOR SP. REV. (B)(57-59)'!AC20,0)</f>
        <v>0</v>
      </c>
      <c r="BA128" s="749">
        <v>440000</v>
      </c>
      <c r="BB128" s="750">
        <v>100</v>
      </c>
      <c r="BC128" s="751">
        <f t="shared" si="5"/>
        <v>0</v>
      </c>
      <c r="BD128" s="753">
        <f t="shared" si="6"/>
        <v>0</v>
      </c>
      <c r="BE128" s="753">
        <f t="shared" si="7"/>
        <v>0</v>
      </c>
      <c r="BF128" s="753">
        <f t="shared" si="8"/>
        <v>0</v>
      </c>
    </row>
    <row r="129" spans="4:58">
      <c r="D129" s="741">
        <v>440000</v>
      </c>
      <c r="E129" s="742">
        <v>200</v>
      </c>
      <c r="F129" s="751">
        <f>IF(B44=2000,'OPER.-MAJOR SP. REV. (B)(57-59)'!E21,0)</f>
        <v>0</v>
      </c>
      <c r="G129" s="751">
        <f>IF(B44=3000,'OPER.-MAJOR SP. REV. (B)(57-59)'!E21,0)</f>
        <v>0</v>
      </c>
      <c r="H129" s="751">
        <f>IF(B44=4000,'OPER.-MAJOR SP. REV. (B)(57-59)'!E21,0)</f>
        <v>0</v>
      </c>
      <c r="I129" s="751">
        <f>IF(B44=8000,'OPER.-MAJOR SP. REV. (B)(57-59)'!E21,0)</f>
        <v>0</v>
      </c>
      <c r="K129" s="741">
        <v>440000</v>
      </c>
      <c r="L129" s="742">
        <v>200</v>
      </c>
      <c r="M129" s="751">
        <f>IF(B45=2000,'OPER.-MAJOR SP. REV. (B)(57-59)'!I21,0)</f>
        <v>0</v>
      </c>
      <c r="N129" s="751">
        <f>IF(B45=3000,'OPER.-MAJOR SP. REV. (B)(57-59)'!I21,0)</f>
        <v>0</v>
      </c>
      <c r="O129" s="751">
        <f>IF(B45=4000,'OPER.-MAJOR SP. REV. (B)(57-59)'!I21,0)</f>
        <v>0</v>
      </c>
      <c r="P129" s="751">
        <f>IF(B45=8000,'OPER.-MAJOR SP. REV. (B)(57-59)'!I21,0)</f>
        <v>0</v>
      </c>
      <c r="R129" s="741">
        <v>440000</v>
      </c>
      <c r="S129" s="742">
        <v>200</v>
      </c>
      <c r="T129" s="751">
        <f>IF(B46=2000,'OPER.-MAJOR SP. REV. (B)(57-59)'!M21,0)</f>
        <v>0</v>
      </c>
      <c r="U129" s="751">
        <f>IF(B46=3000,'OPER.-MAJOR SP. REV. (B)(57-59)'!M21,0)</f>
        <v>0</v>
      </c>
      <c r="V129" s="751">
        <f>IF(B46=4000,'OPER.-MAJOR SP. REV. (B)(57-59)'!M21,0)</f>
        <v>0</v>
      </c>
      <c r="W129" s="751">
        <f>IF(B46=8000,'OPER.-MAJOR SP. REV. (B)(57-59)'!M21,0)</f>
        <v>0</v>
      </c>
      <c r="Y129" s="741">
        <v>440000</v>
      </c>
      <c r="Z129" s="742">
        <v>200</v>
      </c>
      <c r="AA129" s="751">
        <f>IF(B47=2000,'OPER.-MAJOR SP. REV. (B)(57-59)'!Q21,0)</f>
        <v>0</v>
      </c>
      <c r="AB129" s="751">
        <f>IF(B47=3000,'OPER.-MAJOR SP. REV. (B)(57-59)'!Q21,0)</f>
        <v>0</v>
      </c>
      <c r="AC129" s="751">
        <f>IF(B47=4000,'OPER.-MAJOR SP. REV. (B)(57-59)'!Q21,0)</f>
        <v>0</v>
      </c>
      <c r="AD129" s="751">
        <f>IF(B47=8000,'OPER.-MAJOR SP. REV. (B)(57-59)'!Q21,0)</f>
        <v>0</v>
      </c>
      <c r="AF129" s="741">
        <v>440000</v>
      </c>
      <c r="AG129" s="742">
        <v>200</v>
      </c>
      <c r="AH129" s="751">
        <f>IF(B48=2000,'OPER.-MAJOR SP. REV. (B)(57-59)'!U21,0)</f>
        <v>0</v>
      </c>
      <c r="AI129" s="751">
        <f>IF(B48=3000,'OPER.-MAJOR SP. REV. (B)(57-59)'!U21,0)</f>
        <v>0</v>
      </c>
      <c r="AJ129" s="751">
        <f>IF(B48=4000,'OPER.-MAJOR SP. REV. (B)(57-59)'!U21,0)</f>
        <v>0</v>
      </c>
      <c r="AK129" s="751">
        <f>IF(B48=8000,'OPER.-MAJOR SP. REV. (B)(57-59)'!U21,0)</f>
        <v>0</v>
      </c>
      <c r="AM129" s="741">
        <v>440000</v>
      </c>
      <c r="AN129" s="742">
        <v>200</v>
      </c>
      <c r="AO129" s="751">
        <f>IF(B49=2000,'OPER.-MAJOR SP. REV. (B)(57-59)'!Y21,0)</f>
        <v>0</v>
      </c>
      <c r="AP129" s="751">
        <f>IF(B49=3000,'OPER.-MAJOR SP. REV. (B)(57-59)'!Y21,0)</f>
        <v>0</v>
      </c>
      <c r="AQ129" s="751">
        <f>IF(B49=4000,'OPER.-MAJOR SP. REV. (B)(57-59)'!Y21,0)</f>
        <v>0</v>
      </c>
      <c r="AR129" s="751">
        <f>IF(B49=8000,'OPER.-MAJOR SP. REV. (B)(57-59)'!Y21,0)</f>
        <v>0</v>
      </c>
      <c r="AT129" s="741">
        <v>440000</v>
      </c>
      <c r="AU129" s="742">
        <v>200</v>
      </c>
      <c r="AV129" s="751">
        <f>IF(B50=2000,'OPER.-MAJOR SP. REV. (B)(57-59)'!AC21,0)</f>
        <v>0</v>
      </c>
      <c r="AW129" s="751">
        <f>IF(B50=3000,'OPER.-MAJOR SP. REV. (B)(57-59)'!AC21,0)</f>
        <v>0</v>
      </c>
      <c r="AX129" s="751">
        <f>IF(B50=4000,'OPER.-MAJOR SP. REV. (B)(57-59)'!AC21,0)</f>
        <v>0</v>
      </c>
      <c r="AY129" s="751">
        <f>IF(B50=8000,'OPER.-MAJOR SP. REV. (B)(57-59)'!AC21,0)</f>
        <v>0</v>
      </c>
      <c r="BA129" s="749">
        <v>440000</v>
      </c>
      <c r="BB129" s="750">
        <v>200</v>
      </c>
      <c r="BC129" s="751">
        <f t="shared" si="5"/>
        <v>0</v>
      </c>
      <c r="BD129" s="753">
        <f t="shared" si="6"/>
        <v>0</v>
      </c>
      <c r="BE129" s="753">
        <f t="shared" si="7"/>
        <v>0</v>
      </c>
      <c r="BF129" s="753">
        <f t="shared" si="8"/>
        <v>0</v>
      </c>
    </row>
    <row r="130" spans="4:58">
      <c r="D130" s="741">
        <v>440000</v>
      </c>
      <c r="E130" s="742">
        <v>610</v>
      </c>
      <c r="F130" s="751"/>
      <c r="G130" s="751"/>
      <c r="H130" s="751"/>
      <c r="I130" s="751"/>
      <c r="K130" s="741">
        <v>440000</v>
      </c>
      <c r="L130" s="742">
        <v>610</v>
      </c>
      <c r="M130" s="751"/>
      <c r="N130" s="751"/>
      <c r="O130" s="751"/>
      <c r="P130" s="751"/>
      <c r="R130" s="741">
        <v>440000</v>
      </c>
      <c r="S130" s="742">
        <v>610</v>
      </c>
      <c r="T130" s="751"/>
      <c r="U130" s="751"/>
      <c r="V130" s="751"/>
      <c r="W130" s="751"/>
      <c r="Y130" s="741">
        <v>440000</v>
      </c>
      <c r="Z130" s="742">
        <v>610</v>
      </c>
      <c r="AA130" s="751"/>
      <c r="AB130" s="751"/>
      <c r="AC130" s="751"/>
      <c r="AD130" s="751"/>
      <c r="AF130" s="741">
        <v>440000</v>
      </c>
      <c r="AG130" s="742">
        <v>610</v>
      </c>
      <c r="AH130" s="751"/>
      <c r="AI130" s="751"/>
      <c r="AJ130" s="751"/>
      <c r="AK130" s="751"/>
      <c r="AM130" s="741">
        <v>440000</v>
      </c>
      <c r="AN130" s="742">
        <v>610</v>
      </c>
      <c r="AO130" s="751"/>
      <c r="AP130" s="751"/>
      <c r="AQ130" s="751"/>
      <c r="AR130" s="751"/>
      <c r="AT130" s="741">
        <v>440000</v>
      </c>
      <c r="AU130" s="742">
        <v>610</v>
      </c>
      <c r="AV130" s="751"/>
      <c r="AW130" s="751"/>
      <c r="AX130" s="751"/>
      <c r="AY130" s="751"/>
      <c r="BA130" s="749">
        <v>440000</v>
      </c>
      <c r="BB130" s="750">
        <v>610</v>
      </c>
      <c r="BC130" s="751"/>
      <c r="BD130" s="753"/>
      <c r="BE130" s="753"/>
      <c r="BF130" s="753"/>
    </row>
    <row r="131" spans="4:58">
      <c r="D131" s="741">
        <v>440000</v>
      </c>
      <c r="E131" s="742">
        <v>620</v>
      </c>
      <c r="F131" s="751"/>
      <c r="G131" s="751"/>
      <c r="H131" s="751"/>
      <c r="I131" s="751"/>
      <c r="K131" s="741">
        <v>440000</v>
      </c>
      <c r="L131" s="742">
        <v>620</v>
      </c>
      <c r="M131" s="751"/>
      <c r="N131" s="751"/>
      <c r="O131" s="751"/>
      <c r="P131" s="751"/>
      <c r="R131" s="741">
        <v>440000</v>
      </c>
      <c r="S131" s="742">
        <v>620</v>
      </c>
      <c r="T131" s="751"/>
      <c r="U131" s="751"/>
      <c r="V131" s="751"/>
      <c r="W131" s="751"/>
      <c r="Y131" s="741">
        <v>440000</v>
      </c>
      <c r="Z131" s="742">
        <v>620</v>
      </c>
      <c r="AA131" s="751"/>
      <c r="AB131" s="751"/>
      <c r="AC131" s="751"/>
      <c r="AD131" s="751"/>
      <c r="AF131" s="741">
        <v>440000</v>
      </c>
      <c r="AG131" s="742">
        <v>620</v>
      </c>
      <c r="AH131" s="751"/>
      <c r="AI131" s="751"/>
      <c r="AJ131" s="751"/>
      <c r="AK131" s="751"/>
      <c r="AM131" s="741">
        <v>440000</v>
      </c>
      <c r="AN131" s="742">
        <v>620</v>
      </c>
      <c r="AO131" s="751"/>
      <c r="AP131" s="751"/>
      <c r="AQ131" s="751"/>
      <c r="AR131" s="751"/>
      <c r="AT131" s="741">
        <v>440000</v>
      </c>
      <c r="AU131" s="742">
        <v>620</v>
      </c>
      <c r="AV131" s="751"/>
      <c r="AW131" s="751"/>
      <c r="AX131" s="751"/>
      <c r="AY131" s="751"/>
      <c r="BA131" s="749">
        <v>440000</v>
      </c>
      <c r="BB131" s="750">
        <v>620</v>
      </c>
      <c r="BC131" s="751"/>
      <c r="BD131" s="753"/>
      <c r="BE131" s="753"/>
      <c r="BF131" s="753"/>
    </row>
    <row r="132" spans="4:58">
      <c r="D132" s="741">
        <v>440000</v>
      </c>
      <c r="E132" s="742">
        <v>900</v>
      </c>
      <c r="F132" s="751"/>
      <c r="G132" s="751"/>
      <c r="H132" s="751"/>
      <c r="I132" s="751"/>
      <c r="K132" s="741">
        <v>440000</v>
      </c>
      <c r="L132" s="742">
        <v>900</v>
      </c>
      <c r="M132" s="751"/>
      <c r="N132" s="751"/>
      <c r="O132" s="751"/>
      <c r="P132" s="751"/>
      <c r="R132" s="741">
        <v>440000</v>
      </c>
      <c r="S132" s="742">
        <v>900</v>
      </c>
      <c r="T132" s="751"/>
      <c r="U132" s="751"/>
      <c r="V132" s="751"/>
      <c r="W132" s="751"/>
      <c r="Y132" s="741">
        <v>440000</v>
      </c>
      <c r="Z132" s="742">
        <v>900</v>
      </c>
      <c r="AA132" s="751"/>
      <c r="AB132" s="751"/>
      <c r="AC132" s="751"/>
      <c r="AD132" s="751"/>
      <c r="AF132" s="741">
        <v>440000</v>
      </c>
      <c r="AG132" s="742">
        <v>900</v>
      </c>
      <c r="AH132" s="751"/>
      <c r="AI132" s="751"/>
      <c r="AJ132" s="751"/>
      <c r="AK132" s="751"/>
      <c r="AM132" s="741">
        <v>440000</v>
      </c>
      <c r="AN132" s="742">
        <v>900</v>
      </c>
      <c r="AO132" s="751"/>
      <c r="AP132" s="751"/>
      <c r="AQ132" s="751"/>
      <c r="AR132" s="751"/>
      <c r="AT132" s="741">
        <v>440000</v>
      </c>
      <c r="AU132" s="742">
        <v>900</v>
      </c>
      <c r="AV132" s="751"/>
      <c r="AW132" s="751"/>
      <c r="AX132" s="751"/>
      <c r="AY132" s="751"/>
      <c r="BA132" s="749">
        <v>440000</v>
      </c>
      <c r="BB132" s="750">
        <v>900</v>
      </c>
      <c r="BC132" s="751"/>
      <c r="BD132" s="753"/>
      <c r="BE132" s="753"/>
      <c r="BF132" s="753"/>
    </row>
    <row r="133" spans="4:58">
      <c r="D133" s="741">
        <v>450000</v>
      </c>
      <c r="E133" s="742">
        <v>100</v>
      </c>
      <c r="F133" s="751">
        <f>IF(B44=2000,'OPER.-MAJOR SP. REV. (B)(57-59)'!E23,0)</f>
        <v>0</v>
      </c>
      <c r="G133" s="751">
        <f>IF(B44=3000,'OPER.-MAJOR SP. REV. (B)(57-59)'!E23,0)</f>
        <v>0</v>
      </c>
      <c r="H133" s="751">
        <f>IF(B44=4000,'OPER.-MAJOR SP. REV. (B)(57-59)'!E23,0)</f>
        <v>0</v>
      </c>
      <c r="I133" s="751">
        <f>IF(B44=8000,'OPER.-MAJOR SP. REV. (B)(57-59)'!E23,0)</f>
        <v>0</v>
      </c>
      <c r="K133" s="741">
        <v>450000</v>
      </c>
      <c r="L133" s="742">
        <v>100</v>
      </c>
      <c r="M133" s="751">
        <f>IF(B45=2000,'OPER.-MAJOR SP. REV. (B)(57-59)'!I23,0)</f>
        <v>0</v>
      </c>
      <c r="N133" s="751">
        <f>IF(B45=3000,'OPER.-MAJOR SP. REV. (B)(57-59)'!I23,0)</f>
        <v>0</v>
      </c>
      <c r="O133" s="751">
        <f>IF(B45=4000,'OPER.-MAJOR SP. REV. (B)(57-59)'!I23,0)</f>
        <v>0</v>
      </c>
      <c r="P133" s="751">
        <f>IF(B45=8000,'OPER.-MAJOR SP. REV. (B)(57-59)'!I23,0)</f>
        <v>0</v>
      </c>
      <c r="R133" s="741">
        <v>450000</v>
      </c>
      <c r="S133" s="742">
        <v>100</v>
      </c>
      <c r="T133" s="751">
        <f>IF(B46=2000,'OPER.-MAJOR SP. REV. (B)(57-59)'!M23,0)</f>
        <v>0</v>
      </c>
      <c r="U133" s="751">
        <f>IF(B46=3000,'OPER.-MAJOR SP. REV. (B)(57-59)'!M23,0)</f>
        <v>0</v>
      </c>
      <c r="V133" s="751">
        <f>IF(B46=4000,'OPER.-MAJOR SP. REV. (B)(57-59)'!M23,0)</f>
        <v>0</v>
      </c>
      <c r="W133" s="751">
        <f>IF(B46=8000,'OPER.-MAJOR SP. REV. (B)(57-59)'!M23,0)</f>
        <v>0</v>
      </c>
      <c r="Y133" s="741">
        <v>450000</v>
      </c>
      <c r="Z133" s="742">
        <v>100</v>
      </c>
      <c r="AA133" s="751">
        <f>IF(B47=2000,'OPER.-MAJOR SP. REV. (B)(57-59)'!Q23,0)</f>
        <v>0</v>
      </c>
      <c r="AB133" s="751">
        <f>IF(B47=3000,'OPER.-MAJOR SP. REV. (B)(57-59)'!Q23,0)</f>
        <v>0</v>
      </c>
      <c r="AC133" s="751">
        <f>IF(B47=4000,'OPER.-MAJOR SP. REV. (B)(57-59)'!Q23,0)</f>
        <v>0</v>
      </c>
      <c r="AD133" s="751">
        <f>IF(B47=8000,'OPER.-MAJOR SP. REV. (B)(57-59)'!Q23,0)</f>
        <v>0</v>
      </c>
      <c r="AF133" s="741">
        <v>450000</v>
      </c>
      <c r="AG133" s="742">
        <v>100</v>
      </c>
      <c r="AH133" s="751">
        <f>IF(B48=2000,'OPER.-MAJOR SP. REV. (B)(57-59)'!U23,0)</f>
        <v>0</v>
      </c>
      <c r="AI133" s="751">
        <f>IF(B48=3000,'OPER.-MAJOR SP. REV. (B)(57-59)'!U23,0)</f>
        <v>0</v>
      </c>
      <c r="AJ133" s="751">
        <f>IF(B48=4000,'OPER.-MAJOR SP. REV. (B)(57-59)'!U23,0)</f>
        <v>0</v>
      </c>
      <c r="AK133" s="751">
        <f>IF(B48=8000,'OPER.-MAJOR SP. REV. (B)(57-59)'!U23,0)</f>
        <v>0</v>
      </c>
      <c r="AM133" s="741">
        <v>450000</v>
      </c>
      <c r="AN133" s="742">
        <v>100</v>
      </c>
      <c r="AO133" s="751">
        <f>IF(B49=2000,'OPER.-MAJOR SP. REV. (B)(57-59)'!Y23,0)</f>
        <v>0</v>
      </c>
      <c r="AP133" s="751">
        <f>IF(B49=3000,'OPER.-MAJOR SP. REV. (B)(57-59)'!Y23,0)</f>
        <v>0</v>
      </c>
      <c r="AQ133" s="751">
        <f>IF(B49=4000,'OPER.-MAJOR SP. REV. (B)(57-59)'!Y23,0)</f>
        <v>0</v>
      </c>
      <c r="AR133" s="751">
        <f>IF(B49=8000,'OPER.-MAJOR SP. REV. (B)(57-59)'!Y23,0)</f>
        <v>0</v>
      </c>
      <c r="AT133" s="741">
        <v>450000</v>
      </c>
      <c r="AU133" s="742">
        <v>100</v>
      </c>
      <c r="AV133" s="751">
        <f>IF(B50=2000,'OPER.-MAJOR SP. REV. (B)(57-59)'!AC23,0)</f>
        <v>0</v>
      </c>
      <c r="AW133" s="751">
        <f>IF(B50=3000,'OPER.-MAJOR SP. REV. (B)(57-59)'!AC23,0)</f>
        <v>0</v>
      </c>
      <c r="AX133" s="751">
        <f>IF(B50=4000,'OPER.-MAJOR SP. REV. (B)(57-59)'!AC23,0)</f>
        <v>0</v>
      </c>
      <c r="AY133" s="751">
        <f>IF(B50=8000,'OPER.-MAJOR SP. REV. (B)(57-59)'!AC23,0)</f>
        <v>0</v>
      </c>
      <c r="BA133" s="749">
        <v>450000</v>
      </c>
      <c r="BB133" s="750">
        <v>100</v>
      </c>
      <c r="BC133" s="751">
        <f t="shared" si="5"/>
        <v>0</v>
      </c>
      <c r="BD133" s="753">
        <f t="shared" si="6"/>
        <v>0</v>
      </c>
      <c r="BE133" s="753">
        <f t="shared" si="7"/>
        <v>0</v>
      </c>
      <c r="BF133" s="753">
        <f t="shared" si="8"/>
        <v>0</v>
      </c>
    </row>
    <row r="134" spans="4:58">
      <c r="D134" s="741">
        <v>450000</v>
      </c>
      <c r="E134" s="742">
        <v>200</v>
      </c>
      <c r="F134" s="751">
        <f>IF(B44=2000,'OPER.-MAJOR SP. REV. (B)(57-59)'!E24,0)</f>
        <v>0</v>
      </c>
      <c r="G134" s="751">
        <f>IF(B44=3000,'OPER.-MAJOR SP. REV. (B)(57-59)'!E24,0)</f>
        <v>0</v>
      </c>
      <c r="H134" s="751">
        <f>IF(B44=4000,'OPER.-MAJOR SP. REV. (B)(57-59)'!E24,0)</f>
        <v>0</v>
      </c>
      <c r="I134" s="751">
        <f>IF(B44=8000,'OPER.-MAJOR SP. REV. (B)(57-59)'!E24,0)</f>
        <v>0</v>
      </c>
      <c r="K134" s="741">
        <v>450000</v>
      </c>
      <c r="L134" s="742">
        <v>200</v>
      </c>
      <c r="M134" s="751">
        <f>IF(B45=2000,'OPER.-MAJOR SP. REV. (B)(57-59)'!I24,0)</f>
        <v>0</v>
      </c>
      <c r="N134" s="751">
        <f>IF(B45=3000,'OPER.-MAJOR SP. REV. (B)(57-59)'!I24,0)</f>
        <v>0</v>
      </c>
      <c r="O134" s="751">
        <f>IF(B45=4000,'OPER.-MAJOR SP. REV. (B)(57-59)'!I24,0)</f>
        <v>0</v>
      </c>
      <c r="P134" s="751">
        <f>IF(B45=8000,'OPER.-MAJOR SP. REV. (B)(57-59)'!I24,0)</f>
        <v>0</v>
      </c>
      <c r="R134" s="741">
        <v>450000</v>
      </c>
      <c r="S134" s="742">
        <v>200</v>
      </c>
      <c r="T134" s="751">
        <f>IF(B46=2000,'OPER.-MAJOR SP. REV. (B)(57-59)'!M24,0)</f>
        <v>0</v>
      </c>
      <c r="U134" s="751">
        <f>IF(B46=3000,'OPER.-MAJOR SP. REV. (B)(57-59)'!M24,0)</f>
        <v>0</v>
      </c>
      <c r="V134" s="751">
        <f>IF(B46=4000,'OPER.-MAJOR SP. REV. (B)(57-59)'!M24,0)</f>
        <v>0</v>
      </c>
      <c r="W134" s="751">
        <f>IF(B46=8000,'OPER.-MAJOR SP. REV. (B)(57-59)'!M24,0)</f>
        <v>0</v>
      </c>
      <c r="Y134" s="741">
        <v>450000</v>
      </c>
      <c r="Z134" s="742">
        <v>200</v>
      </c>
      <c r="AA134" s="751">
        <f>IF(B47=2000,'OPER.-MAJOR SP. REV. (B)(57-59)'!Q24,0)</f>
        <v>0</v>
      </c>
      <c r="AB134" s="751">
        <f>IF(B47=3000,'OPER.-MAJOR SP. REV. (B)(57-59)'!Q24,0)</f>
        <v>0</v>
      </c>
      <c r="AC134" s="751">
        <f>IF(B47=4000,'OPER.-MAJOR SP. REV. (B)(57-59)'!Q24,0)</f>
        <v>0</v>
      </c>
      <c r="AD134" s="751">
        <f>IF(B47=8000,'OPER.-MAJOR SP. REV. (B)(57-59)'!Q24,0)</f>
        <v>0</v>
      </c>
      <c r="AF134" s="741">
        <v>450000</v>
      </c>
      <c r="AG134" s="742">
        <v>200</v>
      </c>
      <c r="AH134" s="751">
        <f>IF(B48=2000,'OPER.-MAJOR SP. REV. (B)(57-59)'!U24,0)</f>
        <v>0</v>
      </c>
      <c r="AI134" s="751">
        <f>IF(B48=3000,'OPER.-MAJOR SP. REV. (B)(57-59)'!U24,0)</f>
        <v>0</v>
      </c>
      <c r="AJ134" s="751">
        <f>IF(B48=4000,'OPER.-MAJOR SP. REV. (B)(57-59)'!U24,0)</f>
        <v>0</v>
      </c>
      <c r="AK134" s="751">
        <f>IF(B48=8000,'OPER.-MAJOR SP. REV. (B)(57-59)'!U24,0)</f>
        <v>0</v>
      </c>
      <c r="AM134" s="741">
        <v>450000</v>
      </c>
      <c r="AN134" s="742">
        <v>200</v>
      </c>
      <c r="AO134" s="751">
        <f>IF(B49=2000,'OPER.-MAJOR SP. REV. (B)(57-59)'!Y24,0)</f>
        <v>0</v>
      </c>
      <c r="AP134" s="751">
        <f>IF(B49=3000,'OPER.-MAJOR SP. REV. (B)(57-59)'!Y24,0)</f>
        <v>0</v>
      </c>
      <c r="AQ134" s="751">
        <f>IF(B49=4000,'OPER.-MAJOR SP. REV. (B)(57-59)'!Y24,0)</f>
        <v>0</v>
      </c>
      <c r="AR134" s="751">
        <f>IF(B49=8000,'OPER.-MAJOR SP. REV. (B)(57-59)'!Y24,0)</f>
        <v>0</v>
      </c>
      <c r="AT134" s="741">
        <v>450000</v>
      </c>
      <c r="AU134" s="742">
        <v>200</v>
      </c>
      <c r="AV134" s="751">
        <f>IF(B50=2000,'OPER.-MAJOR SP. REV. (B)(57-59)'!AC24,0)</f>
        <v>0</v>
      </c>
      <c r="AW134" s="751">
        <f>IF(B50=3000,'OPER.-MAJOR SP. REV. (B)(57-59)'!AC24,0)</f>
        <v>0</v>
      </c>
      <c r="AX134" s="751">
        <f>IF(B50=4000,'OPER.-MAJOR SP. REV. (B)(57-59)'!AC24,0)</f>
        <v>0</v>
      </c>
      <c r="AY134" s="751">
        <f>IF(B50=8000,'OPER.-MAJOR SP. REV. (B)(57-59)'!AC24,0)</f>
        <v>0</v>
      </c>
      <c r="BA134" s="749">
        <v>450000</v>
      </c>
      <c r="BB134" s="750">
        <v>200</v>
      </c>
      <c r="BC134" s="751">
        <f t="shared" si="5"/>
        <v>0</v>
      </c>
      <c r="BD134" s="753">
        <f t="shared" si="6"/>
        <v>0</v>
      </c>
      <c r="BE134" s="753">
        <f t="shared" si="7"/>
        <v>0</v>
      </c>
      <c r="BF134" s="753">
        <f t="shared" si="8"/>
        <v>0</v>
      </c>
    </row>
    <row r="135" spans="4:58">
      <c r="D135" s="741">
        <v>450000</v>
      </c>
      <c r="E135" s="742">
        <v>610</v>
      </c>
      <c r="F135" s="751"/>
      <c r="G135" s="751"/>
      <c r="H135" s="751"/>
      <c r="I135" s="751"/>
      <c r="K135" s="741">
        <v>450000</v>
      </c>
      <c r="L135" s="742">
        <v>610</v>
      </c>
      <c r="M135" s="751"/>
      <c r="N135" s="751"/>
      <c r="O135" s="751"/>
      <c r="P135" s="751"/>
      <c r="R135" s="741">
        <v>450000</v>
      </c>
      <c r="S135" s="742">
        <v>610</v>
      </c>
      <c r="T135" s="751"/>
      <c r="U135" s="751"/>
      <c r="V135" s="751"/>
      <c r="W135" s="751"/>
      <c r="Y135" s="741">
        <v>450000</v>
      </c>
      <c r="Z135" s="742">
        <v>610</v>
      </c>
      <c r="AA135" s="751"/>
      <c r="AB135" s="751"/>
      <c r="AC135" s="751"/>
      <c r="AD135" s="751"/>
      <c r="AF135" s="741">
        <v>450000</v>
      </c>
      <c r="AG135" s="742">
        <v>610</v>
      </c>
      <c r="AH135" s="751"/>
      <c r="AI135" s="751"/>
      <c r="AJ135" s="751"/>
      <c r="AK135" s="751"/>
      <c r="AM135" s="741">
        <v>450000</v>
      </c>
      <c r="AN135" s="742">
        <v>610</v>
      </c>
      <c r="AO135" s="751"/>
      <c r="AP135" s="751"/>
      <c r="AQ135" s="751"/>
      <c r="AR135" s="751"/>
      <c r="AT135" s="741">
        <v>450000</v>
      </c>
      <c r="AU135" s="742">
        <v>610</v>
      </c>
      <c r="AV135" s="751"/>
      <c r="AW135" s="751"/>
      <c r="AX135" s="751"/>
      <c r="AY135" s="751"/>
      <c r="BA135" s="749">
        <v>450000</v>
      </c>
      <c r="BB135" s="750">
        <v>610</v>
      </c>
      <c r="BC135" s="751"/>
      <c r="BD135" s="753"/>
      <c r="BE135" s="753"/>
      <c r="BF135" s="753"/>
    </row>
    <row r="136" spans="4:58">
      <c r="D136" s="741">
        <v>450000</v>
      </c>
      <c r="E136" s="742">
        <v>620</v>
      </c>
      <c r="F136" s="751"/>
      <c r="G136" s="751"/>
      <c r="H136" s="751"/>
      <c r="I136" s="751"/>
      <c r="K136" s="741">
        <v>450000</v>
      </c>
      <c r="L136" s="742">
        <v>620</v>
      </c>
      <c r="M136" s="751"/>
      <c r="N136" s="751"/>
      <c r="O136" s="751"/>
      <c r="P136" s="751"/>
      <c r="R136" s="741">
        <v>450000</v>
      </c>
      <c r="S136" s="742">
        <v>620</v>
      </c>
      <c r="T136" s="751"/>
      <c r="U136" s="751"/>
      <c r="V136" s="751"/>
      <c r="W136" s="751"/>
      <c r="Y136" s="741">
        <v>450000</v>
      </c>
      <c r="Z136" s="742">
        <v>620</v>
      </c>
      <c r="AA136" s="751"/>
      <c r="AB136" s="751"/>
      <c r="AC136" s="751"/>
      <c r="AD136" s="751"/>
      <c r="AF136" s="741">
        <v>450000</v>
      </c>
      <c r="AG136" s="742">
        <v>620</v>
      </c>
      <c r="AH136" s="751"/>
      <c r="AI136" s="751"/>
      <c r="AJ136" s="751"/>
      <c r="AK136" s="751"/>
      <c r="AM136" s="741">
        <v>450000</v>
      </c>
      <c r="AN136" s="742">
        <v>620</v>
      </c>
      <c r="AO136" s="751"/>
      <c r="AP136" s="751"/>
      <c r="AQ136" s="751"/>
      <c r="AR136" s="751"/>
      <c r="AT136" s="741">
        <v>450000</v>
      </c>
      <c r="AU136" s="742">
        <v>620</v>
      </c>
      <c r="AV136" s="751"/>
      <c r="AW136" s="751"/>
      <c r="AX136" s="751"/>
      <c r="AY136" s="751"/>
      <c r="BA136" s="749">
        <v>450000</v>
      </c>
      <c r="BB136" s="750">
        <v>620</v>
      </c>
      <c r="BC136" s="751"/>
      <c r="BD136" s="753"/>
      <c r="BE136" s="753"/>
      <c r="BF136" s="753"/>
    </row>
    <row r="137" spans="4:58">
      <c r="D137" s="741">
        <v>450000</v>
      </c>
      <c r="E137" s="742">
        <v>900</v>
      </c>
      <c r="F137" s="751"/>
      <c r="G137" s="751"/>
      <c r="H137" s="751"/>
      <c r="I137" s="751"/>
      <c r="K137" s="741">
        <v>450000</v>
      </c>
      <c r="L137" s="742">
        <v>900</v>
      </c>
      <c r="M137" s="751"/>
      <c r="N137" s="751"/>
      <c r="O137" s="751"/>
      <c r="P137" s="751"/>
      <c r="R137" s="741">
        <v>450000</v>
      </c>
      <c r="S137" s="742">
        <v>900</v>
      </c>
      <c r="T137" s="751"/>
      <c r="U137" s="751"/>
      <c r="V137" s="751"/>
      <c r="W137" s="751"/>
      <c r="Y137" s="741">
        <v>450000</v>
      </c>
      <c r="Z137" s="742">
        <v>900</v>
      </c>
      <c r="AA137" s="751"/>
      <c r="AB137" s="751"/>
      <c r="AC137" s="751"/>
      <c r="AD137" s="751"/>
      <c r="AF137" s="741">
        <v>450000</v>
      </c>
      <c r="AG137" s="742">
        <v>900</v>
      </c>
      <c r="AH137" s="751"/>
      <c r="AI137" s="751"/>
      <c r="AJ137" s="751"/>
      <c r="AK137" s="751"/>
      <c r="AM137" s="741">
        <v>450000</v>
      </c>
      <c r="AN137" s="742">
        <v>900</v>
      </c>
      <c r="AO137" s="751"/>
      <c r="AP137" s="751"/>
      <c r="AQ137" s="751"/>
      <c r="AR137" s="751"/>
      <c r="AT137" s="741">
        <v>450000</v>
      </c>
      <c r="AU137" s="742">
        <v>900</v>
      </c>
      <c r="AV137" s="751"/>
      <c r="AW137" s="751"/>
      <c r="AX137" s="751"/>
      <c r="AY137" s="751"/>
      <c r="BA137" s="749">
        <v>450000</v>
      </c>
      <c r="BB137" s="750">
        <v>900</v>
      </c>
      <c r="BC137" s="751"/>
      <c r="BD137" s="753"/>
      <c r="BE137" s="753"/>
      <c r="BF137" s="753"/>
    </row>
    <row r="138" spans="4:58">
      <c r="D138" s="741">
        <v>460000</v>
      </c>
      <c r="E138" s="742">
        <v>100</v>
      </c>
      <c r="F138" s="751">
        <f>IF(B44=2000,'OPER.-MAJOR SP. REV. (B)(57-59)'!E26,0)</f>
        <v>0</v>
      </c>
      <c r="G138" s="751">
        <f>IF(B44=3000,'OPER.-MAJOR SP. REV. (B)(57-59)'!E26,0)</f>
        <v>0</v>
      </c>
      <c r="H138" s="751">
        <f>IF(B44=4000,'OPER.-MAJOR SP. REV. (B)(57-59)'!E26,0)</f>
        <v>0</v>
      </c>
      <c r="I138" s="751">
        <f>IF(B44=8000,'OPER.-MAJOR SP. REV. (B)(57-59)'!E26,0)</f>
        <v>0</v>
      </c>
      <c r="K138" s="741">
        <v>460000</v>
      </c>
      <c r="L138" s="742">
        <v>100</v>
      </c>
      <c r="M138" s="751">
        <f>IF(B45=2000,'OPER.-MAJOR SP. REV. (B)(57-59)'!I26,0)</f>
        <v>0</v>
      </c>
      <c r="N138" s="751">
        <f>IF(B45=3000,'OPER.-MAJOR SP. REV. (B)(57-59)'!I26,0)</f>
        <v>0</v>
      </c>
      <c r="O138" s="751">
        <f>IF(B45=4000,'OPER.-MAJOR SP. REV. (B)(57-59)'!I26,0)</f>
        <v>0</v>
      </c>
      <c r="P138" s="751">
        <f>IF(B45=8000,'OPER.-MAJOR SP. REV. (B)(57-59)'!I26,0)</f>
        <v>0</v>
      </c>
      <c r="R138" s="741">
        <v>460000</v>
      </c>
      <c r="S138" s="742">
        <v>100</v>
      </c>
      <c r="T138" s="751">
        <f>IF(B46=2000,'OPER.-MAJOR SP. REV. (B)(57-59)'!M26,0)</f>
        <v>0</v>
      </c>
      <c r="U138" s="751">
        <f>IF(B46=3000,'OPER.-MAJOR SP. REV. (B)(57-59)'!M26,0)</f>
        <v>0</v>
      </c>
      <c r="V138" s="751">
        <f>IF(B46=4000,'OPER.-MAJOR SP. REV. (B)(57-59)'!M26,0)</f>
        <v>0</v>
      </c>
      <c r="W138" s="751">
        <f>IF(B46=8000,'OPER.-MAJOR SP. REV. (B)(57-59)'!M26,0)</f>
        <v>0</v>
      </c>
      <c r="Y138" s="741">
        <v>460000</v>
      </c>
      <c r="Z138" s="742">
        <v>100</v>
      </c>
      <c r="AA138" s="751">
        <f>IF(B47=2000,'OPER.-MAJOR SP. REV. (B)(57-59)'!Q26,0)</f>
        <v>0</v>
      </c>
      <c r="AB138" s="751">
        <f>IF(B47=3000,'OPER.-MAJOR SP. REV. (B)(57-59)'!Q26,0)</f>
        <v>0</v>
      </c>
      <c r="AC138" s="751">
        <f>IF(B47=4000,'OPER.-MAJOR SP. REV. (B)(57-59)'!Q26,0)</f>
        <v>0</v>
      </c>
      <c r="AD138" s="751">
        <f>IF(B47=8000,'OPER.-MAJOR SP. REV. (B)(57-59)'!Q26,0)</f>
        <v>0</v>
      </c>
      <c r="AF138" s="741">
        <v>460000</v>
      </c>
      <c r="AG138" s="742">
        <v>100</v>
      </c>
      <c r="AH138" s="751">
        <f>IF(B48=2000,'OPER.-MAJOR SP. REV. (B)(57-59)'!U26,0)</f>
        <v>0</v>
      </c>
      <c r="AI138" s="751">
        <f>IF(B48=3000,'OPER.-MAJOR SP. REV. (B)(57-59)'!U26,0)</f>
        <v>0</v>
      </c>
      <c r="AJ138" s="751">
        <f>IF(B48=4000,'OPER.-MAJOR SP. REV. (B)(57-59)'!U26,0)</f>
        <v>0</v>
      </c>
      <c r="AK138" s="751">
        <f>IF(B48=8000,'OPER.-MAJOR SP. REV. (B)(57-59)'!U26,0)</f>
        <v>0</v>
      </c>
      <c r="AM138" s="741">
        <v>460000</v>
      </c>
      <c r="AN138" s="742">
        <v>100</v>
      </c>
      <c r="AO138" s="751">
        <f>IF(B49=2000,'OPER.-MAJOR SP. REV. (B)(57-59)'!Y26,0)</f>
        <v>0</v>
      </c>
      <c r="AP138" s="751">
        <f>IF(B49=3000,'OPER.-MAJOR SP. REV. (B)(57-59)'!Y26,0)</f>
        <v>0</v>
      </c>
      <c r="AQ138" s="751">
        <f>IF(B49=4000,'OPER.-MAJOR SP. REV. (B)(57-59)'!Y26,0)</f>
        <v>0</v>
      </c>
      <c r="AR138" s="751">
        <f>IF(B49=8000,'OPER.-MAJOR SP. REV. (B)(57-59)'!Y26,0)</f>
        <v>0</v>
      </c>
      <c r="AT138" s="741">
        <v>460000</v>
      </c>
      <c r="AU138" s="742">
        <v>100</v>
      </c>
      <c r="AV138" s="751">
        <f>IF(B50=2000,'OPER.-MAJOR SP. REV. (B)(57-59)'!AC26,0)</f>
        <v>0</v>
      </c>
      <c r="AW138" s="751">
        <f>IF(B50=3000,'OPER.-MAJOR SP. REV. (B)(57-59)'!AC26,0)</f>
        <v>0</v>
      </c>
      <c r="AX138" s="751">
        <f>IF(B50=4000,'OPER.-MAJOR SP. REV. (B)(57-59)'!AC26,0)</f>
        <v>0</v>
      </c>
      <c r="AY138" s="751">
        <f>IF(B50=8000,'OPER.-MAJOR SP. REV. (B)(57-59)'!AC26,0)</f>
        <v>0</v>
      </c>
      <c r="BA138" s="749">
        <v>460000</v>
      </c>
      <c r="BB138" s="750">
        <v>100</v>
      </c>
      <c r="BC138" s="751">
        <f t="shared" si="5"/>
        <v>0</v>
      </c>
      <c r="BD138" s="753">
        <f t="shared" si="6"/>
        <v>0</v>
      </c>
      <c r="BE138" s="753">
        <f t="shared" si="7"/>
        <v>0</v>
      </c>
      <c r="BF138" s="753">
        <f t="shared" si="8"/>
        <v>0</v>
      </c>
    </row>
    <row r="139" spans="4:58">
      <c r="D139" s="741">
        <v>460000</v>
      </c>
      <c r="E139" s="742">
        <v>200</v>
      </c>
      <c r="F139" s="751">
        <f>IF(B44=2000,'OPER.-MAJOR SP. REV. (B)(57-59)'!E27,0)</f>
        <v>0</v>
      </c>
      <c r="G139" s="751">
        <f>IF(B44=3000,'OPER.-MAJOR SP. REV. (B)(57-59)'!E27,0)</f>
        <v>0</v>
      </c>
      <c r="H139" s="751">
        <f>IF(B44=4000,'OPER.-MAJOR SP. REV. (B)(57-59)'!E27,0)</f>
        <v>0</v>
      </c>
      <c r="I139" s="751">
        <f>IF(B44=8000,'OPER.-MAJOR SP. REV. (B)(57-59)'!E27,0)</f>
        <v>0</v>
      </c>
      <c r="K139" s="741">
        <v>460000</v>
      </c>
      <c r="L139" s="742">
        <v>200</v>
      </c>
      <c r="M139" s="751">
        <f>IF(B45=2000,'OPER.-MAJOR SP. REV. (B)(57-59)'!I27,0)</f>
        <v>0</v>
      </c>
      <c r="N139" s="751">
        <f>IF(B45=3000,'OPER.-MAJOR SP. REV. (B)(57-59)'!I27,0)</f>
        <v>0</v>
      </c>
      <c r="O139" s="751">
        <f>IF(B45=4000,'OPER.-MAJOR SP. REV. (B)(57-59)'!I27,0)</f>
        <v>0</v>
      </c>
      <c r="P139" s="751">
        <f>IF(B45=8000,'OPER.-MAJOR SP. REV. (B)(57-59)'!I27,0)</f>
        <v>0</v>
      </c>
      <c r="R139" s="741">
        <v>460000</v>
      </c>
      <c r="S139" s="742">
        <v>200</v>
      </c>
      <c r="T139" s="751">
        <f>IF(B46=2000,'OPER.-MAJOR SP. REV. (B)(57-59)'!M27,0)</f>
        <v>0</v>
      </c>
      <c r="U139" s="751">
        <f>IF(B46=3000,'OPER.-MAJOR SP. REV. (B)(57-59)'!M27,0)</f>
        <v>0</v>
      </c>
      <c r="V139" s="751">
        <f>IF(B46=4000,'OPER.-MAJOR SP. REV. (B)(57-59)'!M27,0)</f>
        <v>0</v>
      </c>
      <c r="W139" s="751">
        <f>IF(B46=8000,'OPER.-MAJOR SP. REV. (B)(57-59)'!M27,0)</f>
        <v>0</v>
      </c>
      <c r="Y139" s="741">
        <v>460000</v>
      </c>
      <c r="Z139" s="742">
        <v>200</v>
      </c>
      <c r="AA139" s="751">
        <f>IF(B47=2000,'OPER.-MAJOR SP. REV. (B)(57-59)'!Q27,0)</f>
        <v>0</v>
      </c>
      <c r="AB139" s="751">
        <f>IF(B47=3000,'OPER.-MAJOR SP. REV. (B)(57-59)'!Q27,0)</f>
        <v>0</v>
      </c>
      <c r="AC139" s="751">
        <f>IF(B47=4000,'OPER.-MAJOR SP. REV. (B)(57-59)'!Q27,0)</f>
        <v>0</v>
      </c>
      <c r="AD139" s="751">
        <f>IF(B47=8000,'OPER.-MAJOR SP. REV. (B)(57-59)'!Q27,0)</f>
        <v>0</v>
      </c>
      <c r="AF139" s="741">
        <v>460000</v>
      </c>
      <c r="AG139" s="742">
        <v>200</v>
      </c>
      <c r="AH139" s="751">
        <f>IF(B48=2000,'OPER.-MAJOR SP. REV. (B)(57-59)'!U27,0)</f>
        <v>0</v>
      </c>
      <c r="AI139" s="751">
        <f>IF(B48=3000,'OPER.-MAJOR SP. REV. (B)(57-59)'!U27,0)</f>
        <v>0</v>
      </c>
      <c r="AJ139" s="751">
        <f>IF(B48=4000,'OPER.-MAJOR SP. REV. (B)(57-59)'!U27,0)</f>
        <v>0</v>
      </c>
      <c r="AK139" s="751">
        <f>IF(B48=8000,'OPER.-MAJOR SP. REV. (B)(57-59)'!U27,0)</f>
        <v>0</v>
      </c>
      <c r="AM139" s="741">
        <v>460000</v>
      </c>
      <c r="AN139" s="742">
        <v>200</v>
      </c>
      <c r="AO139" s="751">
        <f>IF(B49=2000,'OPER.-MAJOR SP. REV. (B)(57-59)'!Y27,0)</f>
        <v>0</v>
      </c>
      <c r="AP139" s="751">
        <f>IF(B49=3000,'OPER.-MAJOR SP. REV. (B)(57-59)'!Y27,0)</f>
        <v>0</v>
      </c>
      <c r="AQ139" s="751">
        <f>IF(B49=4000,'OPER.-MAJOR SP. REV. (B)(57-59)'!Y27,0)</f>
        <v>0</v>
      </c>
      <c r="AR139" s="751">
        <f>IF(B49=8000,'OPER.-MAJOR SP. REV. (B)(57-59)'!Y27,0)</f>
        <v>0</v>
      </c>
      <c r="AT139" s="741">
        <v>460000</v>
      </c>
      <c r="AU139" s="742">
        <v>200</v>
      </c>
      <c r="AV139" s="751">
        <f>IF(B50=2000,'OPER.-MAJOR SP. REV. (B)(57-59)'!AC27,0)</f>
        <v>0</v>
      </c>
      <c r="AW139" s="751">
        <f>IF(B50=3000,'OPER.-MAJOR SP. REV. (B)(57-59)'!AC27,0)</f>
        <v>0</v>
      </c>
      <c r="AX139" s="751">
        <f>IF(B50=4000,'OPER.-MAJOR SP. REV. (B)(57-59)'!AC27,0)</f>
        <v>0</v>
      </c>
      <c r="AY139" s="751">
        <f>IF(B50=8000,'OPER.-MAJOR SP. REV. (B)(57-59)'!AC27,0)</f>
        <v>0</v>
      </c>
      <c r="BA139" s="749">
        <v>460000</v>
      </c>
      <c r="BB139" s="750">
        <v>200</v>
      </c>
      <c r="BC139" s="751">
        <f t="shared" si="5"/>
        <v>0</v>
      </c>
      <c r="BD139" s="753">
        <f t="shared" si="6"/>
        <v>0</v>
      </c>
      <c r="BE139" s="753">
        <f t="shared" si="7"/>
        <v>0</v>
      </c>
      <c r="BF139" s="753">
        <f t="shared" si="8"/>
        <v>0</v>
      </c>
    </row>
    <row r="140" spans="4:58">
      <c r="D140" s="741">
        <v>460000</v>
      </c>
      <c r="E140" s="742">
        <v>610</v>
      </c>
      <c r="F140" s="751"/>
      <c r="G140" s="751"/>
      <c r="H140" s="751"/>
      <c r="I140" s="751"/>
      <c r="K140" s="741">
        <v>460000</v>
      </c>
      <c r="L140" s="742">
        <v>610</v>
      </c>
      <c r="M140" s="751"/>
      <c r="N140" s="751"/>
      <c r="O140" s="751"/>
      <c r="P140" s="751"/>
      <c r="R140" s="741">
        <v>460000</v>
      </c>
      <c r="S140" s="742">
        <v>610</v>
      </c>
      <c r="T140" s="751"/>
      <c r="U140" s="751"/>
      <c r="V140" s="751"/>
      <c r="W140" s="751"/>
      <c r="Y140" s="741">
        <v>460000</v>
      </c>
      <c r="Z140" s="742">
        <v>610</v>
      </c>
      <c r="AA140" s="751"/>
      <c r="AB140" s="751"/>
      <c r="AC140" s="751"/>
      <c r="AD140" s="751"/>
      <c r="AF140" s="741">
        <v>460000</v>
      </c>
      <c r="AG140" s="742">
        <v>610</v>
      </c>
      <c r="AH140" s="751"/>
      <c r="AI140" s="751"/>
      <c r="AJ140" s="751"/>
      <c r="AK140" s="751"/>
      <c r="AM140" s="741">
        <v>460000</v>
      </c>
      <c r="AN140" s="742">
        <v>610</v>
      </c>
      <c r="AO140" s="751"/>
      <c r="AP140" s="751"/>
      <c r="AQ140" s="751"/>
      <c r="AR140" s="751"/>
      <c r="AT140" s="741">
        <v>460000</v>
      </c>
      <c r="AU140" s="742">
        <v>610</v>
      </c>
      <c r="AV140" s="751"/>
      <c r="AW140" s="751"/>
      <c r="AX140" s="751"/>
      <c r="AY140" s="751"/>
      <c r="BA140" s="749">
        <v>460000</v>
      </c>
      <c r="BB140" s="750">
        <v>610</v>
      </c>
      <c r="BC140" s="751"/>
      <c r="BD140" s="753"/>
      <c r="BE140" s="753"/>
      <c r="BF140" s="753"/>
    </row>
    <row r="141" spans="4:58">
      <c r="D141" s="741">
        <v>460000</v>
      </c>
      <c r="E141" s="742">
        <v>620</v>
      </c>
      <c r="F141" s="751"/>
      <c r="G141" s="751"/>
      <c r="H141" s="751"/>
      <c r="I141" s="751"/>
      <c r="K141" s="741">
        <v>460000</v>
      </c>
      <c r="L141" s="742">
        <v>620</v>
      </c>
      <c r="M141" s="751"/>
      <c r="N141" s="751"/>
      <c r="O141" s="751"/>
      <c r="P141" s="751"/>
      <c r="R141" s="741">
        <v>460000</v>
      </c>
      <c r="S141" s="742">
        <v>620</v>
      </c>
      <c r="T141" s="751"/>
      <c r="U141" s="751"/>
      <c r="V141" s="751"/>
      <c r="W141" s="751"/>
      <c r="Y141" s="741">
        <v>460000</v>
      </c>
      <c r="Z141" s="742">
        <v>620</v>
      </c>
      <c r="AA141" s="751"/>
      <c r="AB141" s="751"/>
      <c r="AC141" s="751"/>
      <c r="AD141" s="751"/>
      <c r="AF141" s="741">
        <v>460000</v>
      </c>
      <c r="AG141" s="742">
        <v>620</v>
      </c>
      <c r="AH141" s="751"/>
      <c r="AI141" s="751"/>
      <c r="AJ141" s="751"/>
      <c r="AK141" s="751"/>
      <c r="AM141" s="741">
        <v>460000</v>
      </c>
      <c r="AN141" s="742">
        <v>620</v>
      </c>
      <c r="AO141" s="751"/>
      <c r="AP141" s="751"/>
      <c r="AQ141" s="751"/>
      <c r="AR141" s="751"/>
      <c r="AT141" s="741">
        <v>460000</v>
      </c>
      <c r="AU141" s="742">
        <v>620</v>
      </c>
      <c r="AV141" s="751"/>
      <c r="AW141" s="751"/>
      <c r="AX141" s="751"/>
      <c r="AY141" s="751"/>
      <c r="BA141" s="749">
        <v>460000</v>
      </c>
      <c r="BB141" s="750">
        <v>620</v>
      </c>
      <c r="BC141" s="751"/>
      <c r="BD141" s="753"/>
      <c r="BE141" s="753"/>
      <c r="BF141" s="753"/>
    </row>
    <row r="142" spans="4:58">
      <c r="D142" s="741">
        <v>460000</v>
      </c>
      <c r="E142" s="742">
        <v>900</v>
      </c>
      <c r="F142" s="751"/>
      <c r="G142" s="751"/>
      <c r="H142" s="751"/>
      <c r="I142" s="751"/>
      <c r="K142" s="741">
        <v>460000</v>
      </c>
      <c r="L142" s="742">
        <v>900</v>
      </c>
      <c r="M142" s="751"/>
      <c r="N142" s="751"/>
      <c r="O142" s="751"/>
      <c r="P142" s="751"/>
      <c r="R142" s="741">
        <v>460000</v>
      </c>
      <c r="S142" s="742">
        <v>900</v>
      </c>
      <c r="T142" s="751"/>
      <c r="U142" s="751"/>
      <c r="V142" s="751"/>
      <c r="W142" s="751"/>
      <c r="Y142" s="741">
        <v>460000</v>
      </c>
      <c r="Z142" s="742">
        <v>900</v>
      </c>
      <c r="AA142" s="751"/>
      <c r="AB142" s="751"/>
      <c r="AC142" s="751"/>
      <c r="AD142" s="751"/>
      <c r="AF142" s="741">
        <v>460000</v>
      </c>
      <c r="AG142" s="742">
        <v>900</v>
      </c>
      <c r="AH142" s="751"/>
      <c r="AI142" s="751"/>
      <c r="AJ142" s="751"/>
      <c r="AK142" s="751"/>
      <c r="AM142" s="741">
        <v>460000</v>
      </c>
      <c r="AN142" s="742">
        <v>900</v>
      </c>
      <c r="AO142" s="751"/>
      <c r="AP142" s="751"/>
      <c r="AQ142" s="751"/>
      <c r="AR142" s="751"/>
      <c r="AT142" s="741">
        <v>460000</v>
      </c>
      <c r="AU142" s="742">
        <v>900</v>
      </c>
      <c r="AV142" s="751"/>
      <c r="AW142" s="751"/>
      <c r="AX142" s="751"/>
      <c r="AY142" s="751"/>
      <c r="BA142" s="749">
        <v>460000</v>
      </c>
      <c r="BB142" s="750">
        <v>900</v>
      </c>
      <c r="BC142" s="751"/>
      <c r="BD142" s="753"/>
      <c r="BE142" s="753"/>
      <c r="BF142" s="753"/>
    </row>
    <row r="143" spans="4:58">
      <c r="D143" s="741">
        <v>470000</v>
      </c>
      <c r="E143" s="742">
        <v>100</v>
      </c>
      <c r="F143" s="751">
        <f>IF(B44=2000,'OPER.-MAJOR SP. REV. (B)(57-59)'!E29,0)</f>
        <v>0</v>
      </c>
      <c r="G143" s="751">
        <f>IF(B44=3000,'OPER.-MAJOR SP. REV. (B)(57-59)'!E29,0)</f>
        <v>0</v>
      </c>
      <c r="H143" s="751">
        <f>IF(B44=4000,'OPER.-MAJOR SP. REV. (B)(57-59)'!E29,0)</f>
        <v>0</v>
      </c>
      <c r="I143" s="751">
        <f>IF(B44=8000,'OPER.-MAJOR SP. REV. (B)(57-59)'!E29,0)</f>
        <v>0</v>
      </c>
      <c r="K143" s="741">
        <v>470000</v>
      </c>
      <c r="L143" s="742">
        <v>100</v>
      </c>
      <c r="M143" s="751">
        <f>IF(B45=2000,'OPER.-MAJOR SP. REV. (B)(57-59)'!I29,0)</f>
        <v>0</v>
      </c>
      <c r="N143" s="751">
        <f>IF(B45=3000,'OPER.-MAJOR SP. REV. (B)(57-59)'!I29,0)</f>
        <v>0</v>
      </c>
      <c r="O143" s="751">
        <f>IF(B45=4000,'OPER.-MAJOR SP. REV. (B)(57-59)'!I29,0)</f>
        <v>0</v>
      </c>
      <c r="P143" s="751">
        <f>IF(B45=8000,'OPER.-MAJOR SP. REV. (B)(57-59)'!I29,0)</f>
        <v>0</v>
      </c>
      <c r="R143" s="741">
        <v>470000</v>
      </c>
      <c r="S143" s="742">
        <v>100</v>
      </c>
      <c r="T143" s="751">
        <f>IF(B46=2000,'OPER.-MAJOR SP. REV. (B)(57-59)'!M29,0)</f>
        <v>0</v>
      </c>
      <c r="U143" s="751">
        <f>IF(B46=3000,'OPER.-MAJOR SP. REV. (B)(57-59)'!M29,0)</f>
        <v>0</v>
      </c>
      <c r="V143" s="751">
        <f>IF(B46=4000,'OPER.-MAJOR SP. REV. (B)(57-59)'!M29,0)</f>
        <v>0</v>
      </c>
      <c r="W143" s="751">
        <f>IF(B46=8000,'OPER.-MAJOR SP. REV. (B)(57-59)'!M29,0)</f>
        <v>0</v>
      </c>
      <c r="Y143" s="741">
        <v>470000</v>
      </c>
      <c r="Z143" s="742">
        <v>100</v>
      </c>
      <c r="AA143" s="751">
        <f>IF(B47=2000,'OPER.-MAJOR SP. REV. (B)(57-59)'!Q29,0)</f>
        <v>0</v>
      </c>
      <c r="AB143" s="751">
        <f>IF(B47=3000,'OPER.-MAJOR SP. REV. (B)(57-59)'!Q29,0)</f>
        <v>0</v>
      </c>
      <c r="AC143" s="751">
        <f>IF(B47=4000,'OPER.-MAJOR SP. REV. (B)(57-59)'!Q29,0)</f>
        <v>0</v>
      </c>
      <c r="AD143" s="751">
        <f>IF(B47=8000,'OPER.-MAJOR SP. REV. (B)(57-59)'!Q29,0)</f>
        <v>0</v>
      </c>
      <c r="AF143" s="741">
        <v>470000</v>
      </c>
      <c r="AG143" s="742">
        <v>100</v>
      </c>
      <c r="AH143" s="751">
        <f>IF(B48=2000,'OPER.-MAJOR SP. REV. (B)(57-59)'!U29,0)</f>
        <v>0</v>
      </c>
      <c r="AI143" s="751">
        <f>IF(B48=3000,'OPER.-MAJOR SP. REV. (B)(57-59)'!U29,0)</f>
        <v>0</v>
      </c>
      <c r="AJ143" s="751">
        <f>IF(B48=4000,'OPER.-MAJOR SP. REV. (B)(57-59)'!U29,0)</f>
        <v>0</v>
      </c>
      <c r="AK143" s="751">
        <f>IF(B48=8000,'OPER.-MAJOR SP. REV. (B)(57-59)'!U29,0)</f>
        <v>0</v>
      </c>
      <c r="AM143" s="741">
        <v>470000</v>
      </c>
      <c r="AN143" s="742">
        <v>100</v>
      </c>
      <c r="AO143" s="751">
        <f>IF(B49=2000,'OPER.-MAJOR SP. REV. (B)(57-59)'!Y29,0)</f>
        <v>0</v>
      </c>
      <c r="AP143" s="751">
        <f>IF(B49=3000,'OPER.-MAJOR SP. REV. (B)(57-59)'!Y29,0)</f>
        <v>0</v>
      </c>
      <c r="AQ143" s="751">
        <f>IF(B49=4000,'OPER.-MAJOR SP. REV. (B)(57-59)'!Y29,0)</f>
        <v>0</v>
      </c>
      <c r="AR143" s="751">
        <f>IF(B49=8000,'OPER.-MAJOR SP. REV. (B)(57-59)'!Y29,0)</f>
        <v>0</v>
      </c>
      <c r="AT143" s="741">
        <v>470000</v>
      </c>
      <c r="AU143" s="742">
        <v>100</v>
      </c>
      <c r="AV143" s="751">
        <f>IF(B50=2000,'OPER.-MAJOR SP. REV. (B)(57-59)'!AC29,0)</f>
        <v>0</v>
      </c>
      <c r="AW143" s="751">
        <f>IF(B50=3000,'OPER.-MAJOR SP. REV. (B)(57-59)'!AC29,0)</f>
        <v>0</v>
      </c>
      <c r="AX143" s="751">
        <f>IF(B50=4000,'OPER.-MAJOR SP. REV. (B)(57-59)'!AC29,0)</f>
        <v>0</v>
      </c>
      <c r="AY143" s="751">
        <f>IF(B50=8000,'OPER.-MAJOR SP. REV. (B)(57-59)'!AC29,0)</f>
        <v>0</v>
      </c>
      <c r="BA143" s="749">
        <v>470000</v>
      </c>
      <c r="BB143" s="750">
        <v>100</v>
      </c>
      <c r="BC143" s="751">
        <f t="shared" si="5"/>
        <v>0</v>
      </c>
      <c r="BD143" s="753">
        <f t="shared" si="6"/>
        <v>0</v>
      </c>
      <c r="BE143" s="753">
        <f t="shared" si="7"/>
        <v>0</v>
      </c>
      <c r="BF143" s="753">
        <f t="shared" si="8"/>
        <v>0</v>
      </c>
    </row>
    <row r="144" spans="4:58">
      <c r="D144" s="741">
        <v>470000</v>
      </c>
      <c r="E144" s="742">
        <v>200</v>
      </c>
      <c r="F144" s="751">
        <f>IF(B44=2000,'OPER.-MAJOR SP. REV. (B)(57-59)'!E30,0)</f>
        <v>0</v>
      </c>
      <c r="G144" s="751">
        <f>IF(B44=3000,'OPER.-MAJOR SP. REV. (B)(57-59)'!E30,0)</f>
        <v>0</v>
      </c>
      <c r="H144" s="751">
        <f>IF(B44=4000,'OPER.-MAJOR SP. REV. (B)(57-59)'!E30,0)</f>
        <v>0</v>
      </c>
      <c r="I144" s="751">
        <f>IF(B44=8000,'OPER.-MAJOR SP. REV. (B)(57-59)'!E30,0)</f>
        <v>0</v>
      </c>
      <c r="K144" s="741">
        <v>470000</v>
      </c>
      <c r="L144" s="742">
        <v>200</v>
      </c>
      <c r="M144" s="751">
        <f>IF(B45=2000,'OPER.-MAJOR SP. REV. (B)(57-59)'!I30,0)</f>
        <v>0</v>
      </c>
      <c r="N144" s="751">
        <f>IF(B45=3000,'OPER.-MAJOR SP. REV. (B)(57-59)'!I30,0)</f>
        <v>0</v>
      </c>
      <c r="O144" s="751">
        <f>IF(B45=4000,'OPER.-MAJOR SP. REV. (B)(57-59)'!I30,0)</f>
        <v>0</v>
      </c>
      <c r="P144" s="751">
        <f>IF(B45=8000,'OPER.-MAJOR SP. REV. (B)(57-59)'!I30,0)</f>
        <v>0</v>
      </c>
      <c r="R144" s="741">
        <v>470000</v>
      </c>
      <c r="S144" s="742">
        <v>200</v>
      </c>
      <c r="T144" s="751">
        <f>IF(B46=2000,'OPER.-MAJOR SP. REV. (B)(57-59)'!M30,0)</f>
        <v>0</v>
      </c>
      <c r="U144" s="751">
        <f>IF(B46=3000,'OPER.-MAJOR SP. REV. (B)(57-59)'!M30,0)</f>
        <v>0</v>
      </c>
      <c r="V144" s="751">
        <f>IF(B46=4000,'OPER.-MAJOR SP. REV. (B)(57-59)'!M30,0)</f>
        <v>0</v>
      </c>
      <c r="W144" s="751">
        <f>IF(B46=8000,'OPER.-MAJOR SP. REV. (B)(57-59)'!M30,0)</f>
        <v>0</v>
      </c>
      <c r="Y144" s="741">
        <v>470000</v>
      </c>
      <c r="Z144" s="742">
        <v>200</v>
      </c>
      <c r="AA144" s="751">
        <f>IF(B47=2000,'OPER.-MAJOR SP. REV. (B)(57-59)'!Q30,0)</f>
        <v>0</v>
      </c>
      <c r="AB144" s="751">
        <f>IF(B47=3000,'OPER.-MAJOR SP. REV. (B)(57-59)'!Q30,0)</f>
        <v>0</v>
      </c>
      <c r="AC144" s="751">
        <f>IF(B47=4000,'OPER.-MAJOR SP. REV. (B)(57-59)'!Q30,0)</f>
        <v>0</v>
      </c>
      <c r="AD144" s="751">
        <f>IF(B47=8000,'OPER.-MAJOR SP. REV. (B)(57-59)'!Q30,0)</f>
        <v>0</v>
      </c>
      <c r="AF144" s="741">
        <v>470000</v>
      </c>
      <c r="AG144" s="742">
        <v>200</v>
      </c>
      <c r="AH144" s="751">
        <f>IF(B48=2000,'OPER.-MAJOR SP. REV. (B)(57-59)'!U30,0)</f>
        <v>0</v>
      </c>
      <c r="AI144" s="751">
        <f>IF(B48=3000,'OPER.-MAJOR SP. REV. (B)(57-59)'!U30,0)</f>
        <v>0</v>
      </c>
      <c r="AJ144" s="751">
        <f>IF(B48=4000,'OPER.-MAJOR SP. REV. (B)(57-59)'!U30,0)</f>
        <v>0</v>
      </c>
      <c r="AK144" s="751">
        <f>IF(B48=8000,'OPER.-MAJOR SP. REV. (B)(57-59)'!U30,0)</f>
        <v>0</v>
      </c>
      <c r="AM144" s="741">
        <v>470000</v>
      </c>
      <c r="AN144" s="742">
        <v>200</v>
      </c>
      <c r="AO144" s="751">
        <f>IF(B49=2000,'OPER.-MAJOR SP. REV. (B)(57-59)'!Y30,0)</f>
        <v>0</v>
      </c>
      <c r="AP144" s="751">
        <f>IF(B49=3000,'OPER.-MAJOR SP. REV. (B)(57-59)'!Y30,0)</f>
        <v>0</v>
      </c>
      <c r="AQ144" s="751">
        <f>IF(B49=4000,'OPER.-MAJOR SP. REV. (B)(57-59)'!Y30,0)</f>
        <v>0</v>
      </c>
      <c r="AR144" s="751">
        <f>IF(B49=8000,'OPER.-MAJOR SP. REV. (B)(57-59)'!Y30,0)</f>
        <v>0</v>
      </c>
      <c r="AT144" s="741">
        <v>470000</v>
      </c>
      <c r="AU144" s="742">
        <v>200</v>
      </c>
      <c r="AV144" s="751">
        <f>IF(B50=2000,'OPER.-MAJOR SP. REV. (B)(57-59)'!AC30,0)</f>
        <v>0</v>
      </c>
      <c r="AW144" s="751">
        <f>IF(B50=3000,'OPER.-MAJOR SP. REV. (B)(57-59)'!AC30,0)</f>
        <v>0</v>
      </c>
      <c r="AX144" s="751">
        <f>IF(B50=4000,'OPER.-MAJOR SP. REV. (B)(57-59)'!AC30,0)</f>
        <v>0</v>
      </c>
      <c r="AY144" s="751">
        <f>IF(B50=8000,'OPER.-MAJOR SP. REV. (B)(57-59)'!AC30,0)</f>
        <v>0</v>
      </c>
      <c r="BA144" s="749">
        <v>470000</v>
      </c>
      <c r="BB144" s="750">
        <v>200</v>
      </c>
      <c r="BC144" s="751">
        <f t="shared" si="5"/>
        <v>0</v>
      </c>
      <c r="BD144" s="753">
        <f t="shared" si="6"/>
        <v>0</v>
      </c>
      <c r="BE144" s="753">
        <f t="shared" si="7"/>
        <v>0</v>
      </c>
      <c r="BF144" s="753">
        <f t="shared" si="8"/>
        <v>0</v>
      </c>
    </row>
    <row r="145" spans="4:58">
      <c r="D145" s="741">
        <v>470000</v>
      </c>
      <c r="E145" s="742">
        <v>610</v>
      </c>
      <c r="F145" s="751"/>
      <c r="G145" s="751"/>
      <c r="H145" s="751"/>
      <c r="I145" s="751"/>
      <c r="K145" s="741">
        <v>470000</v>
      </c>
      <c r="L145" s="742">
        <v>610</v>
      </c>
      <c r="M145" s="751"/>
      <c r="N145" s="751"/>
      <c r="O145" s="751"/>
      <c r="P145" s="751"/>
      <c r="R145" s="741">
        <v>470000</v>
      </c>
      <c r="S145" s="742">
        <v>610</v>
      </c>
      <c r="T145" s="751"/>
      <c r="U145" s="751"/>
      <c r="V145" s="751"/>
      <c r="W145" s="751"/>
      <c r="Y145" s="741">
        <v>470000</v>
      </c>
      <c r="Z145" s="742">
        <v>610</v>
      </c>
      <c r="AA145" s="751"/>
      <c r="AB145" s="751"/>
      <c r="AC145" s="751"/>
      <c r="AD145" s="751"/>
      <c r="AF145" s="741">
        <v>470000</v>
      </c>
      <c r="AG145" s="742">
        <v>610</v>
      </c>
      <c r="AH145" s="751"/>
      <c r="AI145" s="751"/>
      <c r="AJ145" s="751"/>
      <c r="AK145" s="751"/>
      <c r="AM145" s="741">
        <v>470000</v>
      </c>
      <c r="AN145" s="742">
        <v>610</v>
      </c>
      <c r="AO145" s="751"/>
      <c r="AP145" s="751"/>
      <c r="AQ145" s="751"/>
      <c r="AR145" s="751"/>
      <c r="AT145" s="741">
        <v>470000</v>
      </c>
      <c r="AU145" s="742">
        <v>610</v>
      </c>
      <c r="AV145" s="751"/>
      <c r="AW145" s="751"/>
      <c r="AX145" s="751"/>
      <c r="AY145" s="751"/>
      <c r="BA145" s="749">
        <v>470000</v>
      </c>
      <c r="BB145" s="750">
        <v>610</v>
      </c>
      <c r="BC145" s="751"/>
      <c r="BD145" s="753"/>
      <c r="BE145" s="753"/>
      <c r="BF145" s="753"/>
    </row>
    <row r="146" spans="4:58">
      <c r="D146" s="741">
        <v>470000</v>
      </c>
      <c r="E146" s="742">
        <v>620</v>
      </c>
      <c r="F146" s="751"/>
      <c r="G146" s="751"/>
      <c r="H146" s="751"/>
      <c r="I146" s="751"/>
      <c r="K146" s="741">
        <v>470000</v>
      </c>
      <c r="L146" s="742">
        <v>620</v>
      </c>
      <c r="M146" s="751"/>
      <c r="N146" s="751"/>
      <c r="O146" s="751"/>
      <c r="P146" s="751"/>
      <c r="R146" s="741">
        <v>470000</v>
      </c>
      <c r="S146" s="742">
        <v>620</v>
      </c>
      <c r="T146" s="751"/>
      <c r="U146" s="751"/>
      <c r="V146" s="751"/>
      <c r="W146" s="751"/>
      <c r="Y146" s="741">
        <v>470000</v>
      </c>
      <c r="Z146" s="742">
        <v>620</v>
      </c>
      <c r="AA146" s="751"/>
      <c r="AB146" s="751"/>
      <c r="AC146" s="751"/>
      <c r="AD146" s="751"/>
      <c r="AF146" s="741">
        <v>470000</v>
      </c>
      <c r="AG146" s="742">
        <v>620</v>
      </c>
      <c r="AH146" s="751"/>
      <c r="AI146" s="751"/>
      <c r="AJ146" s="751"/>
      <c r="AK146" s="751"/>
      <c r="AM146" s="741">
        <v>470000</v>
      </c>
      <c r="AN146" s="742">
        <v>620</v>
      </c>
      <c r="AO146" s="751"/>
      <c r="AP146" s="751"/>
      <c r="AQ146" s="751"/>
      <c r="AR146" s="751"/>
      <c r="AT146" s="741">
        <v>470000</v>
      </c>
      <c r="AU146" s="742">
        <v>620</v>
      </c>
      <c r="AV146" s="751"/>
      <c r="AW146" s="751"/>
      <c r="AX146" s="751"/>
      <c r="AY146" s="751"/>
      <c r="BA146" s="749">
        <v>470000</v>
      </c>
      <c r="BB146" s="750">
        <v>620</v>
      </c>
      <c r="BC146" s="751"/>
      <c r="BD146" s="753"/>
      <c r="BE146" s="753"/>
      <c r="BF146" s="753"/>
    </row>
    <row r="147" spans="4:58">
      <c r="D147" s="741">
        <v>470000</v>
      </c>
      <c r="E147" s="742">
        <v>900</v>
      </c>
      <c r="F147" s="751"/>
      <c r="G147" s="751"/>
      <c r="H147" s="751"/>
      <c r="I147" s="751"/>
      <c r="K147" s="741">
        <v>470000</v>
      </c>
      <c r="L147" s="742">
        <v>900</v>
      </c>
      <c r="M147" s="751"/>
      <c r="N147" s="751"/>
      <c r="O147" s="751"/>
      <c r="P147" s="751"/>
      <c r="R147" s="741">
        <v>470000</v>
      </c>
      <c r="S147" s="742">
        <v>900</v>
      </c>
      <c r="T147" s="751"/>
      <c r="U147" s="751"/>
      <c r="V147" s="751"/>
      <c r="W147" s="751"/>
      <c r="Y147" s="741">
        <v>470000</v>
      </c>
      <c r="Z147" s="742">
        <v>900</v>
      </c>
      <c r="AA147" s="751"/>
      <c r="AB147" s="751"/>
      <c r="AC147" s="751"/>
      <c r="AD147" s="751"/>
      <c r="AF147" s="741">
        <v>470000</v>
      </c>
      <c r="AG147" s="742">
        <v>900</v>
      </c>
      <c r="AH147" s="751"/>
      <c r="AI147" s="751"/>
      <c r="AJ147" s="751"/>
      <c r="AK147" s="751"/>
      <c r="AM147" s="741">
        <v>470000</v>
      </c>
      <c r="AN147" s="742">
        <v>900</v>
      </c>
      <c r="AO147" s="751"/>
      <c r="AP147" s="751"/>
      <c r="AQ147" s="751"/>
      <c r="AR147" s="751"/>
      <c r="AT147" s="741">
        <v>470000</v>
      </c>
      <c r="AU147" s="742">
        <v>900</v>
      </c>
      <c r="AV147" s="751"/>
      <c r="AW147" s="751"/>
      <c r="AX147" s="751"/>
      <c r="AY147" s="751"/>
      <c r="BA147" s="749">
        <v>470000</v>
      </c>
      <c r="BB147" s="750">
        <v>900</v>
      </c>
      <c r="BC147" s="751"/>
      <c r="BD147" s="753"/>
      <c r="BE147" s="753"/>
      <c r="BF147" s="753"/>
    </row>
    <row r="148" spans="4:58">
      <c r="D148" s="741">
        <v>480000</v>
      </c>
      <c r="E148" s="742">
        <v>100</v>
      </c>
      <c r="F148" s="751">
        <f>IF(B44=2000,'OPER.-MAJOR SP. REV. (B)(57-59)'!E32,0)</f>
        <v>0</v>
      </c>
      <c r="G148" s="751">
        <f>IF(B44=3000,'OPER.-MAJOR SP. REV. (B)(57-59)'!E32,0)</f>
        <v>0</v>
      </c>
      <c r="H148" s="751">
        <f>IF(B44=4000,'OPER.-MAJOR SP. REV. (B)(57-59)'!E32,0)</f>
        <v>0</v>
      </c>
      <c r="I148" s="751">
        <f>IF(B44=8000,'OPER.-MAJOR SP. REV. (B)(57-59)'!E32,0)</f>
        <v>0</v>
      </c>
      <c r="K148" s="741">
        <v>480000</v>
      </c>
      <c r="L148" s="742">
        <v>100</v>
      </c>
      <c r="M148" s="751">
        <f>IF(B45=2000,'OPER.-MAJOR SP. REV. (B)(57-59)'!I32,0)</f>
        <v>0</v>
      </c>
      <c r="N148" s="751">
        <f>IF(B45=3000,'OPER.-MAJOR SP. REV. (B)(57-59)'!I32,0)</f>
        <v>0</v>
      </c>
      <c r="O148" s="751">
        <f>IF(B45=4000,'OPER.-MAJOR SP. REV. (B)(57-59)'!I32,0)</f>
        <v>0</v>
      </c>
      <c r="P148" s="751">
        <f>IF(B45=8000,'OPER.-MAJOR SP. REV. (B)(57-59)'!I32,0)</f>
        <v>0</v>
      </c>
      <c r="R148" s="741">
        <v>480000</v>
      </c>
      <c r="S148" s="742">
        <v>100</v>
      </c>
      <c r="T148" s="751">
        <f>IF(B46=2000,'OPER.-MAJOR SP. REV. (B)(57-59)'!M32,0)</f>
        <v>0</v>
      </c>
      <c r="U148" s="751">
        <f>IF(B46=3000,'OPER.-MAJOR SP. REV. (B)(57-59)'!M32,0)</f>
        <v>0</v>
      </c>
      <c r="V148" s="751">
        <f>IF(B46=4000,'OPER.-MAJOR SP. REV. (B)(57-59)'!M32,0)</f>
        <v>0</v>
      </c>
      <c r="W148" s="751">
        <f>IF(B46=8000,'OPER.-MAJOR SP. REV. (B)(57-59)'!M32,0)</f>
        <v>0</v>
      </c>
      <c r="Y148" s="741">
        <v>480000</v>
      </c>
      <c r="Z148" s="742">
        <v>100</v>
      </c>
      <c r="AA148" s="751">
        <f>IF(B47=2000,'OPER.-MAJOR SP. REV. (B)(57-59)'!Q32,0)</f>
        <v>0</v>
      </c>
      <c r="AB148" s="751">
        <f>IF(B47=3000,'OPER.-MAJOR SP. REV. (B)(57-59)'!Q32,0)</f>
        <v>0</v>
      </c>
      <c r="AC148" s="751">
        <f>IF(B47=4000,'OPER.-MAJOR SP. REV. (B)(57-59)'!Q32,0)</f>
        <v>0</v>
      </c>
      <c r="AD148" s="751">
        <f>IF(B47=8000,'OPER.-MAJOR SP. REV. (B)(57-59)'!Q32,0)</f>
        <v>0</v>
      </c>
      <c r="AF148" s="741">
        <v>480000</v>
      </c>
      <c r="AG148" s="742">
        <v>100</v>
      </c>
      <c r="AH148" s="751">
        <f>IF(B48=2000,'OPER.-MAJOR SP. REV. (B)(57-59)'!U32,0)</f>
        <v>0</v>
      </c>
      <c r="AI148" s="751">
        <f>IF(B48=3000,'OPER.-MAJOR SP. REV. (B)(57-59)'!U32,0)</f>
        <v>0</v>
      </c>
      <c r="AJ148" s="751">
        <f>IF(B48=4000,'OPER.-MAJOR SP. REV. (B)(57-59)'!U32,0)</f>
        <v>0</v>
      </c>
      <c r="AK148" s="751">
        <f>IF(B48=8000,'OPER.-MAJOR SP. REV. (B)(57-59)'!U32,0)</f>
        <v>0</v>
      </c>
      <c r="AM148" s="741">
        <v>480000</v>
      </c>
      <c r="AN148" s="742">
        <v>100</v>
      </c>
      <c r="AO148" s="751">
        <f>IF(B49=2000,'OPER.-MAJOR SP. REV. (B)(57-59)'!Y32,0)</f>
        <v>0</v>
      </c>
      <c r="AP148" s="751">
        <f>IF(B49=3000,'OPER.-MAJOR SP. REV. (B)(57-59)'!Y32,0)</f>
        <v>0</v>
      </c>
      <c r="AQ148" s="751">
        <f>IF(B49=4000,'OPER.-MAJOR SP. REV. (B)(57-59)'!Y32,0)</f>
        <v>0</v>
      </c>
      <c r="AR148" s="751">
        <f>IF(B49=8000,'OPER.-MAJOR SP. REV. (B)(57-59)'!Y32,0)</f>
        <v>0</v>
      </c>
      <c r="AT148" s="741">
        <v>480000</v>
      </c>
      <c r="AU148" s="742">
        <v>100</v>
      </c>
      <c r="AV148" s="751">
        <f>IF(B50=2000,'OPER.-MAJOR SP. REV. (B)(57-59)'!AC32,0)</f>
        <v>0</v>
      </c>
      <c r="AW148" s="751">
        <f>IF(B50=3000,'OPER.-MAJOR SP. REV. (B)(57-59)'!AC32,0)</f>
        <v>0</v>
      </c>
      <c r="AX148" s="751">
        <f>IF(B50=4000,'OPER.-MAJOR SP. REV. (B)(57-59)'!AC32,0)</f>
        <v>0</v>
      </c>
      <c r="AY148" s="751">
        <f>IF(B50=8000,'OPER.-MAJOR SP. REV. (B)(57-59)'!AC32,0)</f>
        <v>0</v>
      </c>
      <c r="BA148" s="749">
        <v>480000</v>
      </c>
      <c r="BB148" s="750">
        <v>100</v>
      </c>
      <c r="BC148" s="751">
        <f t="shared" si="5"/>
        <v>0</v>
      </c>
      <c r="BD148" s="753">
        <f t="shared" si="6"/>
        <v>0</v>
      </c>
      <c r="BE148" s="753">
        <f t="shared" si="7"/>
        <v>0</v>
      </c>
      <c r="BF148" s="753">
        <f t="shared" si="8"/>
        <v>0</v>
      </c>
    </row>
    <row r="149" spans="4:58">
      <c r="D149" s="741">
        <v>480000</v>
      </c>
      <c r="E149" s="742">
        <v>200</v>
      </c>
      <c r="F149" s="751">
        <f>IF(B44=2000,'OPER.-MAJOR SP. REV. (B)(57-59)'!E33,0)</f>
        <v>0</v>
      </c>
      <c r="G149" s="751">
        <f>IF(B44=3000,'OPER.-MAJOR SP. REV. (B)(57-59)'!E33,0)</f>
        <v>0</v>
      </c>
      <c r="H149" s="751">
        <f>IF(B44=4000,'OPER.-MAJOR SP. REV. (B)(57-59)'!E33,0)</f>
        <v>0</v>
      </c>
      <c r="I149" s="751">
        <f>IF(B44=8000,'OPER.-MAJOR SP. REV. (B)(57-59)'!E33,0)</f>
        <v>0</v>
      </c>
      <c r="K149" s="741">
        <v>480000</v>
      </c>
      <c r="L149" s="742">
        <v>200</v>
      </c>
      <c r="M149" s="751">
        <f>IF(B45=2000,'OPER.-MAJOR SP. REV. (B)(57-59)'!I33,0)</f>
        <v>0</v>
      </c>
      <c r="N149" s="751">
        <f>IF(B45=3000,'OPER.-MAJOR SP. REV. (B)(57-59)'!I33,0)</f>
        <v>0</v>
      </c>
      <c r="O149" s="751">
        <f>IF(B45=4000,'OPER.-MAJOR SP. REV. (B)(57-59)'!I33,0)</f>
        <v>0</v>
      </c>
      <c r="P149" s="751">
        <f>IF(B45=8000,'OPER.-MAJOR SP. REV. (B)(57-59)'!I33,0)</f>
        <v>0</v>
      </c>
      <c r="R149" s="741">
        <v>480000</v>
      </c>
      <c r="S149" s="742">
        <v>200</v>
      </c>
      <c r="T149" s="751">
        <f>IF(B46=2000,'OPER.-MAJOR SP. REV. (B)(57-59)'!M33,0)</f>
        <v>0</v>
      </c>
      <c r="U149" s="751">
        <f>IF(B46=3000,'OPER.-MAJOR SP. REV. (B)(57-59)'!M33,0)</f>
        <v>0</v>
      </c>
      <c r="V149" s="751">
        <f>IF(B46=4000,'OPER.-MAJOR SP. REV. (B)(57-59)'!M33,0)</f>
        <v>0</v>
      </c>
      <c r="W149" s="751">
        <f>IF(B46=8000,'OPER.-MAJOR SP. REV. (B)(57-59)'!M33,0)</f>
        <v>0</v>
      </c>
      <c r="Y149" s="741">
        <v>480000</v>
      </c>
      <c r="Z149" s="742">
        <v>200</v>
      </c>
      <c r="AA149" s="751">
        <f>IF(B47=2000,'OPER.-MAJOR SP. REV. (B)(57-59)'!Q33,0)</f>
        <v>0</v>
      </c>
      <c r="AB149" s="751">
        <f>IF(B47=3000,'OPER.-MAJOR SP. REV. (B)(57-59)'!Q33,0)</f>
        <v>0</v>
      </c>
      <c r="AC149" s="751">
        <f>IF(B47=4000,'OPER.-MAJOR SP. REV. (B)(57-59)'!Q33,0)</f>
        <v>0</v>
      </c>
      <c r="AD149" s="751">
        <f>IF(B47=8000,'OPER.-MAJOR SP. REV. (B)(57-59)'!Q33,0)</f>
        <v>0</v>
      </c>
      <c r="AF149" s="741">
        <v>480000</v>
      </c>
      <c r="AG149" s="742">
        <v>200</v>
      </c>
      <c r="AH149" s="751">
        <f>IF(B48=2000,'OPER.-MAJOR SP. REV. (B)(57-59)'!U33,0)</f>
        <v>0</v>
      </c>
      <c r="AI149" s="751">
        <f>IF(B48=3000,'OPER.-MAJOR SP. REV. (B)(57-59)'!U33,0)</f>
        <v>0</v>
      </c>
      <c r="AJ149" s="751">
        <f>IF(B48=4000,'OPER.-MAJOR SP. REV. (B)(57-59)'!U33,0)</f>
        <v>0</v>
      </c>
      <c r="AK149" s="751">
        <f>IF(B48=8000,'OPER.-MAJOR SP. REV. (B)(57-59)'!U33,0)</f>
        <v>0</v>
      </c>
      <c r="AM149" s="741">
        <v>480000</v>
      </c>
      <c r="AN149" s="742">
        <v>200</v>
      </c>
      <c r="AO149" s="751">
        <f>IF(B49=2000,'OPER.-MAJOR SP. REV. (B)(57-59)'!Y33,0)</f>
        <v>0</v>
      </c>
      <c r="AP149" s="751">
        <f>IF(B49=3000,'OPER.-MAJOR SP. REV. (B)(57-59)'!Y33,0)</f>
        <v>0</v>
      </c>
      <c r="AQ149" s="751">
        <f>IF(B49=4000,'OPER.-MAJOR SP. REV. (B)(57-59)'!Y33,0)</f>
        <v>0</v>
      </c>
      <c r="AR149" s="751">
        <f>IF(B49=8000,'OPER.-MAJOR SP. REV. (B)(57-59)'!Y33,0)</f>
        <v>0</v>
      </c>
      <c r="AT149" s="741">
        <v>480000</v>
      </c>
      <c r="AU149" s="742">
        <v>200</v>
      </c>
      <c r="AV149" s="751">
        <f>IF(B50=2000,'OPER.-MAJOR SP. REV. (B)(57-59)'!AC33,0)</f>
        <v>0</v>
      </c>
      <c r="AW149" s="751">
        <f>IF(B50=3000,'OPER.-MAJOR SP. REV. (B)(57-59)'!AC33,0)</f>
        <v>0</v>
      </c>
      <c r="AX149" s="751">
        <f>IF(B50=4000,'OPER.-MAJOR SP. REV. (B)(57-59)'!AC33,0)</f>
        <v>0</v>
      </c>
      <c r="AY149" s="751">
        <f>IF(B50=8000,'OPER.-MAJOR SP. REV. (B)(57-59)'!AC33,0)</f>
        <v>0</v>
      </c>
      <c r="BA149" s="749">
        <v>480000</v>
      </c>
      <c r="BB149" s="750">
        <v>200</v>
      </c>
      <c r="BC149" s="751">
        <f t="shared" si="5"/>
        <v>0</v>
      </c>
      <c r="BD149" s="753">
        <f t="shared" si="6"/>
        <v>0</v>
      </c>
      <c r="BE149" s="753">
        <f t="shared" si="7"/>
        <v>0</v>
      </c>
      <c r="BF149" s="753">
        <f t="shared" si="8"/>
        <v>0</v>
      </c>
    </row>
    <row r="150" spans="4:58">
      <c r="D150" s="741">
        <v>480000</v>
      </c>
      <c r="E150" s="742">
        <v>610</v>
      </c>
      <c r="F150" s="751"/>
      <c r="G150" s="751"/>
      <c r="H150" s="751"/>
      <c r="I150" s="751"/>
      <c r="K150" s="741">
        <v>480000</v>
      </c>
      <c r="L150" s="742">
        <v>610</v>
      </c>
      <c r="M150" s="751"/>
      <c r="N150" s="751"/>
      <c r="O150" s="751"/>
      <c r="P150" s="751"/>
      <c r="R150" s="741">
        <v>480000</v>
      </c>
      <c r="S150" s="742">
        <v>610</v>
      </c>
      <c r="T150" s="751"/>
      <c r="U150" s="751"/>
      <c r="V150" s="751"/>
      <c r="W150" s="751"/>
      <c r="Y150" s="741">
        <v>480000</v>
      </c>
      <c r="Z150" s="742">
        <v>610</v>
      </c>
      <c r="AA150" s="751"/>
      <c r="AB150" s="751"/>
      <c r="AC150" s="751"/>
      <c r="AD150" s="751"/>
      <c r="AF150" s="741">
        <v>480000</v>
      </c>
      <c r="AG150" s="742">
        <v>610</v>
      </c>
      <c r="AH150" s="751"/>
      <c r="AI150" s="751"/>
      <c r="AJ150" s="751"/>
      <c r="AK150" s="751"/>
      <c r="AM150" s="741">
        <v>480000</v>
      </c>
      <c r="AN150" s="742">
        <v>610</v>
      </c>
      <c r="AO150" s="751"/>
      <c r="AP150" s="751"/>
      <c r="AQ150" s="751"/>
      <c r="AR150" s="751"/>
      <c r="AT150" s="741">
        <v>480000</v>
      </c>
      <c r="AU150" s="742">
        <v>610</v>
      </c>
      <c r="AV150" s="751"/>
      <c r="AW150" s="751"/>
      <c r="AX150" s="751"/>
      <c r="AY150" s="751"/>
      <c r="BA150" s="749">
        <v>480000</v>
      </c>
      <c r="BB150" s="750">
        <v>610</v>
      </c>
      <c r="BC150" s="751"/>
      <c r="BD150" s="753"/>
      <c r="BE150" s="753"/>
      <c r="BF150" s="753"/>
    </row>
    <row r="151" spans="4:58">
      <c r="D151" s="741">
        <v>480000</v>
      </c>
      <c r="E151" s="742">
        <v>620</v>
      </c>
      <c r="F151" s="751"/>
      <c r="G151" s="751"/>
      <c r="H151" s="751"/>
      <c r="I151" s="751"/>
      <c r="K151" s="741">
        <v>480000</v>
      </c>
      <c r="L151" s="742">
        <v>620</v>
      </c>
      <c r="M151" s="751"/>
      <c r="N151" s="751"/>
      <c r="O151" s="751"/>
      <c r="P151" s="751"/>
      <c r="R151" s="741">
        <v>480000</v>
      </c>
      <c r="S151" s="742">
        <v>620</v>
      </c>
      <c r="T151" s="751"/>
      <c r="U151" s="751"/>
      <c r="V151" s="751"/>
      <c r="W151" s="751"/>
      <c r="Y151" s="741">
        <v>480000</v>
      </c>
      <c r="Z151" s="742">
        <v>620</v>
      </c>
      <c r="AA151" s="751"/>
      <c r="AB151" s="751"/>
      <c r="AC151" s="751"/>
      <c r="AD151" s="751"/>
      <c r="AF151" s="741">
        <v>480000</v>
      </c>
      <c r="AG151" s="742">
        <v>620</v>
      </c>
      <c r="AH151" s="751"/>
      <c r="AI151" s="751"/>
      <c r="AJ151" s="751"/>
      <c r="AK151" s="751"/>
      <c r="AM151" s="741">
        <v>480000</v>
      </c>
      <c r="AN151" s="742">
        <v>620</v>
      </c>
      <c r="AO151" s="751"/>
      <c r="AP151" s="751"/>
      <c r="AQ151" s="751"/>
      <c r="AR151" s="751"/>
      <c r="AT151" s="741">
        <v>480000</v>
      </c>
      <c r="AU151" s="742">
        <v>620</v>
      </c>
      <c r="AV151" s="751"/>
      <c r="AW151" s="751"/>
      <c r="AX151" s="751"/>
      <c r="AY151" s="751"/>
      <c r="BA151" s="749">
        <v>480000</v>
      </c>
      <c r="BB151" s="750">
        <v>620</v>
      </c>
      <c r="BC151" s="751"/>
      <c r="BD151" s="753"/>
      <c r="BE151" s="753"/>
      <c r="BF151" s="753"/>
    </row>
    <row r="152" spans="4:58">
      <c r="D152" s="741">
        <v>480000</v>
      </c>
      <c r="E152" s="742">
        <v>900</v>
      </c>
      <c r="F152" s="751"/>
      <c r="G152" s="751"/>
      <c r="H152" s="751"/>
      <c r="I152" s="751"/>
      <c r="K152" s="741">
        <v>480000</v>
      </c>
      <c r="L152" s="742">
        <v>900</v>
      </c>
      <c r="M152" s="751"/>
      <c r="N152" s="751"/>
      <c r="O152" s="751"/>
      <c r="P152" s="751"/>
      <c r="R152" s="741">
        <v>480000</v>
      </c>
      <c r="S152" s="742">
        <v>900</v>
      </c>
      <c r="T152" s="751"/>
      <c r="U152" s="751"/>
      <c r="V152" s="751"/>
      <c r="W152" s="751"/>
      <c r="Y152" s="741">
        <v>480000</v>
      </c>
      <c r="Z152" s="742">
        <v>900</v>
      </c>
      <c r="AA152" s="751"/>
      <c r="AB152" s="751"/>
      <c r="AC152" s="751"/>
      <c r="AD152" s="751"/>
      <c r="AF152" s="741">
        <v>480000</v>
      </c>
      <c r="AG152" s="742">
        <v>900</v>
      </c>
      <c r="AH152" s="751"/>
      <c r="AI152" s="751"/>
      <c r="AJ152" s="751"/>
      <c r="AK152" s="751"/>
      <c r="AM152" s="741">
        <v>480000</v>
      </c>
      <c r="AN152" s="742">
        <v>900</v>
      </c>
      <c r="AO152" s="751"/>
      <c r="AP152" s="751"/>
      <c r="AQ152" s="751"/>
      <c r="AR152" s="751"/>
      <c r="AT152" s="741">
        <v>480000</v>
      </c>
      <c r="AU152" s="742">
        <v>900</v>
      </c>
      <c r="AV152" s="751"/>
      <c r="AW152" s="751"/>
      <c r="AX152" s="751"/>
      <c r="AY152" s="751"/>
      <c r="BA152" s="749">
        <v>480000</v>
      </c>
      <c r="BB152" s="750">
        <v>900</v>
      </c>
      <c r="BC152" s="751"/>
      <c r="BD152" s="753"/>
      <c r="BE152" s="753"/>
      <c r="BF152" s="753"/>
    </row>
    <row r="153" spans="4:58">
      <c r="D153" s="741">
        <v>490000</v>
      </c>
      <c r="E153" s="742">
        <v>100</v>
      </c>
      <c r="F153" s="751"/>
      <c r="G153" s="751"/>
      <c r="H153" s="751"/>
      <c r="I153" s="751"/>
      <c r="K153" s="741">
        <v>490000</v>
      </c>
      <c r="L153" s="742">
        <v>100</v>
      </c>
      <c r="M153" s="751"/>
      <c r="N153" s="751"/>
      <c r="O153" s="751"/>
      <c r="P153" s="751"/>
      <c r="R153" s="741">
        <v>490000</v>
      </c>
      <c r="S153" s="742">
        <v>100</v>
      </c>
      <c r="T153" s="751"/>
      <c r="U153" s="751"/>
      <c r="V153" s="751"/>
      <c r="W153" s="751"/>
      <c r="Y153" s="741">
        <v>490000</v>
      </c>
      <c r="Z153" s="742">
        <v>100</v>
      </c>
      <c r="AA153" s="751"/>
      <c r="AB153" s="751"/>
      <c r="AC153" s="751"/>
      <c r="AD153" s="751"/>
      <c r="AF153" s="741">
        <v>490000</v>
      </c>
      <c r="AG153" s="742">
        <v>100</v>
      </c>
      <c r="AH153" s="751"/>
      <c r="AI153" s="751"/>
      <c r="AJ153" s="751"/>
      <c r="AK153" s="751"/>
      <c r="AM153" s="741">
        <v>490000</v>
      </c>
      <c r="AN153" s="742">
        <v>100</v>
      </c>
      <c r="AO153" s="751"/>
      <c r="AP153" s="751"/>
      <c r="AQ153" s="751"/>
      <c r="AR153" s="751"/>
      <c r="AT153" s="741">
        <v>490000</v>
      </c>
      <c r="AU153" s="742">
        <v>100</v>
      </c>
      <c r="AV153" s="751"/>
      <c r="AW153" s="751"/>
      <c r="AX153" s="751"/>
      <c r="AY153" s="751"/>
      <c r="BA153" s="749">
        <v>490000</v>
      </c>
      <c r="BB153" s="750">
        <v>100</v>
      </c>
      <c r="BC153" s="751"/>
      <c r="BD153" s="753"/>
      <c r="BE153" s="753"/>
      <c r="BF153" s="753"/>
    </row>
    <row r="154" spans="4:58">
      <c r="D154" s="741">
        <v>490000</v>
      </c>
      <c r="E154" s="742">
        <v>200</v>
      </c>
      <c r="F154" s="751"/>
      <c r="G154" s="751"/>
      <c r="H154" s="751"/>
      <c r="I154" s="751"/>
      <c r="K154" s="741">
        <v>490000</v>
      </c>
      <c r="L154" s="742">
        <v>200</v>
      </c>
      <c r="M154" s="751"/>
      <c r="N154" s="751"/>
      <c r="O154" s="751"/>
      <c r="P154" s="751"/>
      <c r="R154" s="741">
        <v>490000</v>
      </c>
      <c r="S154" s="742">
        <v>200</v>
      </c>
      <c r="T154" s="751"/>
      <c r="U154" s="751"/>
      <c r="V154" s="751"/>
      <c r="W154" s="751"/>
      <c r="Y154" s="741">
        <v>490000</v>
      </c>
      <c r="Z154" s="742">
        <v>200</v>
      </c>
      <c r="AA154" s="751"/>
      <c r="AB154" s="751"/>
      <c r="AC154" s="751"/>
      <c r="AD154" s="751"/>
      <c r="AF154" s="741">
        <v>490000</v>
      </c>
      <c r="AG154" s="742">
        <v>200</v>
      </c>
      <c r="AH154" s="751"/>
      <c r="AI154" s="751"/>
      <c r="AJ154" s="751"/>
      <c r="AK154" s="751"/>
      <c r="AM154" s="741">
        <v>490000</v>
      </c>
      <c r="AN154" s="742">
        <v>200</v>
      </c>
      <c r="AO154" s="751"/>
      <c r="AP154" s="751"/>
      <c r="AQ154" s="751"/>
      <c r="AR154" s="751"/>
      <c r="AT154" s="741">
        <v>490000</v>
      </c>
      <c r="AU154" s="742">
        <v>200</v>
      </c>
      <c r="AV154" s="751"/>
      <c r="AW154" s="751"/>
      <c r="AX154" s="751"/>
      <c r="AY154" s="751"/>
      <c r="BA154" s="749">
        <v>490000</v>
      </c>
      <c r="BB154" s="750">
        <v>200</v>
      </c>
      <c r="BC154" s="751"/>
      <c r="BD154" s="753"/>
      <c r="BE154" s="753"/>
      <c r="BF154" s="753"/>
    </row>
    <row r="155" spans="4:58">
      <c r="D155" s="741">
        <v>490000</v>
      </c>
      <c r="E155" s="742">
        <v>610</v>
      </c>
      <c r="F155" s="751">
        <f>IF(B44=2000,'OPER.-MAJOR SP. REV. (B)(57-59)'!E36,0)</f>
        <v>0</v>
      </c>
      <c r="G155" s="751">
        <f>IF(B44=3000,'OPER.-MAJOR SP. REV. (B)(57-59)'!E36,0)</f>
        <v>0</v>
      </c>
      <c r="H155" s="751">
        <f>IF(B44=4000,'OPER.-MAJOR SP. REV. (B)(57-59)'!E36,0)</f>
        <v>0</v>
      </c>
      <c r="I155" s="751">
        <f>IF(B44=8000,'OPER.-MAJOR SP. REV. (B)(57-59)'!E36,0)</f>
        <v>0</v>
      </c>
      <c r="K155" s="741">
        <v>490000</v>
      </c>
      <c r="L155" s="742">
        <v>610</v>
      </c>
      <c r="M155" s="751">
        <f>IF(B45=2000,'OPER.-MAJOR SP. REV. (B)(57-59)'!I36,0)</f>
        <v>0</v>
      </c>
      <c r="N155" s="751">
        <f>IF(B45=3000,'OPER.-MAJOR SP. REV. (B)(57-59)'!I36,0)</f>
        <v>0</v>
      </c>
      <c r="O155" s="751">
        <f>IF(B45=4000,'OPER.-MAJOR SP. REV. (B)(57-59)'!I36,0)</f>
        <v>0</v>
      </c>
      <c r="P155" s="751">
        <f>IF(B45=8000,'OPER.-MAJOR SP. REV. (B)(57-59)'!I36,0)</f>
        <v>0</v>
      </c>
      <c r="R155" s="741">
        <v>490000</v>
      </c>
      <c r="S155" s="742">
        <v>610</v>
      </c>
      <c r="T155" s="751">
        <f>IF(B46=2000,'OPER.-MAJOR SP. REV. (B)(57-59)'!M36,0)</f>
        <v>0</v>
      </c>
      <c r="U155" s="751">
        <f>IF(B46=3000,'OPER.-MAJOR SP. REV. (B)(57-59)'!M36,0)</f>
        <v>0</v>
      </c>
      <c r="V155" s="751">
        <f>IF(B46=4000,'OPER.-MAJOR SP. REV. (B)(57-59)'!M36,0)</f>
        <v>0</v>
      </c>
      <c r="W155" s="751">
        <f>IF(B46=8000,'OPER.-MAJOR SP. REV. (B)(57-59)'!M36,0)</f>
        <v>0</v>
      </c>
      <c r="Y155" s="741">
        <v>490000</v>
      </c>
      <c r="Z155" s="742">
        <v>610</v>
      </c>
      <c r="AA155" s="751">
        <f>IF(B47=2000,'OPER.-MAJOR SP. REV. (B)(57-59)'!Q36,0)</f>
        <v>0</v>
      </c>
      <c r="AB155" s="751">
        <f>IF(B47=3000,'OPER.-MAJOR SP. REV. (B)(57-59)'!Q36,0)</f>
        <v>0</v>
      </c>
      <c r="AC155" s="751">
        <f>IF(B47=4000,'OPER.-MAJOR SP. REV. (B)(57-59)'!Q36,0)</f>
        <v>0</v>
      </c>
      <c r="AD155" s="751">
        <f>IF(B47=8000,'OPER.-MAJOR SP. REV. (B)(57-59)'!Q36,0)</f>
        <v>0</v>
      </c>
      <c r="AF155" s="741">
        <v>490000</v>
      </c>
      <c r="AG155" s="742">
        <v>610</v>
      </c>
      <c r="AH155" s="751">
        <f>IF(B48=2000,'OPER.-MAJOR SP. REV. (B)(57-59)'!U36,0)</f>
        <v>0</v>
      </c>
      <c r="AI155" s="751">
        <f>IF(B48=3000,'OPER.-MAJOR SP. REV. (B)(57-59)'!U36,0)</f>
        <v>0</v>
      </c>
      <c r="AJ155" s="751">
        <f>IF(B48=4000,'OPER.-MAJOR SP. REV. (B)(57-59)'!U36,0)</f>
        <v>0</v>
      </c>
      <c r="AK155" s="751">
        <f>IF(B48=8000,'OPER.-MAJOR SP. REV. (B)(57-59)'!U36,0)</f>
        <v>0</v>
      </c>
      <c r="AM155" s="741">
        <v>490000</v>
      </c>
      <c r="AN155" s="742">
        <v>610</v>
      </c>
      <c r="AO155" s="751">
        <f>IF(B49=2000,'OPER.-MAJOR SP. REV. (B)(57-59)'!Y36,0)</f>
        <v>0</v>
      </c>
      <c r="AP155" s="751">
        <f>IF(B49=3000,'OPER.-MAJOR SP. REV. (B)(57-59)'!Y36,0)</f>
        <v>0</v>
      </c>
      <c r="AQ155" s="751">
        <f>IF(B49=4000,'OPER.-MAJOR SP. REV. (B)(57-59)'!Y36,0)</f>
        <v>0</v>
      </c>
      <c r="AR155" s="751">
        <f>IF(B49=8000,'OPER.-MAJOR SP. REV. (B)(57-59)'!Y36,0)</f>
        <v>0</v>
      </c>
      <c r="AT155" s="741">
        <v>490000</v>
      </c>
      <c r="AU155" s="742">
        <v>610</v>
      </c>
      <c r="AV155" s="751">
        <f>IF(B50=2000,'OPER.-MAJOR SP. REV. (B)(57-59)'!AC36,0)</f>
        <v>0</v>
      </c>
      <c r="AW155" s="751">
        <f>IF(B50=3000,'OPER.-MAJOR SP. REV. (B)(57-59)'!AC36,0)</f>
        <v>0</v>
      </c>
      <c r="AX155" s="751">
        <f>IF(B50=4000,'OPER.-MAJOR SP. REV. (B)(57-59)'!AC36,0)</f>
        <v>0</v>
      </c>
      <c r="AY155" s="751">
        <f>IF(B50=8000,'OPER.-MAJOR SP. REV. (B)(57-59)'!AC36,0)</f>
        <v>0</v>
      </c>
      <c r="BA155" s="749">
        <v>490000</v>
      </c>
      <c r="BB155" s="750">
        <v>610</v>
      </c>
      <c r="BC155" s="751">
        <f t="shared" si="5"/>
        <v>0</v>
      </c>
      <c r="BD155" s="753">
        <f t="shared" si="6"/>
        <v>0</v>
      </c>
      <c r="BE155" s="753">
        <f t="shared" si="7"/>
        <v>0</v>
      </c>
      <c r="BF155" s="753">
        <f t="shared" si="8"/>
        <v>0</v>
      </c>
    </row>
    <row r="156" spans="4:58">
      <c r="D156" s="741">
        <v>490000</v>
      </c>
      <c r="E156" s="742">
        <v>620</v>
      </c>
      <c r="F156" s="751">
        <f>IF(B44=2000,'OPER.-MAJOR SP. REV. (B)(57-59)'!E37,0)</f>
        <v>0</v>
      </c>
      <c r="G156" s="751">
        <f>IF(B44=3000,'OPER.-MAJOR SP. REV. (B)(57-59)'!E37,0)</f>
        <v>0</v>
      </c>
      <c r="H156" s="751">
        <f>IF(B44=4000,'OPER.-MAJOR SP. REV. (B)(57-59)'!E37,0)</f>
        <v>0</v>
      </c>
      <c r="I156" s="751">
        <f>IF(B44=8000,'OPER.-MAJOR SP. REV. (B)(57-59)'!E37,0)</f>
        <v>0</v>
      </c>
      <c r="K156" s="741">
        <v>490000</v>
      </c>
      <c r="L156" s="742">
        <v>620</v>
      </c>
      <c r="M156" s="751">
        <f>IF(B45=2000,'OPER.-MAJOR SP. REV. (B)(57-59)'!I37,0)</f>
        <v>0</v>
      </c>
      <c r="N156" s="751">
        <f>IF(B45=3000,'OPER.-MAJOR SP. REV. (B)(57-59)'!I37,0)</f>
        <v>0</v>
      </c>
      <c r="O156" s="751">
        <f>IF(B45=4000,'OPER.-MAJOR SP. REV. (B)(57-59)'!I37,0)</f>
        <v>0</v>
      </c>
      <c r="P156" s="751">
        <f>IF(B45=8000,'OPER.-MAJOR SP. REV. (B)(57-59)'!I37,0)</f>
        <v>0</v>
      </c>
      <c r="R156" s="741">
        <v>490000</v>
      </c>
      <c r="S156" s="742">
        <v>620</v>
      </c>
      <c r="T156" s="751">
        <f>IF(B46=2000,'OPER.-MAJOR SP. REV. (B)(57-59)'!M37,0)</f>
        <v>0</v>
      </c>
      <c r="U156" s="751">
        <f>IF(B46=3000,'OPER.-MAJOR SP. REV. (B)(57-59)'!M37,0)</f>
        <v>0</v>
      </c>
      <c r="V156" s="751">
        <f>IF(B46=4000,'OPER.-MAJOR SP. REV. (B)(57-59)'!M37,0)</f>
        <v>0</v>
      </c>
      <c r="W156" s="751">
        <f>IF(B46=8000,'OPER.-MAJOR SP. REV. (B)(57-59)'!M37,0)</f>
        <v>0</v>
      </c>
      <c r="Y156" s="741">
        <v>490000</v>
      </c>
      <c r="Z156" s="742">
        <v>620</v>
      </c>
      <c r="AA156" s="751">
        <f>IF(B47=2000,'OPER.-MAJOR SP. REV. (B)(57-59)'!Q37,0)</f>
        <v>0</v>
      </c>
      <c r="AB156" s="751">
        <f>IF(B47=3000,'OPER.-MAJOR SP. REV. (B)(57-59)'!Q37,0)</f>
        <v>0</v>
      </c>
      <c r="AC156" s="751">
        <f>IF(B47=4000,'OPER.-MAJOR SP. REV. (B)(57-59)'!Q37,0)</f>
        <v>0</v>
      </c>
      <c r="AD156" s="751">
        <f>IF(B47=8000,'OPER.-MAJOR SP. REV. (B)(57-59)'!Q37,0)</f>
        <v>0</v>
      </c>
      <c r="AF156" s="741">
        <v>490000</v>
      </c>
      <c r="AG156" s="742">
        <v>620</v>
      </c>
      <c r="AH156" s="751">
        <f>IF(B48=2000,'OPER.-MAJOR SP. REV. (B)(57-59)'!U37,0)</f>
        <v>0</v>
      </c>
      <c r="AI156" s="751">
        <f>IF(B48=3000,'OPER.-MAJOR SP. REV. (B)(57-59)'!U37,0)</f>
        <v>0</v>
      </c>
      <c r="AJ156" s="751">
        <f>IF(B48=4000,'OPER.-MAJOR SP. REV. (B)(57-59)'!U37,0)</f>
        <v>0</v>
      </c>
      <c r="AK156" s="751">
        <f>IF(B48=8000,'OPER.-MAJOR SP. REV. (B)(57-59)'!U37,0)</f>
        <v>0</v>
      </c>
      <c r="AM156" s="741">
        <v>490000</v>
      </c>
      <c r="AN156" s="742">
        <v>620</v>
      </c>
      <c r="AO156" s="751">
        <f>IF(B49=2000,'OPER.-MAJOR SP. REV. (B)(57-59)'!Y37,0)</f>
        <v>0</v>
      </c>
      <c r="AP156" s="751">
        <f>IF(B49=3000,'OPER.-MAJOR SP. REV. (B)(57-59)'!Y37,0)</f>
        <v>0</v>
      </c>
      <c r="AQ156" s="751">
        <f>IF(B49=4000,'OPER.-MAJOR SP. REV. (B)(57-59)'!Y37,0)</f>
        <v>0</v>
      </c>
      <c r="AR156" s="751">
        <f>IF(B49=8000,'OPER.-MAJOR SP. REV. (B)(57-59)'!Y37,0)</f>
        <v>0</v>
      </c>
      <c r="AT156" s="741">
        <v>490000</v>
      </c>
      <c r="AU156" s="742">
        <v>620</v>
      </c>
      <c r="AV156" s="751">
        <f>IF(B50=2000,'OPER.-MAJOR SP. REV. (B)(57-59)'!AC37,0)</f>
        <v>0</v>
      </c>
      <c r="AW156" s="751">
        <f>IF(B50=3000,'OPER.-MAJOR SP. REV. (B)(57-59)'!AC37,0)</f>
        <v>0</v>
      </c>
      <c r="AX156" s="751">
        <f>IF(B50=4000,'OPER.-MAJOR SP. REV. (B)(57-59)'!AC37,0)</f>
        <v>0</v>
      </c>
      <c r="AY156" s="751">
        <f>IF(B50=8000,'OPER.-MAJOR SP. REV. (B)(57-59)'!AC37,0)</f>
        <v>0</v>
      </c>
      <c r="BA156" s="749">
        <v>490000</v>
      </c>
      <c r="BB156" s="750">
        <v>620</v>
      </c>
      <c r="BC156" s="751">
        <f t="shared" si="5"/>
        <v>0</v>
      </c>
      <c r="BD156" s="753">
        <f t="shared" si="6"/>
        <v>0</v>
      </c>
      <c r="BE156" s="753">
        <f t="shared" si="7"/>
        <v>0</v>
      </c>
      <c r="BF156" s="753">
        <f t="shared" si="8"/>
        <v>0</v>
      </c>
    </row>
    <row r="157" spans="4:58">
      <c r="D157" s="741">
        <v>490000</v>
      </c>
      <c r="E157" s="742">
        <v>900</v>
      </c>
      <c r="F157" s="751"/>
      <c r="G157" s="751"/>
      <c r="H157" s="751"/>
      <c r="I157" s="751"/>
      <c r="K157" s="741">
        <v>490000</v>
      </c>
      <c r="L157" s="742">
        <v>900</v>
      </c>
      <c r="M157" s="751"/>
      <c r="N157" s="751"/>
      <c r="O157" s="751"/>
      <c r="P157" s="751"/>
      <c r="R157" s="741">
        <v>490000</v>
      </c>
      <c r="S157" s="742">
        <v>900</v>
      </c>
      <c r="T157" s="751"/>
      <c r="U157" s="751"/>
      <c r="V157" s="751"/>
      <c r="W157" s="751"/>
      <c r="Y157" s="741">
        <v>490000</v>
      </c>
      <c r="Z157" s="742">
        <v>900</v>
      </c>
      <c r="AA157" s="751"/>
      <c r="AB157" s="751"/>
      <c r="AC157" s="751"/>
      <c r="AD157" s="751"/>
      <c r="AF157" s="741">
        <v>490000</v>
      </c>
      <c r="AG157" s="742">
        <v>900</v>
      </c>
      <c r="AH157" s="751"/>
      <c r="AI157" s="751"/>
      <c r="AJ157" s="751"/>
      <c r="AK157" s="751"/>
      <c r="AM157" s="741">
        <v>490000</v>
      </c>
      <c r="AN157" s="742">
        <v>900</v>
      </c>
      <c r="AO157" s="751"/>
      <c r="AP157" s="751"/>
      <c r="AQ157" s="751"/>
      <c r="AR157" s="751"/>
      <c r="AT157" s="741">
        <v>490000</v>
      </c>
      <c r="AU157" s="742">
        <v>900</v>
      </c>
      <c r="AV157" s="751"/>
      <c r="AW157" s="751"/>
      <c r="AX157" s="751"/>
      <c r="AY157" s="751"/>
      <c r="BA157" s="749">
        <v>490000</v>
      </c>
      <c r="BB157" s="750">
        <v>900</v>
      </c>
      <c r="BC157" s="751"/>
      <c r="BD157" s="753"/>
      <c r="BE157" s="753"/>
      <c r="BF157" s="753"/>
    </row>
    <row r="158" spans="4:58">
      <c r="D158" s="741">
        <v>500000</v>
      </c>
      <c r="E158" s="742">
        <v>100</v>
      </c>
      <c r="F158" s="751"/>
      <c r="G158" s="751"/>
      <c r="H158" s="751"/>
      <c r="I158" s="751"/>
      <c r="K158" s="741">
        <v>500000</v>
      </c>
      <c r="L158" s="742">
        <v>100</v>
      </c>
      <c r="M158" s="751"/>
      <c r="N158" s="751"/>
      <c r="O158" s="751"/>
      <c r="P158" s="751"/>
      <c r="R158" s="741">
        <v>500000</v>
      </c>
      <c r="S158" s="742">
        <v>100</v>
      </c>
      <c r="T158" s="751"/>
      <c r="U158" s="751"/>
      <c r="V158" s="751"/>
      <c r="W158" s="751"/>
      <c r="Y158" s="741">
        <v>500000</v>
      </c>
      <c r="Z158" s="742">
        <v>100</v>
      </c>
      <c r="AA158" s="751"/>
      <c r="AB158" s="751"/>
      <c r="AC158" s="751"/>
      <c r="AD158" s="751"/>
      <c r="AF158" s="741">
        <v>500000</v>
      </c>
      <c r="AG158" s="742">
        <v>100</v>
      </c>
      <c r="AH158" s="751"/>
      <c r="AI158" s="751"/>
      <c r="AJ158" s="751"/>
      <c r="AK158" s="751"/>
      <c r="AM158" s="741">
        <v>500000</v>
      </c>
      <c r="AN158" s="742">
        <v>100</v>
      </c>
      <c r="AO158" s="751"/>
      <c r="AP158" s="751"/>
      <c r="AQ158" s="751"/>
      <c r="AR158" s="751"/>
      <c r="AT158" s="741">
        <v>500000</v>
      </c>
      <c r="AU158" s="742">
        <v>100</v>
      </c>
      <c r="AV158" s="751"/>
      <c r="AW158" s="751"/>
      <c r="AX158" s="751"/>
      <c r="AY158" s="751"/>
      <c r="BA158" s="749">
        <v>500000</v>
      </c>
      <c r="BB158" s="750">
        <v>100</v>
      </c>
      <c r="BC158" s="751"/>
      <c r="BD158" s="753"/>
      <c r="BE158" s="753"/>
      <c r="BF158" s="753"/>
    </row>
    <row r="159" spans="4:58">
      <c r="D159" s="741">
        <v>500000</v>
      </c>
      <c r="E159" s="742">
        <v>200</v>
      </c>
      <c r="F159" s="751"/>
      <c r="G159" s="751"/>
      <c r="H159" s="751"/>
      <c r="I159" s="751"/>
      <c r="K159" s="741">
        <v>500000</v>
      </c>
      <c r="L159" s="742">
        <v>200</v>
      </c>
      <c r="M159" s="751"/>
      <c r="N159" s="751"/>
      <c r="O159" s="751"/>
      <c r="P159" s="751"/>
      <c r="R159" s="741">
        <v>500000</v>
      </c>
      <c r="S159" s="742">
        <v>200</v>
      </c>
      <c r="T159" s="751"/>
      <c r="U159" s="751"/>
      <c r="V159" s="751"/>
      <c r="W159" s="751"/>
      <c r="Y159" s="741">
        <v>500000</v>
      </c>
      <c r="Z159" s="742">
        <v>200</v>
      </c>
      <c r="AA159" s="751"/>
      <c r="AB159" s="751"/>
      <c r="AC159" s="751"/>
      <c r="AD159" s="751"/>
      <c r="AF159" s="741">
        <v>500000</v>
      </c>
      <c r="AG159" s="742">
        <v>200</v>
      </c>
      <c r="AH159" s="751"/>
      <c r="AI159" s="751"/>
      <c r="AJ159" s="751"/>
      <c r="AK159" s="751"/>
      <c r="AM159" s="741">
        <v>500000</v>
      </c>
      <c r="AN159" s="742">
        <v>200</v>
      </c>
      <c r="AO159" s="751"/>
      <c r="AP159" s="751"/>
      <c r="AQ159" s="751"/>
      <c r="AR159" s="751"/>
      <c r="AT159" s="741">
        <v>500000</v>
      </c>
      <c r="AU159" s="742">
        <v>200</v>
      </c>
      <c r="AV159" s="751"/>
      <c r="AW159" s="751"/>
      <c r="AX159" s="751"/>
      <c r="AY159" s="751"/>
      <c r="BA159" s="749">
        <v>500000</v>
      </c>
      <c r="BB159" s="750">
        <v>200</v>
      </c>
      <c r="BC159" s="751"/>
      <c r="BD159" s="753"/>
      <c r="BE159" s="753"/>
      <c r="BF159" s="753"/>
    </row>
    <row r="160" spans="4:58">
      <c r="D160" s="741">
        <v>500000</v>
      </c>
      <c r="E160" s="742">
        <v>610</v>
      </c>
      <c r="F160" s="751"/>
      <c r="G160" s="751"/>
      <c r="H160" s="751"/>
      <c r="I160" s="751"/>
      <c r="K160" s="741">
        <v>500000</v>
      </c>
      <c r="L160" s="742">
        <v>610</v>
      </c>
      <c r="M160" s="751"/>
      <c r="N160" s="751"/>
      <c r="O160" s="751"/>
      <c r="P160" s="751"/>
      <c r="R160" s="741">
        <v>500000</v>
      </c>
      <c r="S160" s="742">
        <v>610</v>
      </c>
      <c r="T160" s="751"/>
      <c r="U160" s="751"/>
      <c r="V160" s="751"/>
      <c r="W160" s="751"/>
      <c r="Y160" s="741">
        <v>500000</v>
      </c>
      <c r="Z160" s="742">
        <v>610</v>
      </c>
      <c r="AA160" s="751"/>
      <c r="AB160" s="751"/>
      <c r="AC160" s="751"/>
      <c r="AD160" s="751"/>
      <c r="AF160" s="741">
        <v>500000</v>
      </c>
      <c r="AG160" s="742">
        <v>610</v>
      </c>
      <c r="AH160" s="751"/>
      <c r="AI160" s="751"/>
      <c r="AJ160" s="751"/>
      <c r="AK160" s="751"/>
      <c r="AM160" s="741">
        <v>500000</v>
      </c>
      <c r="AN160" s="742">
        <v>610</v>
      </c>
      <c r="AO160" s="751"/>
      <c r="AP160" s="751"/>
      <c r="AQ160" s="751"/>
      <c r="AR160" s="751"/>
      <c r="AT160" s="741">
        <v>500000</v>
      </c>
      <c r="AU160" s="742">
        <v>610</v>
      </c>
      <c r="AV160" s="751"/>
      <c r="AW160" s="751"/>
      <c r="AX160" s="751"/>
      <c r="AY160" s="751"/>
      <c r="BA160" s="749">
        <v>500000</v>
      </c>
      <c r="BB160" s="750">
        <v>610</v>
      </c>
      <c r="BC160" s="751"/>
      <c r="BD160" s="753"/>
      <c r="BE160" s="753"/>
      <c r="BF160" s="753"/>
    </row>
    <row r="161" spans="1:58">
      <c r="D161" s="741">
        <v>500000</v>
      </c>
      <c r="E161" s="742">
        <v>620</v>
      </c>
      <c r="F161" s="751"/>
      <c r="G161" s="751"/>
      <c r="H161" s="751"/>
      <c r="I161" s="751"/>
      <c r="K161" s="741">
        <v>500000</v>
      </c>
      <c r="L161" s="742">
        <v>620</v>
      </c>
      <c r="M161" s="751"/>
      <c r="N161" s="751"/>
      <c r="O161" s="751"/>
      <c r="P161" s="751"/>
      <c r="R161" s="741">
        <v>500000</v>
      </c>
      <c r="S161" s="742">
        <v>620</v>
      </c>
      <c r="T161" s="751"/>
      <c r="U161" s="751"/>
      <c r="V161" s="751"/>
      <c r="W161" s="751"/>
      <c r="Y161" s="741">
        <v>500000</v>
      </c>
      <c r="Z161" s="742">
        <v>620</v>
      </c>
      <c r="AA161" s="751"/>
      <c r="AB161" s="751"/>
      <c r="AC161" s="751"/>
      <c r="AD161" s="751"/>
      <c r="AF161" s="741">
        <v>500000</v>
      </c>
      <c r="AG161" s="742">
        <v>620</v>
      </c>
      <c r="AH161" s="751"/>
      <c r="AI161" s="751"/>
      <c r="AJ161" s="751"/>
      <c r="AK161" s="751"/>
      <c r="AM161" s="741">
        <v>500000</v>
      </c>
      <c r="AN161" s="742">
        <v>620</v>
      </c>
      <c r="AO161" s="751"/>
      <c r="AP161" s="751"/>
      <c r="AQ161" s="751"/>
      <c r="AR161" s="751"/>
      <c r="AT161" s="741">
        <v>500000</v>
      </c>
      <c r="AU161" s="742">
        <v>620</v>
      </c>
      <c r="AV161" s="751"/>
      <c r="AW161" s="751"/>
      <c r="AX161" s="751"/>
      <c r="AY161" s="751"/>
      <c r="BA161" s="749">
        <v>500000</v>
      </c>
      <c r="BB161" s="750">
        <v>620</v>
      </c>
      <c r="BC161" s="751"/>
      <c r="BD161" s="753"/>
      <c r="BE161" s="753"/>
      <c r="BF161" s="753"/>
    </row>
    <row r="162" spans="1:58">
      <c r="D162" s="741">
        <v>500000</v>
      </c>
      <c r="E162" s="742">
        <v>900</v>
      </c>
      <c r="F162" s="751"/>
      <c r="G162" s="751"/>
      <c r="H162" s="751"/>
      <c r="I162" s="751"/>
      <c r="K162" s="741">
        <v>500000</v>
      </c>
      <c r="L162" s="742">
        <v>900</v>
      </c>
      <c r="M162" s="751"/>
      <c r="N162" s="751"/>
      <c r="O162" s="751"/>
      <c r="P162" s="751"/>
      <c r="R162" s="741">
        <v>500000</v>
      </c>
      <c r="S162" s="742">
        <v>900</v>
      </c>
      <c r="T162" s="751"/>
      <c r="U162" s="751"/>
      <c r="V162" s="751"/>
      <c r="W162" s="751"/>
      <c r="Y162" s="741">
        <v>500000</v>
      </c>
      <c r="Z162" s="742">
        <v>900</v>
      </c>
      <c r="AA162" s="751"/>
      <c r="AB162" s="751"/>
      <c r="AC162" s="751"/>
      <c r="AD162" s="751"/>
      <c r="AF162" s="741">
        <v>500000</v>
      </c>
      <c r="AG162" s="742">
        <v>900</v>
      </c>
      <c r="AH162" s="751"/>
      <c r="AI162" s="751"/>
      <c r="AJ162" s="751"/>
      <c r="AK162" s="751"/>
      <c r="AM162" s="741">
        <v>500000</v>
      </c>
      <c r="AN162" s="742">
        <v>900</v>
      </c>
      <c r="AO162" s="751"/>
      <c r="AP162" s="751"/>
      <c r="AQ162" s="751"/>
      <c r="AR162" s="751"/>
      <c r="AT162" s="741">
        <v>500000</v>
      </c>
      <c r="AU162" s="742">
        <v>900</v>
      </c>
      <c r="AV162" s="751"/>
      <c r="AW162" s="751"/>
      <c r="AX162" s="751"/>
      <c r="AY162" s="751"/>
      <c r="BA162" s="749">
        <v>500000</v>
      </c>
      <c r="BB162" s="750">
        <v>900</v>
      </c>
      <c r="BC162" s="751"/>
      <c r="BD162" s="753"/>
      <c r="BE162" s="753"/>
      <c r="BF162" s="753"/>
    </row>
    <row r="163" spans="1:58">
      <c r="D163" s="741">
        <v>510000</v>
      </c>
      <c r="E163" s="742">
        <v>100</v>
      </c>
      <c r="F163" s="751"/>
      <c r="G163" s="751"/>
      <c r="H163" s="751"/>
      <c r="I163" s="751"/>
      <c r="K163" s="741">
        <v>510000</v>
      </c>
      <c r="L163" s="742">
        <v>100</v>
      </c>
      <c r="M163" s="751"/>
      <c r="N163" s="751"/>
      <c r="O163" s="751"/>
      <c r="P163" s="751"/>
      <c r="R163" s="741">
        <v>510000</v>
      </c>
      <c r="S163" s="742">
        <v>100</v>
      </c>
      <c r="T163" s="751"/>
      <c r="U163" s="751"/>
      <c r="V163" s="751"/>
      <c r="W163" s="751"/>
      <c r="Y163" s="741">
        <v>510000</v>
      </c>
      <c r="Z163" s="742">
        <v>100</v>
      </c>
      <c r="AA163" s="751"/>
      <c r="AB163" s="751"/>
      <c r="AC163" s="751"/>
      <c r="AD163" s="751"/>
      <c r="AF163" s="741">
        <v>510000</v>
      </c>
      <c r="AG163" s="742">
        <v>100</v>
      </c>
      <c r="AH163" s="751"/>
      <c r="AI163" s="751"/>
      <c r="AJ163" s="751"/>
      <c r="AK163" s="751"/>
      <c r="AM163" s="741">
        <v>510000</v>
      </c>
      <c r="AN163" s="742">
        <v>100</v>
      </c>
      <c r="AO163" s="751"/>
      <c r="AP163" s="751"/>
      <c r="AQ163" s="751"/>
      <c r="AR163" s="751"/>
      <c r="AT163" s="741">
        <v>510000</v>
      </c>
      <c r="AU163" s="742">
        <v>100</v>
      </c>
      <c r="AV163" s="751"/>
      <c r="AW163" s="751"/>
      <c r="AX163" s="751"/>
      <c r="AY163" s="751"/>
      <c r="BA163" s="749">
        <v>510000</v>
      </c>
      <c r="BB163" s="750">
        <v>100</v>
      </c>
      <c r="BC163" s="751">
        <f t="shared" si="5"/>
        <v>0</v>
      </c>
      <c r="BD163" s="753">
        <f t="shared" si="6"/>
        <v>0</v>
      </c>
      <c r="BE163" s="753">
        <f t="shared" si="7"/>
        <v>0</v>
      </c>
      <c r="BF163" s="753">
        <f t="shared" si="8"/>
        <v>0</v>
      </c>
    </row>
    <row r="164" spans="1:58">
      <c r="D164" s="741">
        <v>510000</v>
      </c>
      <c r="E164" s="742">
        <v>200</v>
      </c>
      <c r="F164" s="751">
        <f>IF(B44=2000,'OPER.-MAJOR SP. REV. (B)(57-59)'!E38,0)</f>
        <v>17908.13</v>
      </c>
      <c r="G164" s="751">
        <f>IF(B44=3000,'OPER.-MAJOR SP. REV. (B)(57-59)'!E38,0)</f>
        <v>0</v>
      </c>
      <c r="H164" s="751">
        <f>IF(B44=4000,'OPER.-MAJOR SP. REV. (B)(57-59)'!E38,0)</f>
        <v>0</v>
      </c>
      <c r="I164" s="751">
        <f>IF(B44=8000,'OPER.-MAJOR SP. REV. (B)(57-59)'!E38,0)</f>
        <v>0</v>
      </c>
      <c r="K164" s="741">
        <v>510000</v>
      </c>
      <c r="L164" s="742">
        <v>200</v>
      </c>
      <c r="M164" s="751">
        <f>IF(B45=2000,'OPER.-MAJOR SP. REV. (B)(57-59)'!I38,0)</f>
        <v>0</v>
      </c>
      <c r="N164" s="751">
        <f>IF(B45=3000,'OPER.-MAJOR SP. REV. (B)(57-59)'!I38,0)</f>
        <v>0</v>
      </c>
      <c r="O164" s="751">
        <f>IF(B45=4000,'OPER.-MAJOR SP. REV. (B)(57-59)'!I38,0)</f>
        <v>0</v>
      </c>
      <c r="P164" s="751">
        <f>IF(B45=8000,'OPER.-MAJOR SP. REV. (B)(57-59)'!I38,0)</f>
        <v>0</v>
      </c>
      <c r="R164" s="741">
        <v>510000</v>
      </c>
      <c r="S164" s="742">
        <v>200</v>
      </c>
      <c r="T164" s="751">
        <f>IF(B46=2000,'OPER.-MAJOR SP. REV. (B)(57-59)'!M38,0)</f>
        <v>0</v>
      </c>
      <c r="U164" s="751">
        <f>IF(B46=3000,'OPER.-MAJOR SP. REV. (B)(57-59)'!M38,0)</f>
        <v>0</v>
      </c>
      <c r="V164" s="751">
        <f>IF(B46=4000,'OPER.-MAJOR SP. REV. (B)(57-59)'!M38,0)</f>
        <v>0</v>
      </c>
      <c r="W164" s="751">
        <f>IF(B46=8000,'OPER.-MAJOR SP. REV. (B)(57-59)'!M38,0)</f>
        <v>0</v>
      </c>
      <c r="Y164" s="741">
        <v>510000</v>
      </c>
      <c r="Z164" s="742">
        <v>200</v>
      </c>
      <c r="AA164" s="751">
        <f>IF(B47=2000,'OPER.-MAJOR SP. REV. (B)(57-59)'!Q38,0)</f>
        <v>0</v>
      </c>
      <c r="AB164" s="751">
        <f>IF(B47=3000,'OPER.-MAJOR SP. REV. (B)(57-59)'!Q38,0)</f>
        <v>0</v>
      </c>
      <c r="AC164" s="751">
        <f>IF(B47=4000,'OPER.-MAJOR SP. REV. (B)(57-59)'!Q38,0)</f>
        <v>0</v>
      </c>
      <c r="AD164" s="751">
        <f>IF(B47=8000,'OPER.-MAJOR SP. REV. (B)(57-59)'!Q38,0)</f>
        <v>0</v>
      </c>
      <c r="AF164" s="741">
        <v>510000</v>
      </c>
      <c r="AG164" s="742">
        <v>200</v>
      </c>
      <c r="AH164" s="751">
        <f>IF(B48=2000,'OPER.-MAJOR SP. REV. (B)(57-59)'!U38,0)</f>
        <v>0</v>
      </c>
      <c r="AI164" s="751">
        <f>IF(B48=3000,'OPER.-MAJOR SP. REV. (B)(57-59)'!U38,0)</f>
        <v>0</v>
      </c>
      <c r="AJ164" s="751">
        <f>IF(B48=4000,'OPER.-MAJOR SP. REV. (B)(57-59)'!U38,0)</f>
        <v>0</v>
      </c>
      <c r="AK164" s="751">
        <f>IF(B48=8000,'OPER.-MAJOR SP. REV. (B)(57-59)'!U38,0)</f>
        <v>0</v>
      </c>
      <c r="AM164" s="741">
        <v>510000</v>
      </c>
      <c r="AN164" s="742">
        <v>200</v>
      </c>
      <c r="AO164" s="751">
        <f>IF(B49=2000,'OPER.-MAJOR SP. REV. (B)(57-59)'!Y38,0)</f>
        <v>0</v>
      </c>
      <c r="AP164" s="751">
        <f>IF(B49=3000,'OPER.-MAJOR SP. REV. (B)(57-59)'!Y38,0)</f>
        <v>0</v>
      </c>
      <c r="AQ164" s="751">
        <f>IF(B49=4000,'OPER.-MAJOR SP. REV. (B)(57-59)'!Y38,0)</f>
        <v>0</v>
      </c>
      <c r="AR164" s="751">
        <f>IF(B49=8000,'OPER.-MAJOR SP. REV. (B)(57-59)'!Y38,0)</f>
        <v>0</v>
      </c>
      <c r="AT164" s="741">
        <v>510000</v>
      </c>
      <c r="AU164" s="742">
        <v>200</v>
      </c>
      <c r="AV164" s="751">
        <f>IF(B50=2000,'OPER.-MAJOR SP. REV. (B)(57-59)'!AC38,0)</f>
        <v>0</v>
      </c>
      <c r="AW164" s="751">
        <f>IF(B50=3000,'OPER.-MAJOR SP. REV. (B)(57-59)'!AC38,0)</f>
        <v>0</v>
      </c>
      <c r="AX164" s="751">
        <f>IF(B50=4000,'OPER.-MAJOR SP. REV. (B)(57-59)'!AC38,0)</f>
        <v>0</v>
      </c>
      <c r="AY164" s="751">
        <f>IF(B50=8000,'OPER.-MAJOR SP. REV. (B)(57-59)'!AC38,0)</f>
        <v>0</v>
      </c>
      <c r="BA164" s="749">
        <v>510000</v>
      </c>
      <c r="BB164" s="750">
        <v>200</v>
      </c>
      <c r="BC164" s="751">
        <f t="shared" si="5"/>
        <v>17908.13</v>
      </c>
      <c r="BD164" s="753">
        <f t="shared" si="6"/>
        <v>0</v>
      </c>
      <c r="BE164" s="753">
        <f t="shared" si="7"/>
        <v>0</v>
      </c>
      <c r="BF164" s="753">
        <f t="shared" si="8"/>
        <v>0</v>
      </c>
    </row>
    <row r="165" spans="1:58">
      <c r="D165" s="741">
        <v>510000</v>
      </c>
      <c r="E165" s="742">
        <v>610</v>
      </c>
      <c r="F165" s="751"/>
      <c r="G165" s="751"/>
      <c r="H165" s="751"/>
      <c r="I165" s="751"/>
      <c r="K165" s="741">
        <v>510000</v>
      </c>
      <c r="L165" s="742">
        <v>610</v>
      </c>
      <c r="M165" s="751"/>
      <c r="N165" s="751"/>
      <c r="O165" s="751"/>
      <c r="P165" s="751"/>
      <c r="R165" s="741">
        <v>510000</v>
      </c>
      <c r="S165" s="742">
        <v>610</v>
      </c>
      <c r="T165" s="751"/>
      <c r="U165" s="751"/>
      <c r="V165" s="751"/>
      <c r="W165" s="751"/>
      <c r="Y165" s="741">
        <v>510000</v>
      </c>
      <c r="Z165" s="742">
        <v>610</v>
      </c>
      <c r="AA165" s="751"/>
      <c r="AB165" s="751"/>
      <c r="AC165" s="751"/>
      <c r="AD165" s="751"/>
      <c r="AF165" s="741">
        <v>510000</v>
      </c>
      <c r="AG165" s="742">
        <v>610</v>
      </c>
      <c r="AH165" s="751"/>
      <c r="AI165" s="751"/>
      <c r="AJ165" s="751"/>
      <c r="AK165" s="751"/>
      <c r="AM165" s="741">
        <v>510000</v>
      </c>
      <c r="AN165" s="742">
        <v>610</v>
      </c>
      <c r="AO165" s="751"/>
      <c r="AP165" s="751"/>
      <c r="AQ165" s="751"/>
      <c r="AR165" s="751"/>
      <c r="AT165" s="741">
        <v>510000</v>
      </c>
      <c r="AU165" s="742">
        <v>610</v>
      </c>
      <c r="AV165" s="751"/>
      <c r="AW165" s="751"/>
      <c r="AX165" s="751"/>
      <c r="AY165" s="751"/>
      <c r="BA165" s="749">
        <v>510000</v>
      </c>
      <c r="BB165" s="750">
        <v>610</v>
      </c>
      <c r="BC165" s="751"/>
      <c r="BD165" s="753"/>
      <c r="BE165" s="753"/>
      <c r="BF165" s="753"/>
    </row>
    <row r="166" spans="1:58">
      <c r="D166" s="741">
        <v>510000</v>
      </c>
      <c r="E166" s="742">
        <v>620</v>
      </c>
      <c r="F166" s="751"/>
      <c r="G166" s="751"/>
      <c r="H166" s="751"/>
      <c r="I166" s="751"/>
      <c r="K166" s="741">
        <v>510000</v>
      </c>
      <c r="L166" s="742">
        <v>620</v>
      </c>
      <c r="M166" s="751"/>
      <c r="N166" s="751"/>
      <c r="O166" s="751"/>
      <c r="P166" s="751"/>
      <c r="R166" s="741">
        <v>510000</v>
      </c>
      <c r="S166" s="742">
        <v>620</v>
      </c>
      <c r="T166" s="751"/>
      <c r="U166" s="751"/>
      <c r="V166" s="751"/>
      <c r="W166" s="751"/>
      <c r="Y166" s="741">
        <v>510000</v>
      </c>
      <c r="Z166" s="742">
        <v>620</v>
      </c>
      <c r="AA166" s="751"/>
      <c r="AB166" s="751"/>
      <c r="AC166" s="751"/>
      <c r="AD166" s="751"/>
      <c r="AF166" s="741">
        <v>510000</v>
      </c>
      <c r="AG166" s="742">
        <v>620</v>
      </c>
      <c r="AH166" s="751"/>
      <c r="AI166" s="751"/>
      <c r="AJ166" s="751"/>
      <c r="AK166" s="751"/>
      <c r="AM166" s="741">
        <v>510000</v>
      </c>
      <c r="AN166" s="742">
        <v>620</v>
      </c>
      <c r="AO166" s="751"/>
      <c r="AP166" s="751"/>
      <c r="AQ166" s="751"/>
      <c r="AR166" s="751"/>
      <c r="AT166" s="741">
        <v>510000</v>
      </c>
      <c r="AU166" s="742">
        <v>620</v>
      </c>
      <c r="AV166" s="751"/>
      <c r="AW166" s="751"/>
      <c r="AX166" s="751"/>
      <c r="AY166" s="751"/>
      <c r="BA166" s="749">
        <v>510000</v>
      </c>
      <c r="BB166" s="750">
        <v>620</v>
      </c>
      <c r="BC166" s="751"/>
      <c r="BD166" s="753"/>
      <c r="BE166" s="753"/>
      <c r="BF166" s="753"/>
    </row>
    <row r="167" spans="1:58">
      <c r="D167" s="741">
        <v>510000</v>
      </c>
      <c r="E167" s="742">
        <v>900</v>
      </c>
      <c r="F167" s="751">
        <f>IF(B44=2000,'OPER.-MAJOR SP. REV. (B)(57-59)'!E34,0)</f>
        <v>0</v>
      </c>
      <c r="G167" s="751">
        <f>IF(B44=3000,'OPER.-MAJOR SP. REV. (B)(57-59)'!E34,0)</f>
        <v>0</v>
      </c>
      <c r="H167" s="751">
        <f>IF(B44=4000,'OPER.-MAJOR SP. REV. (B)(57-59)'!E34,0)</f>
        <v>0</v>
      </c>
      <c r="I167" s="751">
        <f>IF(B44=8000,'OPER.-MAJOR SP. REV. (B)(57-59)'!E34,0)</f>
        <v>0</v>
      </c>
      <c r="K167" s="741">
        <v>510000</v>
      </c>
      <c r="L167" s="742">
        <v>900</v>
      </c>
      <c r="M167" s="751">
        <f>IF(B45=2000,'OPER.-MAJOR SP. REV. (B)(57-59)'!I34,0)</f>
        <v>0</v>
      </c>
      <c r="N167" s="751">
        <f>IF(B45=3000,'OPER.-MAJOR SP. REV. (B)(57-59)'!I34,0)</f>
        <v>0</v>
      </c>
      <c r="O167" s="751">
        <f>IF(B45=4000,'OPER.-MAJOR SP. REV. (B)(57-59)'!I34,0)</f>
        <v>0</v>
      </c>
      <c r="P167" s="751">
        <f>IF(B45=8000,'OPER.-MAJOR SP. REV. (B)(57-59)'!I34,0)</f>
        <v>0</v>
      </c>
      <c r="R167" s="741">
        <v>510000</v>
      </c>
      <c r="S167" s="742">
        <v>900</v>
      </c>
      <c r="T167" s="751">
        <f>IF(B46=2000,'OPER.-MAJOR SP. REV. (B)(57-59)'!M34,0)</f>
        <v>0</v>
      </c>
      <c r="U167" s="751">
        <f>IF(B46=3000,'OPER.-MAJOR SP. REV. (B)(57-59)'!M34,0)</f>
        <v>0</v>
      </c>
      <c r="V167" s="751">
        <f>IF(B46=4000,'OPER.-MAJOR SP. REV. (B)(57-59)'!M34,0)</f>
        <v>0</v>
      </c>
      <c r="W167" s="751">
        <f>IF(B46=8000,'OPER.-MAJOR SP. REV. (B)(57-59)'!M34,0)</f>
        <v>0</v>
      </c>
      <c r="Y167" s="741">
        <v>510000</v>
      </c>
      <c r="Z167" s="742">
        <v>900</v>
      </c>
      <c r="AA167" s="751">
        <f>IF(B47=2000,'OPER.-MAJOR SP. REV. (B)(57-59)'!Q34,0)</f>
        <v>0</v>
      </c>
      <c r="AB167" s="751">
        <f>IF(B47=3000,'OPER.-MAJOR SP. REV. (B)(57-59)'!Q34,0)</f>
        <v>0</v>
      </c>
      <c r="AC167" s="751">
        <f>IF(B47=4000,'OPER.-MAJOR SP. REV. (B)(57-59)'!Q34,0)</f>
        <v>0</v>
      </c>
      <c r="AD167" s="751">
        <f>IF(B47=8000,'OPER.-MAJOR SP. REV. (B)(57-59)'!Q34,0)</f>
        <v>0</v>
      </c>
      <c r="AF167" s="741">
        <v>510000</v>
      </c>
      <c r="AG167" s="742">
        <v>900</v>
      </c>
      <c r="AH167" s="751">
        <f>IF(B48=2000,'OPER.-MAJOR SP. REV. (B)(57-59)'!U34,0)</f>
        <v>0</v>
      </c>
      <c r="AI167" s="751">
        <f>IF(B48=3000,'OPER.-MAJOR SP. REV. (B)(57-59)'!U34,0)</f>
        <v>0</v>
      </c>
      <c r="AJ167" s="751">
        <f>IF(B48=4000,'OPER.-MAJOR SP. REV. (B)(57-59)'!U34,0)</f>
        <v>0</v>
      </c>
      <c r="AK167" s="751">
        <f>IF(B48=8000,'OPER.-MAJOR SP. REV. (B)(57-59)'!U34,0)</f>
        <v>0</v>
      </c>
      <c r="AM167" s="741">
        <v>510000</v>
      </c>
      <c r="AN167" s="742">
        <v>900</v>
      </c>
      <c r="AO167" s="751">
        <f>IF(B49=2000,'OPER.-MAJOR SP. REV. (B)(57-59)'!Y34,0)</f>
        <v>0</v>
      </c>
      <c r="AP167" s="751">
        <f>IF(B49=3000,'OPER.-MAJOR SP. REV. (B)(57-59)'!Y34,0)</f>
        <v>0</v>
      </c>
      <c r="AQ167" s="751">
        <f>IF(B49=4000,'OPER.-MAJOR SP. REV. (B)(57-59)'!Y34,0)</f>
        <v>0</v>
      </c>
      <c r="AR167" s="751">
        <f>IF(B49=8000,'OPER.-MAJOR SP. REV. (B)(57-59)'!Y34,0)</f>
        <v>0</v>
      </c>
      <c r="AT167" s="741">
        <v>510000</v>
      </c>
      <c r="AU167" s="742">
        <v>900</v>
      </c>
      <c r="AV167" s="751">
        <f>IF(B50=2000,'OPER.-MAJOR SP. REV. (B)(57-59)'!AC34,0)</f>
        <v>0</v>
      </c>
      <c r="AW167" s="751">
        <f>IF(B50=3000,'OPER.-MAJOR SP. REV. (B)(57-59)'!AC34,0)</f>
        <v>0</v>
      </c>
      <c r="AX167" s="751">
        <f>IF(B50=4000,'OPER.-MAJOR SP. REV. (B)(57-59)'!AC34,0)</f>
        <v>0</v>
      </c>
      <c r="AY167" s="751">
        <f>IF(B50=8000,'OPER.-MAJOR SP. REV. (B)(57-59)'!AC34,0)</f>
        <v>0</v>
      </c>
      <c r="BA167" s="749">
        <v>510000</v>
      </c>
      <c r="BB167" s="750">
        <v>900</v>
      </c>
      <c r="BC167" s="751">
        <f t="shared" ref="BC167:BC169" si="9">F167+M167+T167+AA167+AH167+AO167+AV167</f>
        <v>0</v>
      </c>
      <c r="BD167" s="753">
        <f t="shared" ref="BD167:BD169" si="10">G167+N167+U167+AB167+AI167+AP167+AW167</f>
        <v>0</v>
      </c>
      <c r="BE167" s="753">
        <f t="shared" ref="BE167:BE169" si="11">H167+O167+V167+AC167+AJ167+AQ167+AX167</f>
        <v>0</v>
      </c>
      <c r="BF167" s="753">
        <f t="shared" ref="BF167:BF169" si="12">I167+P167+W167+AD167+AK167+AR167+AY167</f>
        <v>0</v>
      </c>
    </row>
    <row r="168" spans="1:58">
      <c r="D168" s="741">
        <v>520000</v>
      </c>
      <c r="E168" s="742">
        <v>100</v>
      </c>
      <c r="F168" s="751"/>
      <c r="G168" s="751"/>
      <c r="H168" s="751"/>
      <c r="I168" s="751"/>
      <c r="K168" s="741">
        <v>520000</v>
      </c>
      <c r="L168" s="742">
        <v>100</v>
      </c>
      <c r="M168" s="751"/>
      <c r="N168" s="751"/>
      <c r="O168" s="751"/>
      <c r="P168" s="751"/>
      <c r="R168" s="741">
        <v>520000</v>
      </c>
      <c r="S168" s="742">
        <v>100</v>
      </c>
      <c r="T168" s="751"/>
      <c r="U168" s="751"/>
      <c r="V168" s="751"/>
      <c r="W168" s="751"/>
      <c r="Y168" s="741">
        <v>520000</v>
      </c>
      <c r="Z168" s="742">
        <v>100</v>
      </c>
      <c r="AA168" s="751"/>
      <c r="AB168" s="751"/>
      <c r="AC168" s="751"/>
      <c r="AD168" s="751"/>
      <c r="AF168" s="741">
        <v>520000</v>
      </c>
      <c r="AG168" s="742">
        <v>100</v>
      </c>
      <c r="AH168" s="751"/>
      <c r="AI168" s="751"/>
      <c r="AJ168" s="751"/>
      <c r="AK168" s="751"/>
      <c r="AM168" s="741">
        <v>520000</v>
      </c>
      <c r="AN168" s="742">
        <v>100</v>
      </c>
      <c r="AO168" s="751"/>
      <c r="AP168" s="751"/>
      <c r="AQ168" s="751"/>
      <c r="AR168" s="751"/>
      <c r="AT168" s="741">
        <v>520000</v>
      </c>
      <c r="AU168" s="742">
        <v>100</v>
      </c>
      <c r="AV168" s="751"/>
      <c r="AW168" s="751"/>
      <c r="AX168" s="751"/>
      <c r="AY168" s="751"/>
      <c r="BA168" s="749">
        <v>520000</v>
      </c>
      <c r="BB168" s="750">
        <v>100</v>
      </c>
      <c r="BC168" s="751"/>
      <c r="BD168" s="753"/>
      <c r="BE168" s="753"/>
      <c r="BF168" s="753"/>
    </row>
    <row r="169" spans="1:58">
      <c r="D169" s="741">
        <v>520000</v>
      </c>
      <c r="E169" s="742">
        <v>200</v>
      </c>
      <c r="F169" s="751">
        <f>IF(B44=2000,'OPER.-MAJOR SP. REV. (B)(57-59)'!E48+'OPER.-MAJOR SP. REV. (B)(57-59)'!E51+'OPER.-MAJOR SP. REV. (B)(57-59)'!E52,0)</f>
        <v>0</v>
      </c>
      <c r="G169" s="751">
        <f>IF(B44=3000,'OPER.-MAJOR SP. REV. (B)(57-59)'!E48+'OPER.-MAJOR SP. REV. (B)(57-59)'!E51+'OPER.-MAJOR SP. REV. (B)(57-59)'!E52,0)</f>
        <v>0</v>
      </c>
      <c r="H169" s="751">
        <f>IF(B44=4000,'OPER.-MAJOR SP. REV. (B)(57-59)'!E48+'OPER.-MAJOR SP. REV. (B)(57-59)'!E51+'OPER.-MAJOR SP. REV. (B)(57-59)'!E52,0)</f>
        <v>0</v>
      </c>
      <c r="I169" s="751">
        <f>IF(B44=8000,'OPER.-MAJOR SP. REV. (B)(57-59)'!E48+'OPER.-MAJOR SP. REV. (B)(57-59)'!E51+'OPER.-MAJOR SP. REV. (B)(57-59)'!E52,0)</f>
        <v>0</v>
      </c>
      <c r="K169" s="741">
        <v>520000</v>
      </c>
      <c r="L169" s="742">
        <v>200</v>
      </c>
      <c r="M169" s="751">
        <f>IF(B45=2000,'OPER.-MAJOR SP. REV. (B)(57-59)'!I48+'OPER.-MAJOR SP. REV. (B)(57-59)'!I51+'OPER.-MAJOR SP. REV. (B)(57-59)'!I52,0)</f>
        <v>0</v>
      </c>
      <c r="N169" s="751">
        <f>IF(B45=3000,'OPER.-MAJOR SP. REV. (B)(57-59)'!I48+'OPER.-MAJOR SP. REV. (B)(57-59)'!I51+'OPER.-MAJOR SP. REV. (B)(57-59)'!I52,0)</f>
        <v>0</v>
      </c>
      <c r="O169" s="751">
        <f>IF(B45=4000,'OPER.-MAJOR SP. REV. (B)(57-59)'!I48+'OPER.-MAJOR SP. REV. (B)(57-59)'!I51+'OPER.-MAJOR SP. REV. (B)(57-59)'!I52,0)</f>
        <v>0</v>
      </c>
      <c r="P169" s="751">
        <f>IF(B45=8000,'OPER.-MAJOR SP. REV. (B)(57-59)'!I48+'OPER.-MAJOR SP. REV. (B)(57-59)'!I51+'OPER.-MAJOR SP. REV. (B)(57-59)'!I52,0)</f>
        <v>0</v>
      </c>
      <c r="R169" s="741">
        <v>520000</v>
      </c>
      <c r="S169" s="742">
        <v>200</v>
      </c>
      <c r="T169" s="751">
        <f>IF(B46=2000,'OPER.-MAJOR SP. REV. (B)(57-59)'!M48+'OPER.-MAJOR SP. REV. (B)(57-59)'!M51+'OPER.-MAJOR SP. REV. (B)(57-59)'!M52,0)</f>
        <v>0</v>
      </c>
      <c r="U169" s="751">
        <f>IF(B46=3000,'OPER.-MAJOR SP. REV. (B)(57-59)'!M48+'OPER.-MAJOR SP. REV. (B)(57-59)'!M51+'OPER.-MAJOR SP. REV. (B)(57-59)'!M52,0)</f>
        <v>0</v>
      </c>
      <c r="V169" s="751">
        <f>IF(B46=4000,'OPER.-MAJOR SP. REV. (B)(57-59)'!M48+'OPER.-MAJOR SP. REV. (B)(57-59)'!M51+'OPER.-MAJOR SP. REV. (B)(57-59)'!M52,0)</f>
        <v>0</v>
      </c>
      <c r="W169" s="751">
        <f>IF(B46=8000,'OPER.-MAJOR SP. REV. (B)(57-59)'!M48+'OPER.-MAJOR SP. REV. (B)(57-59)'!M51+'OPER.-MAJOR SP. REV. (B)(57-59)'!M52,0)</f>
        <v>0</v>
      </c>
      <c r="Y169" s="741">
        <v>520000</v>
      </c>
      <c r="Z169" s="742">
        <v>200</v>
      </c>
      <c r="AA169" s="751">
        <f>IF(B47=2000,'OPER.-MAJOR SP. REV. (B)(57-59)'!Q48+'OPER.-MAJOR SP. REV. (B)(57-59)'!Q51+'OPER.-MAJOR SP. REV. (B)(57-59)'!Q52,0)</f>
        <v>0</v>
      </c>
      <c r="AB169" s="751">
        <f>IF(B47=3000,'OPER.-MAJOR SP. REV. (B)(57-59)'!Q48+'OPER.-MAJOR SP. REV. (B)(57-59)'!Q51+'OPER.-MAJOR SP. REV. (B)(57-59)'!Q52,0)</f>
        <v>0</v>
      </c>
      <c r="AC169" s="751">
        <f>IF(B47=4000,'OPER.-MAJOR SP. REV. (B)(57-59)'!Q48+'OPER.-MAJOR SP. REV. (B)(57-59)'!Q51+'OPER.-MAJOR SP. REV. (B)(57-59)'!Q52,0)</f>
        <v>0</v>
      </c>
      <c r="AD169" s="751">
        <f>IF(B47=8000,'OPER.-MAJOR SP. REV. (B)(57-59)'!Q48+'OPER.-MAJOR SP. REV. (B)(57-59)'!Q51+'OPER.-MAJOR SP. REV. (B)(57-59)'!Q52,0)</f>
        <v>0</v>
      </c>
      <c r="AF169" s="741">
        <v>520000</v>
      </c>
      <c r="AG169" s="742">
        <v>200</v>
      </c>
      <c r="AH169" s="751">
        <f>IF(B48=2000,'OPER.-MAJOR SP. REV. (B)(57-59)'!U48+'OPER.-MAJOR SP. REV. (B)(57-59)'!U51+'OPER.-MAJOR SP. REV. (B)(57-59)'!U52,0)</f>
        <v>0</v>
      </c>
      <c r="AI169" s="751">
        <f>IF(B48=3000,'OPER.-MAJOR SP. REV. (B)(57-59)'!U48+'OPER.-MAJOR SP. REV. (B)(57-59)'!U51+'OPER.-MAJOR SP. REV. (B)(57-59)'!U52,0)</f>
        <v>0</v>
      </c>
      <c r="AJ169" s="751">
        <f>IF(B48=4000,'OPER.-MAJOR SP. REV. (B)(57-59)'!U48+'OPER.-MAJOR SP. REV. (B)(57-59)'!U51+'OPER.-MAJOR SP. REV. (B)(57-59)'!U52,0)</f>
        <v>0</v>
      </c>
      <c r="AK169" s="751">
        <f>IF(B48=8000,'OPER.-MAJOR SP. REV. (B)(57-59)'!U48+'OPER.-MAJOR SP. REV. (B)(57-59)'!U51+'OPER.-MAJOR SP. REV. (B)(57-59)'!U52,0)</f>
        <v>0</v>
      </c>
      <c r="AM169" s="741">
        <v>520000</v>
      </c>
      <c r="AN169" s="742">
        <v>200</v>
      </c>
      <c r="AO169" s="751">
        <f>IF(B49=2000,'OPER.-MAJOR SP. REV. (B)(57-59)'!Y48+'OPER.-MAJOR SP. REV. (B)(57-59)'!Y51+'OPER.-MAJOR SP. REV. (B)(57-59)'!Y52,0)</f>
        <v>0</v>
      </c>
      <c r="AP169" s="751">
        <f>IF(B49=3000,'OPER.-MAJOR SP. REV. (B)(57-59)'!Y48+'OPER.-MAJOR SP. REV. (B)(57-59)'!Y51+'OPER.-MAJOR SP. REV. (B)(57-59)'!Y52,0)</f>
        <v>0</v>
      </c>
      <c r="AQ169" s="751">
        <f>IF(B49=4000,'OPER.-MAJOR SP. REV. (B)(57-59)'!Y48+'OPER.-MAJOR SP. REV. (B)(57-59)'!Y51+'OPER.-MAJOR SP. REV. (B)(57-59)'!Y52,0)</f>
        <v>0</v>
      </c>
      <c r="AR169" s="751">
        <f>IF(B49=8000,'OPER.-MAJOR SP. REV. (B)(57-59)'!Y48+'OPER.-MAJOR SP. REV. (B)(57-59)'!Y51+'OPER.-MAJOR SP. REV. (B)(57-59)'!Y52,0)</f>
        <v>0</v>
      </c>
      <c r="AT169" s="741">
        <v>520000</v>
      </c>
      <c r="AU169" s="742">
        <v>200</v>
      </c>
      <c r="AV169" s="751">
        <f>IF(B50=2000,'OPER.-MAJOR SP. REV. (B)(57-59)'!AC48+'OPER.-MAJOR SP. REV. (B)(57-59)'!AC51+'OPER.-MAJOR SP. REV. (B)(57-59)'!AC52,0)</f>
        <v>0</v>
      </c>
      <c r="AW169" s="751">
        <f>IF(B50=3000,'OPER.-MAJOR SP. REV. (B)(57-59)'!AC48+'OPER.-MAJOR SP. REV. (B)(57-59)'!AC51+'OPER.-MAJOR SP. REV. (B)(57-59)'!AC52,0)</f>
        <v>0</v>
      </c>
      <c r="AX169" s="751">
        <f>IF(B50=4000,'OPER.-MAJOR SP. REV. (B)(57-59)'!AC48+'OPER.-MAJOR SP. REV. (B)(57-59)'!AC51+'OPER.-MAJOR SP. REV. (B)(57-59)'!AC52,0)</f>
        <v>0</v>
      </c>
      <c r="AY169" s="751">
        <f>IF(B50=8000,'OPER.-MAJOR SP. REV. (B)(57-59)'!AC48+'OPER.-MAJOR SP. REV. (B)(57-59)'!AC51+'OPER.-MAJOR SP. REV. (B)(57-59)'!AC52,0)</f>
        <v>0</v>
      </c>
      <c r="BA169" s="749">
        <v>520000</v>
      </c>
      <c r="BB169" s="750">
        <v>200</v>
      </c>
      <c r="BC169" s="751">
        <f t="shared" si="9"/>
        <v>0</v>
      </c>
      <c r="BD169" s="753">
        <f t="shared" si="10"/>
        <v>0</v>
      </c>
      <c r="BE169" s="753">
        <f t="shared" si="11"/>
        <v>0</v>
      </c>
      <c r="BF169" s="753">
        <f t="shared" si="12"/>
        <v>0</v>
      </c>
    </row>
    <row r="170" spans="1:58">
      <c r="D170" s="741">
        <v>520000</v>
      </c>
      <c r="E170" s="742">
        <v>610</v>
      </c>
      <c r="F170" s="751"/>
      <c r="G170" s="751"/>
      <c r="H170" s="751"/>
      <c r="I170" s="751"/>
      <c r="K170" s="741">
        <v>520000</v>
      </c>
      <c r="L170" s="742">
        <v>610</v>
      </c>
      <c r="M170" s="751"/>
      <c r="N170" s="751"/>
      <c r="O170" s="751"/>
      <c r="P170" s="751"/>
      <c r="R170" s="741">
        <v>520000</v>
      </c>
      <c r="S170" s="742">
        <v>610</v>
      </c>
      <c r="T170" s="751"/>
      <c r="U170" s="751"/>
      <c r="V170" s="751"/>
      <c r="W170" s="751"/>
      <c r="Y170" s="741">
        <v>520000</v>
      </c>
      <c r="Z170" s="742">
        <v>610</v>
      </c>
      <c r="AA170" s="751"/>
      <c r="AB170" s="751"/>
      <c r="AC170" s="751"/>
      <c r="AD170" s="751"/>
      <c r="AF170" s="741">
        <v>520000</v>
      </c>
      <c r="AG170" s="742">
        <v>610</v>
      </c>
      <c r="AH170" s="751"/>
      <c r="AI170" s="751"/>
      <c r="AJ170" s="751"/>
      <c r="AK170" s="751"/>
      <c r="AM170" s="741">
        <v>520000</v>
      </c>
      <c r="AN170" s="742">
        <v>610</v>
      </c>
      <c r="AO170" s="751"/>
      <c r="AP170" s="751"/>
      <c r="AQ170" s="751"/>
      <c r="AR170" s="751"/>
      <c r="AT170" s="741">
        <v>520000</v>
      </c>
      <c r="AU170" s="742">
        <v>610</v>
      </c>
      <c r="AV170" s="751"/>
      <c r="AW170" s="751"/>
      <c r="AX170" s="751"/>
      <c r="AY170" s="751"/>
      <c r="BA170" s="749">
        <v>520000</v>
      </c>
      <c r="BB170" s="750">
        <v>610</v>
      </c>
      <c r="BC170" s="751"/>
      <c r="BD170" s="753"/>
      <c r="BE170" s="753"/>
      <c r="BF170" s="753"/>
    </row>
    <row r="171" spans="1:58">
      <c r="D171" s="741">
        <v>520000</v>
      </c>
      <c r="E171" s="742">
        <v>620</v>
      </c>
      <c r="F171" s="751"/>
      <c r="G171" s="751"/>
      <c r="H171" s="751"/>
      <c r="I171" s="751"/>
      <c r="K171" s="741">
        <v>520000</v>
      </c>
      <c r="L171" s="742">
        <v>620</v>
      </c>
      <c r="M171" s="751"/>
      <c r="N171" s="751"/>
      <c r="O171" s="751"/>
      <c r="P171" s="751"/>
      <c r="R171" s="741">
        <v>520000</v>
      </c>
      <c r="S171" s="742">
        <v>620</v>
      </c>
      <c r="T171" s="751"/>
      <c r="U171" s="751"/>
      <c r="V171" s="751"/>
      <c r="W171" s="751"/>
      <c r="Y171" s="741">
        <v>520000</v>
      </c>
      <c r="Z171" s="742">
        <v>620</v>
      </c>
      <c r="AA171" s="751"/>
      <c r="AB171" s="751"/>
      <c r="AC171" s="751"/>
      <c r="AD171" s="751"/>
      <c r="AF171" s="741">
        <v>520000</v>
      </c>
      <c r="AG171" s="742">
        <v>620</v>
      </c>
      <c r="AH171" s="751"/>
      <c r="AI171" s="751"/>
      <c r="AJ171" s="751"/>
      <c r="AK171" s="751"/>
      <c r="AM171" s="741">
        <v>520000</v>
      </c>
      <c r="AN171" s="742">
        <v>620</v>
      </c>
      <c r="AO171" s="751"/>
      <c r="AP171" s="751"/>
      <c r="AQ171" s="751"/>
      <c r="AR171" s="751"/>
      <c r="AT171" s="741">
        <v>520000</v>
      </c>
      <c r="AU171" s="742">
        <v>620</v>
      </c>
      <c r="AV171" s="751"/>
      <c r="AW171" s="751"/>
      <c r="AX171" s="751"/>
      <c r="AY171" s="751"/>
      <c r="BA171" s="749">
        <v>520000</v>
      </c>
      <c r="BB171" s="750">
        <v>620</v>
      </c>
      <c r="BC171" s="751"/>
      <c r="BD171" s="753"/>
      <c r="BE171" s="753"/>
      <c r="BF171" s="753"/>
    </row>
    <row r="172" spans="1:58">
      <c r="D172" s="741">
        <v>520000</v>
      </c>
      <c r="E172" s="742">
        <v>900</v>
      </c>
      <c r="F172" s="751"/>
      <c r="G172" s="751"/>
      <c r="H172" s="751"/>
      <c r="I172" s="751"/>
      <c r="K172" s="741">
        <v>520000</v>
      </c>
      <c r="L172" s="742">
        <v>900</v>
      </c>
      <c r="M172" s="751"/>
      <c r="N172" s="751"/>
      <c r="O172" s="751"/>
      <c r="P172" s="751"/>
      <c r="R172" s="741">
        <v>520000</v>
      </c>
      <c r="S172" s="742">
        <v>900</v>
      </c>
      <c r="T172" s="751"/>
      <c r="U172" s="751"/>
      <c r="V172" s="751"/>
      <c r="W172" s="751"/>
      <c r="Y172" s="741">
        <v>520000</v>
      </c>
      <c r="Z172" s="742">
        <v>900</v>
      </c>
      <c r="AA172" s="751"/>
      <c r="AB172" s="751"/>
      <c r="AC172" s="751"/>
      <c r="AD172" s="751"/>
      <c r="AF172" s="741">
        <v>520000</v>
      </c>
      <c r="AG172" s="742">
        <v>900</v>
      </c>
      <c r="AH172" s="751"/>
      <c r="AI172" s="751"/>
      <c r="AJ172" s="751"/>
      <c r="AK172" s="751"/>
      <c r="AM172" s="741">
        <v>520000</v>
      </c>
      <c r="AN172" s="742">
        <v>900</v>
      </c>
      <c r="AO172" s="751"/>
      <c r="AP172" s="751"/>
      <c r="AQ172" s="751"/>
      <c r="AR172" s="751"/>
      <c r="AT172" s="741">
        <v>520000</v>
      </c>
      <c r="AU172" s="742">
        <v>900</v>
      </c>
      <c r="AV172" s="751"/>
      <c r="AW172" s="751"/>
      <c r="AX172" s="751"/>
      <c r="AY172" s="751"/>
      <c r="BA172" s="749">
        <v>520000</v>
      </c>
      <c r="BB172" s="750">
        <v>900</v>
      </c>
      <c r="BC172" s="751"/>
      <c r="BD172" s="753"/>
      <c r="BE172" s="753"/>
      <c r="BF172" s="753"/>
    </row>
    <row r="173" spans="1:58">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752"/>
      <c r="AB173" s="752"/>
      <c r="AC173" s="752"/>
      <c r="AD173" s="75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row>
    <row r="174" spans="1:58">
      <c r="A174" s="83" t="s">
        <v>2476</v>
      </c>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768"/>
      <c r="AB174" s="768"/>
      <c r="AC174" s="768"/>
      <c r="AD174" s="768"/>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row>
    <row r="175" spans="1:58">
      <c r="A175" s="83"/>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768"/>
      <c r="AB175" s="768"/>
      <c r="AC175" s="768"/>
      <c r="AD175" s="768"/>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row>
    <row r="176" spans="1:58">
      <c r="A176" s="769" t="str">
        <f>'COVER PAGE'!E7</f>
        <v>023801</v>
      </c>
      <c r="B176" s="244" t="s">
        <v>2480</v>
      </c>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768"/>
      <c r="AB176" s="768"/>
      <c r="AC176" s="768"/>
      <c r="AD176" s="768"/>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row>
    <row r="177" spans="1:52">
      <c r="A177" s="29" t="str">
        <f>'COVER PAGE'!A9</f>
        <v>TOWN OF BROADUS</v>
      </c>
      <c r="B177" s="244" t="s">
        <v>2480</v>
      </c>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768"/>
      <c r="AB177" s="768"/>
      <c r="AC177" s="768"/>
      <c r="AD177" s="768"/>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row>
    <row r="178" spans="1:52">
      <c r="A178" s="29" t="str">
        <f>VLOOKUP(A177,entitynumber,1,FALSE)</f>
        <v>Town of Broadus</v>
      </c>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768"/>
      <c r="AB178" s="768"/>
      <c r="AC178" s="768"/>
      <c r="AD178" s="768"/>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row>
    <row r="179" spans="1:52">
      <c r="A179" s="770" t="str">
        <f>VLOOKUP(A177,entitynumber,2,FALSE)</f>
        <v>023801</v>
      </c>
      <c r="B179" s="244" t="s">
        <v>2475</v>
      </c>
      <c r="C179" s="769" t="str">
        <f>A179</f>
        <v>023801</v>
      </c>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768"/>
      <c r="AB179" s="768"/>
      <c r="AC179" s="768"/>
      <c r="AD179" s="768"/>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row>
    <row r="180" spans="1:52">
      <c r="A180" s="770" t="str">
        <f>VLOOKUP(A177,countycodetable,3,FALSE)</f>
        <v>013801</v>
      </c>
      <c r="B180" s="244" t="s">
        <v>2478</v>
      </c>
      <c r="C180" s="29"/>
      <c r="D180" s="794" t="str">
        <f>A180</f>
        <v>013801</v>
      </c>
      <c r="E180" s="29"/>
      <c r="F180" s="29"/>
      <c r="G180" s="29"/>
      <c r="H180" s="29"/>
      <c r="I180" s="29"/>
      <c r="J180" s="29"/>
      <c r="K180" s="29"/>
      <c r="L180" s="29"/>
      <c r="M180" s="29"/>
      <c r="N180" s="29"/>
      <c r="O180" s="29"/>
      <c r="P180" s="29"/>
      <c r="Q180" s="29"/>
      <c r="R180" s="29"/>
      <c r="S180" s="29"/>
      <c r="T180" s="29"/>
      <c r="U180" s="29"/>
      <c r="V180" s="29"/>
      <c r="W180" s="29"/>
      <c r="X180" s="29"/>
      <c r="Y180" s="29"/>
      <c r="Z180" s="29"/>
      <c r="AA180" s="768"/>
      <c r="AB180" s="768"/>
      <c r="AC180" s="768"/>
      <c r="AD180" s="768"/>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row>
    <row r="181" spans="1:52">
      <c r="A181" s="76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768"/>
      <c r="AB181" s="768"/>
      <c r="AC181" s="768"/>
      <c r="AD181" s="768"/>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row>
    <row r="182" spans="1:52">
      <c r="A182" s="770"/>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768"/>
      <c r="AB182" s="768"/>
      <c r="AC182" s="768"/>
      <c r="AD182" s="768"/>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row>
    <row r="184" spans="1:52">
      <c r="A184" t="s">
        <v>2474</v>
      </c>
      <c r="B184" t="s">
        <v>2475</v>
      </c>
      <c r="C184" s="51" t="s">
        <v>2479</v>
      </c>
    </row>
    <row r="185" spans="1:52">
      <c r="A185" s="767" t="s">
        <v>2108</v>
      </c>
      <c r="B185" s="766" t="s">
        <v>2031</v>
      </c>
      <c r="C185" s="766" t="s">
        <v>2031</v>
      </c>
      <c r="D185" s="51"/>
    </row>
    <row r="186" spans="1:52">
      <c r="A186" s="767" t="s">
        <v>2110</v>
      </c>
      <c r="B186" s="766" t="s">
        <v>2109</v>
      </c>
      <c r="C186" s="766" t="s">
        <v>2109</v>
      </c>
      <c r="D186" s="51"/>
    </row>
    <row r="187" spans="1:52">
      <c r="A187" s="767" t="s">
        <v>2112</v>
      </c>
      <c r="B187" s="766" t="s">
        <v>2111</v>
      </c>
      <c r="C187" s="766" t="s">
        <v>2111</v>
      </c>
      <c r="D187" s="51"/>
    </row>
    <row r="188" spans="1:52">
      <c r="A188" s="767" t="s">
        <v>2114</v>
      </c>
      <c r="B188" s="766" t="s">
        <v>2113</v>
      </c>
      <c r="C188" s="766" t="s">
        <v>2113</v>
      </c>
      <c r="D188" s="51"/>
    </row>
    <row r="189" spans="1:52">
      <c r="A189" s="767" t="s">
        <v>2116</v>
      </c>
      <c r="B189" s="766" t="s">
        <v>2115</v>
      </c>
      <c r="C189" s="766" t="s">
        <v>2115</v>
      </c>
    </row>
    <row r="190" spans="1:52">
      <c r="A190" s="767" t="s">
        <v>2118</v>
      </c>
      <c r="B190" s="766" t="s">
        <v>2117</v>
      </c>
      <c r="C190" s="766" t="s">
        <v>2117</v>
      </c>
    </row>
    <row r="191" spans="1:52">
      <c r="A191" s="767" t="s">
        <v>2120</v>
      </c>
      <c r="B191" s="766" t="s">
        <v>2119</v>
      </c>
      <c r="C191" s="766" t="s">
        <v>2119</v>
      </c>
    </row>
    <row r="192" spans="1:52">
      <c r="A192" s="767" t="s">
        <v>2123</v>
      </c>
      <c r="B192" s="766" t="s">
        <v>2122</v>
      </c>
      <c r="C192" s="766" t="s">
        <v>2122</v>
      </c>
    </row>
    <row r="193" spans="1:3">
      <c r="A193" s="767" t="s">
        <v>2125</v>
      </c>
      <c r="B193" s="766" t="s">
        <v>2124</v>
      </c>
      <c r="C193" s="766" t="s">
        <v>2124</v>
      </c>
    </row>
    <row r="194" spans="1:3">
      <c r="A194" s="767" t="s">
        <v>2127</v>
      </c>
      <c r="B194" s="766" t="s">
        <v>2126</v>
      </c>
      <c r="C194" s="766" t="s">
        <v>2126</v>
      </c>
    </row>
    <row r="195" spans="1:3">
      <c r="A195" s="767" t="s">
        <v>2129</v>
      </c>
      <c r="B195" s="766" t="s">
        <v>2128</v>
      </c>
      <c r="C195" s="766" t="s">
        <v>2128</v>
      </c>
    </row>
    <row r="196" spans="1:3">
      <c r="A196" s="767" t="s">
        <v>2131</v>
      </c>
      <c r="B196" s="766" t="s">
        <v>2130</v>
      </c>
      <c r="C196" s="766" t="s">
        <v>2130</v>
      </c>
    </row>
    <row r="197" spans="1:3">
      <c r="A197" s="767" t="s">
        <v>2133</v>
      </c>
      <c r="B197" s="766" t="s">
        <v>2132</v>
      </c>
      <c r="C197" s="766" t="s">
        <v>2132</v>
      </c>
    </row>
    <row r="198" spans="1:3">
      <c r="A198" s="767" t="s">
        <v>2135</v>
      </c>
      <c r="B198" s="766" t="s">
        <v>2134</v>
      </c>
      <c r="C198" s="766" t="s">
        <v>2134</v>
      </c>
    </row>
    <row r="199" spans="1:3">
      <c r="A199" s="767" t="s">
        <v>2137</v>
      </c>
      <c r="B199" s="766" t="s">
        <v>2136</v>
      </c>
      <c r="C199" s="766" t="s">
        <v>2136</v>
      </c>
    </row>
    <row r="200" spans="1:3">
      <c r="A200" s="767" t="s">
        <v>2139</v>
      </c>
      <c r="B200" s="766" t="s">
        <v>2138</v>
      </c>
      <c r="C200" s="766" t="s">
        <v>2138</v>
      </c>
    </row>
    <row r="201" spans="1:3">
      <c r="A201" s="767" t="s">
        <v>2141</v>
      </c>
      <c r="B201" s="766" t="s">
        <v>2140</v>
      </c>
      <c r="C201" s="766" t="s">
        <v>2140</v>
      </c>
    </row>
    <row r="202" spans="1:3">
      <c r="A202" s="767" t="s">
        <v>2143</v>
      </c>
      <c r="B202" s="766" t="s">
        <v>2142</v>
      </c>
      <c r="C202" s="766" t="s">
        <v>2142</v>
      </c>
    </row>
    <row r="203" spans="1:3">
      <c r="A203" s="767" t="s">
        <v>2145</v>
      </c>
      <c r="B203" s="766" t="s">
        <v>2144</v>
      </c>
      <c r="C203" s="766" t="s">
        <v>2144</v>
      </c>
    </row>
    <row r="204" spans="1:3">
      <c r="A204" s="767" t="s">
        <v>2147</v>
      </c>
      <c r="B204" s="766" t="s">
        <v>2146</v>
      </c>
      <c r="C204" s="766" t="s">
        <v>2146</v>
      </c>
    </row>
    <row r="205" spans="1:3">
      <c r="A205" s="767" t="s">
        <v>2149</v>
      </c>
      <c r="B205" s="766" t="s">
        <v>2148</v>
      </c>
      <c r="C205" s="766" t="s">
        <v>2148</v>
      </c>
    </row>
    <row r="206" spans="1:3">
      <c r="A206" s="767" t="s">
        <v>2151</v>
      </c>
      <c r="B206" s="766" t="s">
        <v>2150</v>
      </c>
      <c r="C206" s="766" t="s">
        <v>2150</v>
      </c>
    </row>
    <row r="207" spans="1:3">
      <c r="A207" s="767" t="s">
        <v>2153</v>
      </c>
      <c r="B207" s="766" t="s">
        <v>2152</v>
      </c>
      <c r="C207" s="766" t="s">
        <v>2152</v>
      </c>
    </row>
    <row r="208" spans="1:3">
      <c r="A208" s="767" t="s">
        <v>2155</v>
      </c>
      <c r="B208" s="766" t="s">
        <v>2154</v>
      </c>
      <c r="C208" s="766" t="s">
        <v>2154</v>
      </c>
    </row>
    <row r="209" spans="1:3">
      <c r="A209" s="767" t="s">
        <v>2156</v>
      </c>
      <c r="B209" s="766" t="s">
        <v>2028</v>
      </c>
      <c r="C209" s="766" t="s">
        <v>2028</v>
      </c>
    </row>
    <row r="210" spans="1:3">
      <c r="A210" s="767" t="s">
        <v>2158</v>
      </c>
      <c r="B210" s="766" t="s">
        <v>2157</v>
      </c>
      <c r="C210" s="766" t="s">
        <v>2157</v>
      </c>
    </row>
    <row r="211" spans="1:3">
      <c r="A211" s="767" t="s">
        <v>2160</v>
      </c>
      <c r="B211" s="766" t="s">
        <v>2159</v>
      </c>
      <c r="C211" s="766" t="s">
        <v>2159</v>
      </c>
    </row>
    <row r="212" spans="1:3">
      <c r="A212" s="767" t="s">
        <v>2162</v>
      </c>
      <c r="B212" s="766" t="s">
        <v>2161</v>
      </c>
      <c r="C212" s="766" t="s">
        <v>2161</v>
      </c>
    </row>
    <row r="213" spans="1:3">
      <c r="A213" s="767" t="s">
        <v>2164</v>
      </c>
      <c r="B213" s="766" t="s">
        <v>2163</v>
      </c>
      <c r="C213" s="766" t="s">
        <v>2163</v>
      </c>
    </row>
    <row r="214" spans="1:3">
      <c r="A214" s="767" t="s">
        <v>2166</v>
      </c>
      <c r="B214" s="766" t="s">
        <v>2165</v>
      </c>
      <c r="C214" s="766" t="s">
        <v>2165</v>
      </c>
    </row>
    <row r="215" spans="1:3">
      <c r="A215" s="767" t="s">
        <v>2168</v>
      </c>
      <c r="B215" s="766" t="s">
        <v>2167</v>
      </c>
      <c r="C215" s="766" t="s">
        <v>2167</v>
      </c>
    </row>
    <row r="216" spans="1:3">
      <c r="A216" s="767" t="s">
        <v>2170</v>
      </c>
      <c r="B216" s="766" t="s">
        <v>2169</v>
      </c>
      <c r="C216" s="766" t="s">
        <v>2169</v>
      </c>
    </row>
    <row r="217" spans="1:3">
      <c r="A217" s="767" t="s">
        <v>2172</v>
      </c>
      <c r="B217" s="766" t="s">
        <v>2171</v>
      </c>
      <c r="C217" s="766" t="s">
        <v>2171</v>
      </c>
    </row>
    <row r="218" spans="1:3">
      <c r="A218" s="767" t="s">
        <v>2174</v>
      </c>
      <c r="B218" s="766" t="s">
        <v>2173</v>
      </c>
      <c r="C218" s="766" t="s">
        <v>2173</v>
      </c>
    </row>
    <row r="219" spans="1:3">
      <c r="A219" s="767" t="s">
        <v>2176</v>
      </c>
      <c r="B219" s="766" t="s">
        <v>2175</v>
      </c>
      <c r="C219" s="766" t="s">
        <v>2175</v>
      </c>
    </row>
    <row r="220" spans="1:3">
      <c r="A220" s="767" t="s">
        <v>2178</v>
      </c>
      <c r="B220" s="766" t="s">
        <v>2177</v>
      </c>
      <c r="C220" s="766" t="s">
        <v>2177</v>
      </c>
    </row>
    <row r="221" spans="1:3">
      <c r="A221" s="767" t="s">
        <v>2180</v>
      </c>
      <c r="B221" s="766" t="s">
        <v>2179</v>
      </c>
      <c r="C221" s="766" t="s">
        <v>2179</v>
      </c>
    </row>
    <row r="222" spans="1:3">
      <c r="A222" s="767" t="s">
        <v>2182</v>
      </c>
      <c r="B222" s="766" t="s">
        <v>2181</v>
      </c>
      <c r="C222" s="766" t="s">
        <v>2181</v>
      </c>
    </row>
    <row r="223" spans="1:3">
      <c r="A223" s="767" t="s">
        <v>2184</v>
      </c>
      <c r="B223" s="766" t="s">
        <v>2183</v>
      </c>
      <c r="C223" s="766" t="s">
        <v>2183</v>
      </c>
    </row>
    <row r="224" spans="1:3">
      <c r="A224" s="767" t="s">
        <v>2186</v>
      </c>
      <c r="B224" s="766" t="s">
        <v>2185</v>
      </c>
      <c r="C224" s="766" t="s">
        <v>2185</v>
      </c>
    </row>
    <row r="225" spans="1:3">
      <c r="A225" s="767" t="s">
        <v>2188</v>
      </c>
      <c r="B225" s="766" t="s">
        <v>2187</v>
      </c>
      <c r="C225" s="766" t="s">
        <v>2187</v>
      </c>
    </row>
    <row r="226" spans="1:3">
      <c r="A226" s="767" t="s">
        <v>2190</v>
      </c>
      <c r="B226" s="766" t="s">
        <v>2189</v>
      </c>
      <c r="C226" s="766" t="s">
        <v>2189</v>
      </c>
    </row>
    <row r="227" spans="1:3">
      <c r="A227" s="767" t="s">
        <v>2192</v>
      </c>
      <c r="B227" s="766" t="s">
        <v>2191</v>
      </c>
      <c r="C227" s="766" t="s">
        <v>2191</v>
      </c>
    </row>
    <row r="228" spans="1:3">
      <c r="A228" s="767" t="s">
        <v>2194</v>
      </c>
      <c r="B228" s="766" t="s">
        <v>2193</v>
      </c>
      <c r="C228" s="766" t="s">
        <v>2193</v>
      </c>
    </row>
    <row r="229" spans="1:3">
      <c r="A229" s="767" t="s">
        <v>2196</v>
      </c>
      <c r="B229" s="766" t="s">
        <v>2195</v>
      </c>
      <c r="C229" s="766" t="s">
        <v>2195</v>
      </c>
    </row>
    <row r="230" spans="1:3">
      <c r="A230" s="767" t="s">
        <v>2198</v>
      </c>
      <c r="B230" s="766" t="s">
        <v>2197</v>
      </c>
      <c r="C230" s="766" t="s">
        <v>2197</v>
      </c>
    </row>
    <row r="231" spans="1:3">
      <c r="A231" s="767" t="s">
        <v>2219</v>
      </c>
      <c r="B231" s="766" t="s">
        <v>2199</v>
      </c>
      <c r="C231" s="766" t="s">
        <v>2199</v>
      </c>
    </row>
    <row r="232" spans="1:3">
      <c r="A232" s="767" t="s">
        <v>2201</v>
      </c>
      <c r="B232" s="766" t="s">
        <v>2200</v>
      </c>
      <c r="C232" s="766" t="s">
        <v>2200</v>
      </c>
    </row>
    <row r="233" spans="1:3">
      <c r="A233" s="767" t="s">
        <v>2203</v>
      </c>
      <c r="B233" s="766" t="s">
        <v>2202</v>
      </c>
      <c r="C233" s="766" t="s">
        <v>2202</v>
      </c>
    </row>
    <row r="234" spans="1:3">
      <c r="A234" s="767" t="s">
        <v>2205</v>
      </c>
      <c r="B234" s="766" t="s">
        <v>2204</v>
      </c>
      <c r="C234" s="766" t="s">
        <v>2204</v>
      </c>
    </row>
    <row r="235" spans="1:3">
      <c r="A235" s="767" t="s">
        <v>2207</v>
      </c>
      <c r="B235" s="766" t="s">
        <v>2206</v>
      </c>
      <c r="C235" s="766" t="s">
        <v>2206</v>
      </c>
    </row>
    <row r="236" spans="1:3">
      <c r="A236" s="767" t="s">
        <v>2209</v>
      </c>
      <c r="B236" s="766" t="s">
        <v>2208</v>
      </c>
      <c r="C236" s="766" t="s">
        <v>2208</v>
      </c>
    </row>
    <row r="237" spans="1:3">
      <c r="A237" s="767" t="s">
        <v>2211</v>
      </c>
      <c r="B237" s="766" t="s">
        <v>2210</v>
      </c>
      <c r="C237" s="766" t="s">
        <v>2210</v>
      </c>
    </row>
    <row r="238" spans="1:3">
      <c r="A238" s="767" t="s">
        <v>2213</v>
      </c>
      <c r="B238" s="766" t="s">
        <v>2212</v>
      </c>
      <c r="C238" s="766" t="s">
        <v>2212</v>
      </c>
    </row>
    <row r="239" spans="1:3">
      <c r="A239" s="767" t="s">
        <v>2215</v>
      </c>
      <c r="B239" s="766" t="s">
        <v>2214</v>
      </c>
      <c r="C239" s="766" t="s">
        <v>2214</v>
      </c>
    </row>
    <row r="240" spans="1:3">
      <c r="A240" s="767" t="s">
        <v>2218</v>
      </c>
      <c r="B240" s="766" t="s">
        <v>2217</v>
      </c>
      <c r="C240" s="766" t="s">
        <v>2217</v>
      </c>
    </row>
    <row r="241" spans="1:4">
      <c r="A241" s="767" t="s">
        <v>2221</v>
      </c>
      <c r="B241" s="766" t="s">
        <v>2220</v>
      </c>
      <c r="C241" t="str">
        <f>B185</f>
        <v>010101</v>
      </c>
      <c r="D241" s="51" t="s">
        <v>2483</v>
      </c>
    </row>
    <row r="242" spans="1:4">
      <c r="A242" s="767" t="s">
        <v>2223</v>
      </c>
      <c r="B242" s="766" t="s">
        <v>2222</v>
      </c>
      <c r="C242" t="str">
        <f>B185</f>
        <v>010101</v>
      </c>
      <c r="D242" s="51" t="s">
        <v>2484</v>
      </c>
    </row>
    <row r="243" spans="1:4">
      <c r="A243" s="767" t="s">
        <v>2225</v>
      </c>
      <c r="B243" s="766" t="s">
        <v>2224</v>
      </c>
      <c r="C243" t="str">
        <f>B186</f>
        <v>010201</v>
      </c>
      <c r="D243" s="51" t="s">
        <v>2485</v>
      </c>
    </row>
    <row r="244" spans="1:4">
      <c r="A244" s="767" t="s">
        <v>2227</v>
      </c>
      <c r="B244" s="766" t="s">
        <v>2226</v>
      </c>
      <c r="C244" t="str">
        <f>B186</f>
        <v>010201</v>
      </c>
      <c r="D244" s="51" t="s">
        <v>2486</v>
      </c>
    </row>
    <row r="245" spans="1:4">
      <c r="A245" s="767" t="s">
        <v>2229</v>
      </c>
      <c r="B245" s="766" t="s">
        <v>2228</v>
      </c>
      <c r="C245" t="str">
        <f>B187</f>
        <v>010301</v>
      </c>
      <c r="D245" s="51" t="s">
        <v>2487</v>
      </c>
    </row>
    <row r="246" spans="1:4">
      <c r="A246" s="767" t="s">
        <v>2231</v>
      </c>
      <c r="B246" s="766" t="s">
        <v>2230</v>
      </c>
      <c r="C246" t="str">
        <f>B187</f>
        <v>010301</v>
      </c>
      <c r="D246" s="51" t="s">
        <v>2488</v>
      </c>
    </row>
    <row r="247" spans="1:4">
      <c r="A247" s="767" t="s">
        <v>2233</v>
      </c>
      <c r="B247" s="766" t="s">
        <v>2232</v>
      </c>
      <c r="C247" t="str">
        <f>B188</f>
        <v>010401</v>
      </c>
      <c r="D247" s="51" t="s">
        <v>2489</v>
      </c>
    </row>
    <row r="248" spans="1:4">
      <c r="A248" s="767" t="s">
        <v>2235</v>
      </c>
      <c r="B248" s="766" t="s">
        <v>2234</v>
      </c>
      <c r="C248" t="str">
        <f>B189</f>
        <v>010501</v>
      </c>
      <c r="D248" s="51" t="s">
        <v>2490</v>
      </c>
    </row>
    <row r="249" spans="1:4">
      <c r="A249" s="767" t="s">
        <v>2237</v>
      </c>
      <c r="B249" s="766" t="s">
        <v>2236</v>
      </c>
      <c r="C249" t="str">
        <f>B189</f>
        <v>010501</v>
      </c>
      <c r="D249" s="51" t="s">
        <v>2491</v>
      </c>
    </row>
    <row r="250" spans="1:4">
      <c r="A250" s="767" t="s">
        <v>2239</v>
      </c>
      <c r="B250" s="766" t="s">
        <v>2238</v>
      </c>
      <c r="C250" t="str">
        <f>B189</f>
        <v>010501</v>
      </c>
      <c r="D250" s="51" t="s">
        <v>2492</v>
      </c>
    </row>
    <row r="251" spans="1:4">
      <c r="A251" s="767" t="s">
        <v>2241</v>
      </c>
      <c r="B251" s="766" t="s">
        <v>2240</v>
      </c>
      <c r="C251" t="str">
        <f>B189</f>
        <v>010501</v>
      </c>
      <c r="D251" s="51" t="s">
        <v>2493</v>
      </c>
    </row>
    <row r="252" spans="1:4">
      <c r="A252" s="767" t="s">
        <v>2243</v>
      </c>
      <c r="B252" s="766" t="s">
        <v>2242</v>
      </c>
      <c r="C252" t="str">
        <f>B189</f>
        <v>010501</v>
      </c>
      <c r="D252" s="51" t="s">
        <v>2494</v>
      </c>
    </row>
    <row r="253" spans="1:4">
      <c r="A253" s="767" t="s">
        <v>2245</v>
      </c>
      <c r="B253" s="766" t="s">
        <v>2244</v>
      </c>
      <c r="C253" t="str">
        <f>B190</f>
        <v>010601</v>
      </c>
      <c r="D253" s="51" t="s">
        <v>2495</v>
      </c>
    </row>
    <row r="254" spans="1:4">
      <c r="A254" s="767" t="s">
        <v>2247</v>
      </c>
      <c r="B254" s="766" t="s">
        <v>2246</v>
      </c>
      <c r="C254" t="str">
        <f>B191</f>
        <v>010701</v>
      </c>
      <c r="D254" s="51" t="s">
        <v>2496</v>
      </c>
    </row>
    <row r="255" spans="1:4">
      <c r="A255" s="767" t="s">
        <v>2249</v>
      </c>
      <c r="B255" s="766" t="s">
        <v>2248</v>
      </c>
      <c r="C255" t="str">
        <f>B191</f>
        <v>010701</v>
      </c>
      <c r="D255" s="51" t="s">
        <v>2121</v>
      </c>
    </row>
    <row r="256" spans="1:4">
      <c r="A256" s="767" t="s">
        <v>2251</v>
      </c>
      <c r="B256" s="766" t="s">
        <v>2250</v>
      </c>
      <c r="C256" t="str">
        <f>B191</f>
        <v>010701</v>
      </c>
      <c r="D256" s="771" t="s">
        <v>2497</v>
      </c>
    </row>
    <row r="257" spans="1:4">
      <c r="A257" s="767" t="s">
        <v>2253</v>
      </c>
      <c r="B257" s="766" t="s">
        <v>2252</v>
      </c>
      <c r="C257" t="str">
        <f>B191</f>
        <v>010701</v>
      </c>
      <c r="D257" s="771" t="s">
        <v>2498</v>
      </c>
    </row>
    <row r="258" spans="1:4">
      <c r="A258" s="767" t="s">
        <v>2255</v>
      </c>
      <c r="B258" s="766" t="s">
        <v>2254</v>
      </c>
      <c r="C258" t="str">
        <f>B192</f>
        <v>010801</v>
      </c>
      <c r="D258" s="771" t="s">
        <v>2499</v>
      </c>
    </row>
    <row r="259" spans="1:4">
      <c r="A259" s="767" t="s">
        <v>2257</v>
      </c>
      <c r="B259" s="766" t="s">
        <v>2256</v>
      </c>
      <c r="C259" t="str">
        <f>B192</f>
        <v>010801</v>
      </c>
      <c r="D259" s="771" t="s">
        <v>2500</v>
      </c>
    </row>
    <row r="260" spans="1:4">
      <c r="A260" s="767" t="s">
        <v>2259</v>
      </c>
      <c r="B260" s="766" t="s">
        <v>2258</v>
      </c>
      <c r="C260" t="str">
        <f>B192</f>
        <v>010801</v>
      </c>
      <c r="D260" s="771" t="s">
        <v>2501</v>
      </c>
    </row>
    <row r="261" spans="1:4">
      <c r="A261" s="767" t="s">
        <v>2261</v>
      </c>
      <c r="B261" s="766" t="s">
        <v>2260</v>
      </c>
      <c r="C261" t="str">
        <f>B193</f>
        <v>010901</v>
      </c>
      <c r="D261" s="771" t="s">
        <v>2502</v>
      </c>
    </row>
    <row r="262" spans="1:4">
      <c r="A262" s="767" t="s">
        <v>2263</v>
      </c>
      <c r="B262" s="766" t="s">
        <v>2262</v>
      </c>
      <c r="C262" t="str">
        <f>B193</f>
        <v>010901</v>
      </c>
      <c r="D262" s="771" t="s">
        <v>2503</v>
      </c>
    </row>
    <row r="263" spans="1:4">
      <c r="A263" s="767" t="s">
        <v>2265</v>
      </c>
      <c r="B263" s="766" t="s">
        <v>2264</v>
      </c>
      <c r="C263" t="str">
        <f>B194</f>
        <v>011001</v>
      </c>
      <c r="D263" s="771" t="s">
        <v>2504</v>
      </c>
    </row>
    <row r="264" spans="1:4">
      <c r="A264" s="767" t="s">
        <v>2267</v>
      </c>
      <c r="B264" s="766" t="s">
        <v>2266</v>
      </c>
      <c r="C264" t="str">
        <f>B194</f>
        <v>011001</v>
      </c>
      <c r="D264" s="771" t="s">
        <v>2505</v>
      </c>
    </row>
    <row r="265" spans="1:4">
      <c r="A265" s="767" t="s">
        <v>2269</v>
      </c>
      <c r="B265" s="766" t="s">
        <v>2268</v>
      </c>
      <c r="C265" t="str">
        <f>B195</f>
        <v>011101</v>
      </c>
      <c r="D265" s="771" t="s">
        <v>2481</v>
      </c>
    </row>
    <row r="266" spans="1:4">
      <c r="A266" s="767" t="s">
        <v>2271</v>
      </c>
      <c r="B266" s="766" t="s">
        <v>2270</v>
      </c>
      <c r="C266" t="str">
        <f>B195</f>
        <v>011101</v>
      </c>
      <c r="D266" s="771" t="s">
        <v>2506</v>
      </c>
    </row>
    <row r="267" spans="1:4">
      <c r="A267" s="767" t="s">
        <v>2273</v>
      </c>
      <c r="B267" s="766" t="s">
        <v>2272</v>
      </c>
      <c r="C267" t="str">
        <f>B197</f>
        <v>011301</v>
      </c>
      <c r="D267" s="771" t="s">
        <v>2507</v>
      </c>
    </row>
    <row r="268" spans="1:4">
      <c r="A268" s="767" t="s">
        <v>2275</v>
      </c>
      <c r="B268" s="766" t="s">
        <v>2274</v>
      </c>
      <c r="C268" t="str">
        <f>B197</f>
        <v>011301</v>
      </c>
      <c r="D268" s="771" t="s">
        <v>2508</v>
      </c>
    </row>
    <row r="269" spans="1:4">
      <c r="A269" s="767" t="s">
        <v>2277</v>
      </c>
      <c r="B269" s="766" t="s">
        <v>2276</v>
      </c>
      <c r="C269" t="str">
        <f>B198</f>
        <v>011401</v>
      </c>
      <c r="D269" s="771" t="s">
        <v>2509</v>
      </c>
    </row>
    <row r="270" spans="1:4">
      <c r="A270" s="767" t="s">
        <v>2279</v>
      </c>
      <c r="B270" s="766" t="s">
        <v>2278</v>
      </c>
      <c r="C270" t="str">
        <f>B198</f>
        <v>011401</v>
      </c>
      <c r="D270" s="771" t="s">
        <v>2510</v>
      </c>
    </row>
    <row r="271" spans="1:4">
      <c r="A271" s="767" t="s">
        <v>2281</v>
      </c>
      <c r="B271" s="766" t="s">
        <v>2280</v>
      </c>
      <c r="C271" t="str">
        <f>B198</f>
        <v>011401</v>
      </c>
      <c r="D271" s="771" t="s">
        <v>2511</v>
      </c>
    </row>
    <row r="272" spans="1:4">
      <c r="A272" s="767" t="s">
        <v>2283</v>
      </c>
      <c r="B272" s="766" t="s">
        <v>2282</v>
      </c>
      <c r="C272" t="str">
        <f>B198</f>
        <v>011401</v>
      </c>
      <c r="D272" s="771" t="s">
        <v>2512</v>
      </c>
    </row>
    <row r="273" spans="1:4">
      <c r="A273" s="767" t="s">
        <v>2285</v>
      </c>
      <c r="B273" s="766" t="s">
        <v>2284</v>
      </c>
      <c r="C273" t="str">
        <f>B198</f>
        <v>011401</v>
      </c>
      <c r="D273" s="771" t="s">
        <v>2513</v>
      </c>
    </row>
    <row r="274" spans="1:4">
      <c r="A274" s="767" t="s">
        <v>2287</v>
      </c>
      <c r="B274" s="766" t="s">
        <v>2286</v>
      </c>
      <c r="C274" t="str">
        <f>B199</f>
        <v>011501</v>
      </c>
      <c r="D274" s="771" t="s">
        <v>2514</v>
      </c>
    </row>
    <row r="275" spans="1:4">
      <c r="A275" s="767" t="s">
        <v>2289</v>
      </c>
      <c r="B275" s="766" t="s">
        <v>2288</v>
      </c>
      <c r="C275" t="str">
        <f>B199</f>
        <v>011501</v>
      </c>
      <c r="D275" s="771" t="s">
        <v>2515</v>
      </c>
    </row>
    <row r="276" spans="1:4">
      <c r="A276" s="767" t="s">
        <v>2291</v>
      </c>
      <c r="B276" s="766" t="s">
        <v>2290</v>
      </c>
      <c r="C276" t="str">
        <f>B199</f>
        <v>011501</v>
      </c>
      <c r="D276" s="771" t="s">
        <v>2516</v>
      </c>
    </row>
    <row r="277" spans="1:4">
      <c r="A277" s="767" t="s">
        <v>2293</v>
      </c>
      <c r="B277" s="766" t="s">
        <v>2292</v>
      </c>
      <c r="C277" t="str">
        <f>B200</f>
        <v>011601</v>
      </c>
      <c r="D277" s="771" t="s">
        <v>2517</v>
      </c>
    </row>
    <row r="278" spans="1:4">
      <c r="A278" s="767" t="s">
        <v>2295</v>
      </c>
      <c r="B278" s="766" t="s">
        <v>2294</v>
      </c>
      <c r="C278" t="str">
        <f>B200</f>
        <v>011601</v>
      </c>
      <c r="D278" s="771" t="s">
        <v>2518</v>
      </c>
    </row>
    <row r="279" spans="1:4">
      <c r="A279" s="767" t="s">
        <v>2297</v>
      </c>
      <c r="B279" s="766" t="s">
        <v>2296</v>
      </c>
      <c r="C279" t="str">
        <f>B200</f>
        <v>011601</v>
      </c>
      <c r="D279" s="771" t="s">
        <v>2519</v>
      </c>
    </row>
    <row r="280" spans="1:4">
      <c r="A280" s="767" t="s">
        <v>2299</v>
      </c>
      <c r="B280" s="766" t="s">
        <v>2298</v>
      </c>
      <c r="C280" t="str">
        <f>B200</f>
        <v>011601</v>
      </c>
      <c r="D280" s="771" t="s">
        <v>2520</v>
      </c>
    </row>
    <row r="281" spans="1:4">
      <c r="A281" s="767" t="s">
        <v>2301</v>
      </c>
      <c r="B281" s="766" t="s">
        <v>2300</v>
      </c>
      <c r="C281" t="str">
        <f>B200</f>
        <v>011601</v>
      </c>
      <c r="D281" s="771" t="s">
        <v>2521</v>
      </c>
    </row>
    <row r="282" spans="1:4">
      <c r="A282" s="767" t="s">
        <v>2303</v>
      </c>
      <c r="B282" s="766" t="s">
        <v>2302</v>
      </c>
      <c r="C282" t="str">
        <f>B201</f>
        <v>011701</v>
      </c>
      <c r="D282" s="771" t="s">
        <v>2522</v>
      </c>
    </row>
    <row r="283" spans="1:4">
      <c r="A283" s="767" t="s">
        <v>2305</v>
      </c>
      <c r="B283" s="766" t="s">
        <v>2304</v>
      </c>
      <c r="C283" t="str">
        <f>B202</f>
        <v>011801</v>
      </c>
      <c r="D283" s="771" t="s">
        <v>2523</v>
      </c>
    </row>
    <row r="284" spans="1:4">
      <c r="A284" s="767" t="s">
        <v>2307</v>
      </c>
      <c r="B284" s="766" t="s">
        <v>2306</v>
      </c>
      <c r="C284" t="str">
        <f>B202</f>
        <v>011801</v>
      </c>
      <c r="D284" s="771" t="s">
        <v>2524</v>
      </c>
    </row>
    <row r="285" spans="1:4">
      <c r="A285" s="767" t="s">
        <v>2309</v>
      </c>
      <c r="B285" s="766" t="s">
        <v>2308</v>
      </c>
      <c r="C285" t="str">
        <f>B203</f>
        <v>011901</v>
      </c>
      <c r="D285" s="771" t="s">
        <v>2525</v>
      </c>
    </row>
    <row r="286" spans="1:4">
      <c r="A286" s="767" t="s">
        <v>2311</v>
      </c>
      <c r="B286" s="766" t="s">
        <v>2310</v>
      </c>
      <c r="C286" t="str">
        <f>B203</f>
        <v>011901</v>
      </c>
      <c r="D286" s="771" t="s">
        <v>2526</v>
      </c>
    </row>
    <row r="287" spans="1:4">
      <c r="A287" s="767" t="s">
        <v>2313</v>
      </c>
      <c r="B287" s="766" t="s">
        <v>2312</v>
      </c>
      <c r="C287" t="str">
        <f>B204</f>
        <v>012001</v>
      </c>
      <c r="D287" s="771" t="s">
        <v>2527</v>
      </c>
    </row>
    <row r="288" spans="1:4">
      <c r="A288" s="767" t="s">
        <v>2315</v>
      </c>
      <c r="B288" s="766" t="s">
        <v>2314</v>
      </c>
      <c r="C288" t="str">
        <f>B204</f>
        <v>012001</v>
      </c>
      <c r="D288" s="771" t="s">
        <v>2528</v>
      </c>
    </row>
    <row r="289" spans="1:4">
      <c r="A289" s="767" t="s">
        <v>2317</v>
      </c>
      <c r="B289" s="766" t="s">
        <v>2316</v>
      </c>
      <c r="C289" t="str">
        <f>B205</f>
        <v>012101</v>
      </c>
      <c r="D289" s="771" t="s">
        <v>2529</v>
      </c>
    </row>
    <row r="290" spans="1:4">
      <c r="A290" s="767" t="s">
        <v>2319</v>
      </c>
      <c r="B290" s="766" t="s">
        <v>2318</v>
      </c>
      <c r="C290" t="str">
        <f>B205</f>
        <v>012101</v>
      </c>
      <c r="D290" s="771" t="s">
        <v>2530</v>
      </c>
    </row>
    <row r="291" spans="1:4">
      <c r="A291" s="767" t="s">
        <v>2321</v>
      </c>
      <c r="B291" s="766" t="s">
        <v>2320</v>
      </c>
      <c r="C291" t="str">
        <f>B206</f>
        <v>012201</v>
      </c>
      <c r="D291" s="771" t="s">
        <v>2531</v>
      </c>
    </row>
    <row r="292" spans="1:4">
      <c r="A292" s="767" t="s">
        <v>2323</v>
      </c>
      <c r="B292" s="766" t="s">
        <v>2322</v>
      </c>
      <c r="C292" t="str">
        <f>B206</f>
        <v>012201</v>
      </c>
      <c r="D292" s="771" t="s">
        <v>2532</v>
      </c>
    </row>
    <row r="293" spans="1:4">
      <c r="A293" s="767" t="s">
        <v>2325</v>
      </c>
      <c r="B293" s="766" t="s">
        <v>2324</v>
      </c>
      <c r="C293" t="str">
        <f>B207</f>
        <v>012301</v>
      </c>
      <c r="D293" s="771" t="s">
        <v>2533</v>
      </c>
    </row>
    <row r="294" spans="1:4">
      <c r="A294" s="767" t="s">
        <v>2327</v>
      </c>
      <c r="B294" s="766" t="s">
        <v>2326</v>
      </c>
      <c r="C294" t="str">
        <f>B207</f>
        <v>012301</v>
      </c>
      <c r="D294" s="771" t="s">
        <v>2534</v>
      </c>
    </row>
    <row r="295" spans="1:4">
      <c r="A295" s="767" t="s">
        <v>2329</v>
      </c>
      <c r="B295" s="766" t="s">
        <v>2328</v>
      </c>
      <c r="C295" t="str">
        <f>B208</f>
        <v>012401</v>
      </c>
      <c r="D295" s="771" t="s">
        <v>2535</v>
      </c>
    </row>
    <row r="296" spans="1:4">
      <c r="A296" s="767" t="s">
        <v>2331</v>
      </c>
      <c r="B296" s="766" t="s">
        <v>2330</v>
      </c>
      <c r="C296" t="str">
        <f>B208</f>
        <v>012401</v>
      </c>
      <c r="D296" s="771" t="s">
        <v>2555</v>
      </c>
    </row>
    <row r="297" spans="1:4">
      <c r="A297" s="767" t="s">
        <v>2333</v>
      </c>
      <c r="B297" s="766" t="s">
        <v>2332</v>
      </c>
      <c r="C297" t="str">
        <f>B208</f>
        <v>012401</v>
      </c>
      <c r="D297" s="771" t="s">
        <v>2556</v>
      </c>
    </row>
    <row r="298" spans="1:4">
      <c r="A298" s="767" t="s">
        <v>2335</v>
      </c>
      <c r="B298" s="766" t="s">
        <v>2334</v>
      </c>
      <c r="C298" t="str">
        <f>B209</f>
        <v>012501</v>
      </c>
      <c r="D298" s="771" t="s">
        <v>2557</v>
      </c>
    </row>
    <row r="299" spans="1:4">
      <c r="A299" s="767" t="s">
        <v>2337</v>
      </c>
      <c r="B299" s="766" t="s">
        <v>2336</v>
      </c>
      <c r="C299" t="str">
        <f>B209</f>
        <v>012501</v>
      </c>
      <c r="D299" s="771" t="s">
        <v>2558</v>
      </c>
    </row>
    <row r="300" spans="1:4">
      <c r="A300" s="767" t="s">
        <v>2339</v>
      </c>
      <c r="B300" s="766" t="s">
        <v>2338</v>
      </c>
      <c r="C300" t="str">
        <f>B210</f>
        <v>012601</v>
      </c>
      <c r="D300" s="771" t="s">
        <v>2559</v>
      </c>
    </row>
    <row r="301" spans="1:4">
      <c r="A301" s="767" t="s">
        <v>2341</v>
      </c>
      <c r="B301" s="766" t="s">
        <v>2340</v>
      </c>
      <c r="C301" t="str">
        <f>B211</f>
        <v>012701</v>
      </c>
      <c r="D301" s="771" t="s">
        <v>2560</v>
      </c>
    </row>
    <row r="302" spans="1:4">
      <c r="A302" s="767" t="s">
        <v>2343</v>
      </c>
      <c r="B302" s="766" t="s">
        <v>2342</v>
      </c>
      <c r="C302" t="str">
        <f>B211</f>
        <v>012701</v>
      </c>
      <c r="D302" s="771" t="s">
        <v>2561</v>
      </c>
    </row>
    <row r="303" spans="1:4">
      <c r="A303" s="767" t="s">
        <v>2345</v>
      </c>
      <c r="B303" s="766" t="s">
        <v>2344</v>
      </c>
      <c r="C303" t="str">
        <f>B211</f>
        <v>012701</v>
      </c>
      <c r="D303" s="771" t="s">
        <v>2562</v>
      </c>
    </row>
    <row r="304" spans="1:4">
      <c r="A304" s="767" t="s">
        <v>2347</v>
      </c>
      <c r="B304" s="766" t="s">
        <v>2346</v>
      </c>
      <c r="C304" t="str">
        <f>B211</f>
        <v>012701</v>
      </c>
      <c r="D304" s="771" t="s">
        <v>2563</v>
      </c>
    </row>
    <row r="305" spans="1:4">
      <c r="A305" s="767" t="s">
        <v>2349</v>
      </c>
      <c r="B305" s="766" t="s">
        <v>2348</v>
      </c>
      <c r="C305" t="str">
        <f>B212</f>
        <v>012801</v>
      </c>
      <c r="D305" s="771" t="s">
        <v>2564</v>
      </c>
    </row>
    <row r="306" spans="1:4">
      <c r="A306" s="767" t="s">
        <v>2351</v>
      </c>
      <c r="B306" s="766" t="s">
        <v>2350</v>
      </c>
      <c r="C306" t="str">
        <f>B212</f>
        <v>012801</v>
      </c>
      <c r="D306" s="771" t="s">
        <v>2565</v>
      </c>
    </row>
    <row r="307" spans="1:4">
      <c r="A307" s="767" t="s">
        <v>2353</v>
      </c>
      <c r="B307" s="766" t="s">
        <v>2352</v>
      </c>
      <c r="C307" t="str">
        <f>B212</f>
        <v>012801</v>
      </c>
      <c r="D307" s="771" t="s">
        <v>2566</v>
      </c>
    </row>
    <row r="308" spans="1:4">
      <c r="A308" s="767" t="s">
        <v>2355</v>
      </c>
      <c r="B308" s="766" t="s">
        <v>2354</v>
      </c>
      <c r="C308" t="str">
        <f>B212</f>
        <v>012801</v>
      </c>
      <c r="D308" s="771" t="s">
        <v>2567</v>
      </c>
    </row>
    <row r="309" spans="1:4">
      <c r="A309" s="767" t="s">
        <v>2357</v>
      </c>
      <c r="B309" s="766" t="s">
        <v>2356</v>
      </c>
      <c r="C309" t="str">
        <f>B213</f>
        <v>012901</v>
      </c>
      <c r="D309" s="771" t="s">
        <v>2568</v>
      </c>
    </row>
    <row r="310" spans="1:4">
      <c r="A310" s="767" t="s">
        <v>2359</v>
      </c>
      <c r="B310" s="766" t="s">
        <v>2358</v>
      </c>
      <c r="C310" t="str">
        <f>B214</f>
        <v>013001</v>
      </c>
      <c r="D310" s="771" t="s">
        <v>2569</v>
      </c>
    </row>
    <row r="311" spans="1:4">
      <c r="A311" s="767" t="s">
        <v>2361</v>
      </c>
      <c r="B311" s="766" t="s">
        <v>2360</v>
      </c>
      <c r="C311" t="str">
        <f>B215</f>
        <v>013101</v>
      </c>
      <c r="D311" s="771" t="s">
        <v>2570</v>
      </c>
    </row>
    <row r="312" spans="1:4">
      <c r="A312" s="767" t="s">
        <v>2363</v>
      </c>
      <c r="B312" s="766" t="s">
        <v>2362</v>
      </c>
      <c r="C312" t="str">
        <f>B215</f>
        <v>013101</v>
      </c>
      <c r="D312" s="771" t="s">
        <v>2571</v>
      </c>
    </row>
    <row r="313" spans="1:4">
      <c r="A313" s="767" t="s">
        <v>2365</v>
      </c>
      <c r="B313" s="766" t="s">
        <v>2364</v>
      </c>
      <c r="C313" t="str">
        <f>B216</f>
        <v>013201</v>
      </c>
      <c r="D313" s="771" t="s">
        <v>2572</v>
      </c>
    </row>
    <row r="314" spans="1:4">
      <c r="A314" s="767" t="s">
        <v>2367</v>
      </c>
      <c r="B314" s="766" t="s">
        <v>2366</v>
      </c>
      <c r="C314" t="str">
        <f>B217</f>
        <v>013301</v>
      </c>
      <c r="D314" s="771" t="s">
        <v>2573</v>
      </c>
    </row>
    <row r="315" spans="1:4">
      <c r="A315" s="767" t="s">
        <v>2369</v>
      </c>
      <c r="B315" s="766" t="s">
        <v>2368</v>
      </c>
      <c r="C315" t="str">
        <f>B217</f>
        <v>013301</v>
      </c>
      <c r="D315" s="771" t="s">
        <v>2574</v>
      </c>
    </row>
    <row r="316" spans="1:4">
      <c r="A316" s="767" t="s">
        <v>2371</v>
      </c>
      <c r="B316" s="766" t="s">
        <v>2370</v>
      </c>
      <c r="C316" t="str">
        <f>B218</f>
        <v>013401</v>
      </c>
      <c r="D316" s="771" t="s">
        <v>2575</v>
      </c>
    </row>
    <row r="317" spans="1:4">
      <c r="A317" s="767" t="s">
        <v>2373</v>
      </c>
      <c r="B317" s="766" t="s">
        <v>2372</v>
      </c>
      <c r="C317" t="str">
        <f>B218</f>
        <v>013401</v>
      </c>
      <c r="D317" s="771" t="s">
        <v>2576</v>
      </c>
    </row>
    <row r="318" spans="1:4">
      <c r="A318" s="767" t="s">
        <v>2375</v>
      </c>
      <c r="B318" s="766" t="s">
        <v>2374</v>
      </c>
      <c r="C318" t="str">
        <f>B219</f>
        <v>013501</v>
      </c>
      <c r="D318" s="771" t="s">
        <v>2577</v>
      </c>
    </row>
    <row r="319" spans="1:4">
      <c r="A319" s="767" t="s">
        <v>2377</v>
      </c>
      <c r="B319" s="766" t="s">
        <v>2376</v>
      </c>
      <c r="C319" t="str">
        <f>B220</f>
        <v>013601</v>
      </c>
      <c r="D319" s="771" t="s">
        <v>2578</v>
      </c>
    </row>
    <row r="320" spans="1:4">
      <c r="A320" s="767" t="s">
        <v>2379</v>
      </c>
      <c r="B320" s="766" t="s">
        <v>2378</v>
      </c>
      <c r="C320" t="str">
        <f>B220</f>
        <v>013601</v>
      </c>
      <c r="D320" s="771" t="s">
        <v>2579</v>
      </c>
    </row>
    <row r="321" spans="1:4">
      <c r="A321" s="767" t="s">
        <v>2381</v>
      </c>
      <c r="B321" s="766" t="s">
        <v>2380</v>
      </c>
      <c r="C321" t="str">
        <f>B220</f>
        <v>013601</v>
      </c>
      <c r="D321" s="771" t="s">
        <v>2580</v>
      </c>
    </row>
    <row r="322" spans="1:4">
      <c r="A322" s="767" t="s">
        <v>2383</v>
      </c>
      <c r="B322" s="766" t="s">
        <v>2382</v>
      </c>
      <c r="C322" t="str">
        <f>B221</f>
        <v>013701</v>
      </c>
      <c r="D322" s="771" t="s">
        <v>2581</v>
      </c>
    </row>
    <row r="323" spans="1:4">
      <c r="A323" s="767" t="s">
        <v>2385</v>
      </c>
      <c r="B323" s="766" t="s">
        <v>2384</v>
      </c>
      <c r="C323" t="str">
        <f>B221</f>
        <v>013701</v>
      </c>
      <c r="D323" s="771" t="s">
        <v>2582</v>
      </c>
    </row>
    <row r="324" spans="1:4">
      <c r="A324" s="767" t="s">
        <v>2387</v>
      </c>
      <c r="B324" s="766" t="s">
        <v>2386</v>
      </c>
      <c r="C324" t="str">
        <f>B222</f>
        <v>013801</v>
      </c>
      <c r="D324" s="771" t="s">
        <v>2583</v>
      </c>
    </row>
    <row r="325" spans="1:4">
      <c r="A325" s="767" t="s">
        <v>2389</v>
      </c>
      <c r="B325" s="766" t="s">
        <v>2388</v>
      </c>
      <c r="C325" t="str">
        <f>B223</f>
        <v>013901</v>
      </c>
      <c r="D325" s="771" t="s">
        <v>2584</v>
      </c>
    </row>
    <row r="326" spans="1:4">
      <c r="A326" s="767" t="s">
        <v>2391</v>
      </c>
      <c r="B326" s="766" t="s">
        <v>2390</v>
      </c>
      <c r="C326" t="str">
        <f>B224</f>
        <v>014001</v>
      </c>
      <c r="D326" s="771" t="s">
        <v>2585</v>
      </c>
    </row>
    <row r="327" spans="1:4">
      <c r="A327" s="767" t="s">
        <v>2393</v>
      </c>
      <c r="B327" s="766" t="s">
        <v>2392</v>
      </c>
      <c r="C327" t="str">
        <f>B225</f>
        <v>014101</v>
      </c>
      <c r="D327" s="771" t="s">
        <v>2586</v>
      </c>
    </row>
    <row r="328" spans="1:4">
      <c r="A328" s="767" t="s">
        <v>2395</v>
      </c>
      <c r="B328" s="766" t="s">
        <v>2394</v>
      </c>
      <c r="C328" t="str">
        <f>B225</f>
        <v>014101</v>
      </c>
      <c r="D328" s="771" t="s">
        <v>2587</v>
      </c>
    </row>
    <row r="329" spans="1:4">
      <c r="A329" s="767" t="s">
        <v>2397</v>
      </c>
      <c r="B329" s="766" t="s">
        <v>2396</v>
      </c>
      <c r="C329" t="str">
        <f>B225</f>
        <v>014101</v>
      </c>
      <c r="D329" s="771" t="s">
        <v>2588</v>
      </c>
    </row>
    <row r="330" spans="1:4">
      <c r="A330" s="767" t="s">
        <v>2399</v>
      </c>
      <c r="B330" s="766" t="s">
        <v>2398</v>
      </c>
      <c r="C330" t="str">
        <f>B225</f>
        <v>014101</v>
      </c>
      <c r="D330" s="771" t="s">
        <v>2589</v>
      </c>
    </row>
    <row r="331" spans="1:4">
      <c r="A331" s="767" t="s">
        <v>2401</v>
      </c>
      <c r="B331" s="766" t="s">
        <v>2400</v>
      </c>
      <c r="C331" t="str">
        <f>B226</f>
        <v>014201</v>
      </c>
      <c r="D331" s="771" t="s">
        <v>2590</v>
      </c>
    </row>
    <row r="332" spans="1:4">
      <c r="A332" s="767" t="s">
        <v>2403</v>
      </c>
      <c r="B332" s="766" t="s">
        <v>2402</v>
      </c>
      <c r="C332" t="str">
        <f>B226</f>
        <v>014201</v>
      </c>
      <c r="D332" s="771" t="s">
        <v>2591</v>
      </c>
    </row>
    <row r="333" spans="1:4">
      <c r="A333" s="767" t="s">
        <v>2405</v>
      </c>
      <c r="B333" s="766" t="s">
        <v>2404</v>
      </c>
      <c r="C333" t="str">
        <f>B227</f>
        <v>014301</v>
      </c>
      <c r="D333" s="771" t="s">
        <v>2592</v>
      </c>
    </row>
    <row r="334" spans="1:4">
      <c r="A334" s="767" t="s">
        <v>2407</v>
      </c>
      <c r="B334" s="766" t="s">
        <v>2406</v>
      </c>
      <c r="C334" t="str">
        <f>B227</f>
        <v>014301</v>
      </c>
      <c r="D334" s="771" t="s">
        <v>2593</v>
      </c>
    </row>
    <row r="335" spans="1:4">
      <c r="A335" s="767" t="s">
        <v>2409</v>
      </c>
      <c r="B335" s="766" t="s">
        <v>2408</v>
      </c>
      <c r="C335" t="str">
        <f>B227</f>
        <v>014301</v>
      </c>
      <c r="D335" s="771" t="s">
        <v>2594</v>
      </c>
    </row>
    <row r="336" spans="1:4">
      <c r="A336" s="767" t="s">
        <v>2411</v>
      </c>
      <c r="B336" s="766" t="s">
        <v>2410</v>
      </c>
      <c r="C336" t="str">
        <f>B227</f>
        <v>014301</v>
      </c>
      <c r="D336" s="771" t="s">
        <v>2595</v>
      </c>
    </row>
    <row r="337" spans="1:4">
      <c r="A337" s="767" t="s">
        <v>2413</v>
      </c>
      <c r="B337" s="766" t="s">
        <v>2412</v>
      </c>
      <c r="C337" t="str">
        <f>B227</f>
        <v>014301</v>
      </c>
      <c r="D337" s="771" t="s">
        <v>2596</v>
      </c>
    </row>
    <row r="338" spans="1:4">
      <c r="A338" s="767" t="s">
        <v>2415</v>
      </c>
      <c r="B338" s="766" t="s">
        <v>2414</v>
      </c>
      <c r="C338" t="str">
        <f>B227</f>
        <v>014301</v>
      </c>
      <c r="D338" s="771" t="s">
        <v>2597</v>
      </c>
    </row>
    <row r="339" spans="1:4">
      <c r="A339" s="767" t="s">
        <v>2417</v>
      </c>
      <c r="B339" s="766" t="s">
        <v>2416</v>
      </c>
      <c r="C339" t="str">
        <f>B228</f>
        <v>014401</v>
      </c>
      <c r="D339" s="771" t="s">
        <v>2598</v>
      </c>
    </row>
    <row r="340" spans="1:4">
      <c r="A340" s="767" t="s">
        <v>2419</v>
      </c>
      <c r="B340" s="766" t="s">
        <v>2418</v>
      </c>
      <c r="C340" t="str">
        <f>B228</f>
        <v>014401</v>
      </c>
      <c r="D340" s="771" t="s">
        <v>2599</v>
      </c>
    </row>
    <row r="341" spans="1:4">
      <c r="A341" s="767" t="s">
        <v>2421</v>
      </c>
      <c r="B341" s="766" t="s">
        <v>2420</v>
      </c>
      <c r="C341" t="str">
        <f>B229</f>
        <v>014501</v>
      </c>
      <c r="D341" s="771" t="s">
        <v>2600</v>
      </c>
    </row>
    <row r="342" spans="1:4">
      <c r="A342" s="767" t="s">
        <v>2423</v>
      </c>
      <c r="B342" s="766" t="s">
        <v>2422</v>
      </c>
      <c r="C342" t="str">
        <f>B229</f>
        <v>014501</v>
      </c>
      <c r="D342" s="771" t="s">
        <v>2605</v>
      </c>
    </row>
    <row r="343" spans="1:4">
      <c r="A343" s="767" t="s">
        <v>2425</v>
      </c>
      <c r="B343" s="766" t="s">
        <v>2424</v>
      </c>
      <c r="C343" t="str">
        <f>B229</f>
        <v>014501</v>
      </c>
      <c r="D343" s="771" t="s">
        <v>2604</v>
      </c>
    </row>
    <row r="344" spans="1:4">
      <c r="A344" s="767" t="s">
        <v>2427</v>
      </c>
      <c r="B344" s="766" t="s">
        <v>2426</v>
      </c>
      <c r="C344" t="str">
        <f>B230</f>
        <v>014601</v>
      </c>
      <c r="D344" s="771" t="s">
        <v>2603</v>
      </c>
    </row>
    <row r="345" spans="1:4">
      <c r="A345" s="767" t="s">
        <v>2429</v>
      </c>
      <c r="B345" s="766" t="s">
        <v>2428</v>
      </c>
      <c r="C345" t="str">
        <f>B230</f>
        <v>014601</v>
      </c>
      <c r="D345" s="771" t="s">
        <v>2602</v>
      </c>
    </row>
    <row r="346" spans="1:4">
      <c r="A346" s="767" t="s">
        <v>2431</v>
      </c>
      <c r="B346" s="766" t="s">
        <v>2430</v>
      </c>
      <c r="C346" t="str">
        <f>B230</f>
        <v>014601</v>
      </c>
      <c r="D346" s="771" t="s">
        <v>2601</v>
      </c>
    </row>
    <row r="347" spans="1:4">
      <c r="A347" s="767" t="s">
        <v>2433</v>
      </c>
      <c r="B347" s="766" t="s">
        <v>2432</v>
      </c>
      <c r="C347" t="str">
        <f>B230</f>
        <v>014601</v>
      </c>
      <c r="D347" s="771" t="s">
        <v>2554</v>
      </c>
    </row>
    <row r="348" spans="1:4">
      <c r="A348" s="767" t="s">
        <v>2435</v>
      </c>
      <c r="B348" s="766" t="s">
        <v>2434</v>
      </c>
      <c r="C348" t="str">
        <f>B231</f>
        <v>014701</v>
      </c>
      <c r="D348" s="771" t="s">
        <v>2553</v>
      </c>
    </row>
    <row r="349" spans="1:4">
      <c r="A349" s="767" t="s">
        <v>2437</v>
      </c>
      <c r="B349" s="766" t="s">
        <v>2436</v>
      </c>
      <c r="C349" t="str">
        <f>B232</f>
        <v>014801</v>
      </c>
      <c r="D349" s="771" t="s">
        <v>2552</v>
      </c>
    </row>
    <row r="350" spans="1:4">
      <c r="A350" s="767" t="s">
        <v>2439</v>
      </c>
      <c r="B350" s="766" t="s">
        <v>2438</v>
      </c>
      <c r="C350" t="str">
        <f>B233</f>
        <v>014901</v>
      </c>
      <c r="D350" s="771" t="s">
        <v>2551</v>
      </c>
    </row>
    <row r="351" spans="1:4">
      <c r="A351" s="767" t="s">
        <v>2441</v>
      </c>
      <c r="B351" s="766" t="s">
        <v>2440</v>
      </c>
      <c r="C351" t="str">
        <f>B234</f>
        <v>015001</v>
      </c>
      <c r="D351" s="771" t="s">
        <v>2550</v>
      </c>
    </row>
    <row r="352" spans="1:4">
      <c r="A352" s="767" t="s">
        <v>2443</v>
      </c>
      <c r="B352" s="766" t="s">
        <v>2442</v>
      </c>
      <c r="C352" t="str">
        <f>B234</f>
        <v>015001</v>
      </c>
      <c r="D352" s="771" t="s">
        <v>2549</v>
      </c>
    </row>
    <row r="353" spans="1:4">
      <c r="A353" s="767" t="s">
        <v>2445</v>
      </c>
      <c r="B353" s="766" t="s">
        <v>2444</v>
      </c>
      <c r="C353" t="str">
        <f>B234</f>
        <v>015001</v>
      </c>
      <c r="D353" s="771" t="s">
        <v>2548</v>
      </c>
    </row>
    <row r="354" spans="1:4">
      <c r="A354" s="767" t="s">
        <v>2447</v>
      </c>
      <c r="B354" s="766" t="s">
        <v>2446</v>
      </c>
      <c r="C354" t="str">
        <f>B235</f>
        <v>015101</v>
      </c>
      <c r="D354" s="771" t="s">
        <v>2547</v>
      </c>
    </row>
    <row r="355" spans="1:4">
      <c r="A355" s="767" t="s">
        <v>2449</v>
      </c>
      <c r="B355" s="766" t="s">
        <v>2448</v>
      </c>
      <c r="C355" t="str">
        <f>B235</f>
        <v>015101</v>
      </c>
      <c r="D355" s="771" t="s">
        <v>2546</v>
      </c>
    </row>
    <row r="356" spans="1:4">
      <c r="A356" s="767" t="s">
        <v>2451</v>
      </c>
      <c r="B356" s="766" t="s">
        <v>2450</v>
      </c>
      <c r="C356" t="str">
        <f>B235</f>
        <v>015101</v>
      </c>
      <c r="D356" s="771" t="s">
        <v>2545</v>
      </c>
    </row>
    <row r="357" spans="1:4">
      <c r="A357" s="767" t="s">
        <v>2453</v>
      </c>
      <c r="B357" s="766" t="s">
        <v>2452</v>
      </c>
      <c r="C357" t="str">
        <f>B236</f>
        <v>015201</v>
      </c>
      <c r="D357" s="771" t="s">
        <v>2544</v>
      </c>
    </row>
    <row r="358" spans="1:4">
      <c r="A358" s="767" t="s">
        <v>2455</v>
      </c>
      <c r="B358" s="766" t="s">
        <v>2454</v>
      </c>
      <c r="C358" t="str">
        <f>B237</f>
        <v>015301</v>
      </c>
      <c r="D358" s="771" t="s">
        <v>2543</v>
      </c>
    </row>
    <row r="359" spans="1:4">
      <c r="A359" s="767" t="s">
        <v>2457</v>
      </c>
      <c r="B359" s="766" t="s">
        <v>2456</v>
      </c>
      <c r="C359" t="str">
        <f>B237</f>
        <v>015301</v>
      </c>
      <c r="D359" s="771" t="s">
        <v>2542</v>
      </c>
    </row>
    <row r="360" spans="1:4">
      <c r="A360" s="767" t="s">
        <v>2459</v>
      </c>
      <c r="B360" s="766" t="s">
        <v>2458</v>
      </c>
      <c r="C360" t="str">
        <f>B237</f>
        <v>015301</v>
      </c>
      <c r="D360" s="771" t="s">
        <v>2541</v>
      </c>
    </row>
    <row r="361" spans="1:4">
      <c r="A361" s="767" t="s">
        <v>2461</v>
      </c>
      <c r="B361" s="766" t="s">
        <v>2460</v>
      </c>
      <c r="C361" t="str">
        <f>B237</f>
        <v>015301</v>
      </c>
      <c r="D361" s="771" t="s">
        <v>2540</v>
      </c>
    </row>
    <row r="362" spans="1:4">
      <c r="A362" s="767" t="s">
        <v>2463</v>
      </c>
      <c r="B362" s="766" t="s">
        <v>2462</v>
      </c>
      <c r="C362" t="str">
        <f>B238</f>
        <v>015401</v>
      </c>
      <c r="D362" s="771" t="s">
        <v>2539</v>
      </c>
    </row>
    <row r="363" spans="1:4">
      <c r="A363" s="767" t="s">
        <v>2465</v>
      </c>
      <c r="B363" s="766" t="s">
        <v>2464</v>
      </c>
      <c r="C363" t="str">
        <f>B238</f>
        <v>015401</v>
      </c>
      <c r="D363" s="771" t="s">
        <v>2538</v>
      </c>
    </row>
    <row r="364" spans="1:4">
      <c r="A364" s="767" t="s">
        <v>2467</v>
      </c>
      <c r="B364" s="766" t="s">
        <v>2466</v>
      </c>
      <c r="C364" t="str">
        <f>B239</f>
        <v>015501</v>
      </c>
      <c r="D364" s="771" t="s">
        <v>2216</v>
      </c>
    </row>
    <row r="365" spans="1:4">
      <c r="A365" s="767" t="s">
        <v>2469</v>
      </c>
      <c r="B365" s="766" t="s">
        <v>2468</v>
      </c>
      <c r="C365" t="str">
        <f>B240</f>
        <v>015601</v>
      </c>
      <c r="D365" s="771" t="s">
        <v>2482</v>
      </c>
    </row>
    <row r="366" spans="1:4">
      <c r="A366" s="767" t="s">
        <v>2471</v>
      </c>
      <c r="B366" s="766" t="s">
        <v>2470</v>
      </c>
      <c r="C366" t="str">
        <f>B240</f>
        <v>015601</v>
      </c>
      <c r="D366" s="771" t="s">
        <v>2537</v>
      </c>
    </row>
    <row r="367" spans="1:4">
      <c r="A367" s="767" t="s">
        <v>2473</v>
      </c>
      <c r="B367" s="766" t="s">
        <v>2472</v>
      </c>
      <c r="C367" t="str">
        <f>B240</f>
        <v>015601</v>
      </c>
      <c r="D367" s="771" t="s">
        <v>2536</v>
      </c>
    </row>
  </sheetData>
  <sheetProtection password="D950" sheet="1" objects="1" scenarios="1"/>
  <customSheetViews>
    <customSheetView guid="{FC3B3501-CA52-40D7-B049-0E027A15B235}" state="hidden" topLeftCell="A25">
      <selection activeCell="H24" sqref="H24"/>
      <pageMargins left="0.7" right="0.7" top="0.75" bottom="0.75" header="0.3" footer="0.3"/>
      <pageSetup orientation="portrait" r:id="rId1"/>
    </customSheetView>
  </customSheetViews>
  <pageMargins left="0.7" right="0.7" top="0.75" bottom="0.75" header="0.3" footer="0.3"/>
  <pageSetup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indexed="45"/>
  </sheetPr>
  <dimension ref="A1:AC885"/>
  <sheetViews>
    <sheetView topLeftCell="D65" workbookViewId="0">
      <selection activeCell="AA84" sqref="AA84"/>
    </sheetView>
  </sheetViews>
  <sheetFormatPr defaultRowHeight="12.75"/>
  <cols>
    <col min="1" max="1" width="2.5703125" style="739" bestFit="1" customWidth="1"/>
    <col min="2" max="2" width="9.140625" style="739"/>
    <col min="3" max="3" width="13.28515625" style="739" bestFit="1" customWidth="1"/>
    <col min="4" max="4" width="9.28515625" style="739" bestFit="1" customWidth="1"/>
    <col min="5" max="5" width="7.85546875" style="739" bestFit="1" customWidth="1"/>
    <col min="6" max="6" width="6.7109375" style="739" customWidth="1"/>
    <col min="7" max="7" width="12.5703125" style="739" customWidth="1"/>
    <col min="8" max="8" width="14.28515625" style="739" hidden="1" customWidth="1"/>
    <col min="9" max="9" width="7.85546875" style="739" hidden="1" customWidth="1"/>
    <col min="10" max="10" width="10.28515625" style="739" bestFit="1" customWidth="1"/>
    <col min="11" max="11" width="8.5703125" style="739" hidden="1" customWidth="1"/>
    <col min="12" max="12" width="13.85546875" style="739" hidden="1" customWidth="1"/>
    <col min="13" max="13" width="10.7109375" style="739" hidden="1" customWidth="1"/>
    <col min="14" max="14" width="7.85546875" style="739" hidden="1" customWidth="1"/>
    <col min="15" max="16" width="14.140625" style="739" hidden="1" customWidth="1"/>
    <col min="17" max="17" width="12.140625" style="739" customWidth="1"/>
    <col min="18" max="19" width="10.42578125" style="739" hidden="1" customWidth="1"/>
    <col min="20" max="20" width="22.5703125" style="739" customWidth="1"/>
    <col min="21" max="21" width="9.85546875" style="739" hidden="1" customWidth="1"/>
    <col min="22" max="22" width="14.140625" style="739" hidden="1" customWidth="1"/>
    <col min="23" max="23" width="10.140625" style="739" customWidth="1"/>
    <col min="24" max="24" width="14" style="739" hidden="1" customWidth="1"/>
    <col min="25" max="25" width="10.28515625" style="739" customWidth="1"/>
    <col min="26" max="26" width="17.7109375" style="739" customWidth="1"/>
    <col min="27" max="27" width="16.7109375" style="739" bestFit="1" customWidth="1"/>
    <col min="28" max="28" width="16.5703125" style="739" bestFit="1" customWidth="1"/>
    <col min="29" max="29" width="16.140625" style="739" bestFit="1" customWidth="1"/>
    <col min="30" max="16384" width="9.140625" style="729"/>
  </cols>
  <sheetData>
    <row r="1" spans="1:29" hidden="1">
      <c r="A1" s="727" t="s">
        <v>1986</v>
      </c>
      <c r="B1" s="728" t="s">
        <v>1987</v>
      </c>
      <c r="C1" s="728" t="s">
        <v>1988</v>
      </c>
      <c r="D1" s="728" t="s">
        <v>1989</v>
      </c>
      <c r="E1" s="728" t="s">
        <v>1990</v>
      </c>
      <c r="F1" s="728" t="s">
        <v>1991</v>
      </c>
      <c r="G1" s="728" t="s">
        <v>1992</v>
      </c>
      <c r="H1" s="728" t="s">
        <v>1993</v>
      </c>
      <c r="I1" s="728" t="s">
        <v>1994</v>
      </c>
      <c r="J1" s="728" t="s">
        <v>1995</v>
      </c>
      <c r="K1" s="728" t="s">
        <v>1996</v>
      </c>
      <c r="L1" s="728" t="s">
        <v>1997</v>
      </c>
      <c r="M1" s="728" t="s">
        <v>1998</v>
      </c>
      <c r="N1" s="728" t="s">
        <v>1999</v>
      </c>
      <c r="O1" s="728" t="s">
        <v>2000</v>
      </c>
      <c r="P1" s="728" t="s">
        <v>2001</v>
      </c>
      <c r="Q1" s="728" t="s">
        <v>2002</v>
      </c>
      <c r="R1" s="728" t="s">
        <v>2003</v>
      </c>
      <c r="S1" s="728" t="s">
        <v>2004</v>
      </c>
      <c r="T1" s="728" t="s">
        <v>2005</v>
      </c>
      <c r="U1" s="728" t="s">
        <v>2006</v>
      </c>
      <c r="V1" s="728" t="s">
        <v>2007</v>
      </c>
      <c r="W1" s="728" t="s">
        <v>2008</v>
      </c>
      <c r="X1" s="728" t="s">
        <v>2009</v>
      </c>
      <c r="Y1" s="728" t="s">
        <v>2010</v>
      </c>
      <c r="Z1" s="728" t="s">
        <v>2011</v>
      </c>
      <c r="AA1" s="728" t="s">
        <v>2012</v>
      </c>
      <c r="AB1" s="728" t="s">
        <v>2013</v>
      </c>
      <c r="AC1" s="728" t="s">
        <v>2014</v>
      </c>
    </row>
    <row r="2" spans="1:29" s="733" customFormat="1" ht="25.5">
      <c r="A2" s="730"/>
      <c r="B2" s="731"/>
      <c r="C2" s="731" t="s">
        <v>1988</v>
      </c>
      <c r="D2" s="731" t="s">
        <v>2015</v>
      </c>
      <c r="E2" s="731" t="s">
        <v>177</v>
      </c>
      <c r="F2" s="731"/>
      <c r="G2" s="731" t="s">
        <v>2016</v>
      </c>
      <c r="H2" s="731"/>
      <c r="I2" s="731"/>
      <c r="J2" s="731" t="s">
        <v>2017</v>
      </c>
      <c r="K2" s="731"/>
      <c r="L2" s="731"/>
      <c r="M2" s="731"/>
      <c r="N2" s="731"/>
      <c r="O2" s="731"/>
      <c r="P2" s="731"/>
      <c r="Q2" s="747" t="s">
        <v>2018</v>
      </c>
      <c r="R2" s="731"/>
      <c r="S2" s="731"/>
      <c r="T2" s="731" t="s">
        <v>2019</v>
      </c>
      <c r="U2" s="731"/>
      <c r="V2" s="731"/>
      <c r="W2" s="731" t="s">
        <v>2020</v>
      </c>
      <c r="X2" s="731"/>
      <c r="Y2" s="731" t="s">
        <v>2021</v>
      </c>
      <c r="Z2" s="731" t="s">
        <v>2022</v>
      </c>
      <c r="AA2" s="732" t="s">
        <v>2012</v>
      </c>
      <c r="AB2" s="732" t="s">
        <v>2013</v>
      </c>
      <c r="AC2" s="732" t="s">
        <v>2014</v>
      </c>
    </row>
    <row r="3" spans="1:29">
      <c r="A3" s="727" t="s">
        <v>1986</v>
      </c>
      <c r="B3" s="727" t="s">
        <v>2023</v>
      </c>
      <c r="C3" s="734"/>
      <c r="D3" s="735"/>
      <c r="E3" s="735"/>
      <c r="F3" s="735"/>
      <c r="G3" s="735"/>
      <c r="H3" s="735"/>
      <c r="I3" s="735"/>
      <c r="J3" s="735"/>
      <c r="K3" s="735"/>
      <c r="L3" s="735"/>
      <c r="M3" s="735"/>
      <c r="N3" s="735"/>
      <c r="O3" s="735"/>
      <c r="P3" s="735"/>
      <c r="Q3" s="735"/>
      <c r="R3" s="735"/>
      <c r="S3" s="735"/>
      <c r="T3" s="735"/>
      <c r="U3" s="735"/>
      <c r="V3" s="735"/>
      <c r="W3" s="736"/>
      <c r="X3" s="735"/>
      <c r="Y3" s="735"/>
      <c r="Z3" s="735"/>
      <c r="AA3" s="869"/>
      <c r="AB3" s="869"/>
      <c r="AC3" s="869"/>
    </row>
    <row r="4" spans="1:29">
      <c r="A4" s="727" t="s">
        <v>1986</v>
      </c>
      <c r="B4" s="727" t="s">
        <v>2024</v>
      </c>
      <c r="C4" s="734"/>
      <c r="D4" s="735"/>
      <c r="E4" s="735"/>
      <c r="F4" s="735"/>
      <c r="G4" s="735"/>
      <c r="H4" s="735"/>
      <c r="I4" s="735"/>
      <c r="J4" s="735"/>
      <c r="K4" s="735"/>
      <c r="L4" s="735"/>
      <c r="M4" s="735"/>
      <c r="N4" s="735"/>
      <c r="O4" s="735"/>
      <c r="P4" s="735"/>
      <c r="Q4" s="735"/>
      <c r="R4" s="735"/>
      <c r="S4" s="735"/>
      <c r="T4" s="735"/>
      <c r="U4" s="735"/>
      <c r="V4" s="735"/>
      <c r="W4" s="727"/>
      <c r="X4" s="735"/>
      <c r="Y4" s="735"/>
      <c r="Z4" s="735"/>
      <c r="AA4" s="1008">
        <v>-1</v>
      </c>
      <c r="AB4" s="869"/>
      <c r="AC4" s="869"/>
    </row>
    <row r="5" spans="1:29">
      <c r="A5" s="727" t="s">
        <v>1986</v>
      </c>
      <c r="B5" s="737" t="s">
        <v>2025</v>
      </c>
      <c r="C5" s="738" t="s">
        <v>2026</v>
      </c>
      <c r="D5" s="737" t="s">
        <v>2026</v>
      </c>
      <c r="E5" s="737" t="s">
        <v>2027</v>
      </c>
      <c r="F5" s="737"/>
      <c r="G5" s="737"/>
      <c r="H5" s="737"/>
      <c r="I5" s="737"/>
      <c r="J5" s="737" t="s">
        <v>2029</v>
      </c>
      <c r="K5" s="737"/>
      <c r="L5" s="737"/>
      <c r="M5" s="737"/>
      <c r="N5" s="737"/>
      <c r="O5" s="737"/>
      <c r="P5" s="737"/>
      <c r="Q5" s="737" t="s">
        <v>2030</v>
      </c>
      <c r="R5" s="737"/>
      <c r="S5" s="737"/>
      <c r="T5" s="737"/>
      <c r="U5" s="737"/>
      <c r="V5" s="737"/>
      <c r="W5" s="737"/>
      <c r="X5" s="737"/>
      <c r="Y5" s="737"/>
      <c r="Z5" s="737"/>
      <c r="AA5" s="737"/>
      <c r="AB5" s="737"/>
      <c r="AC5" s="737"/>
    </row>
    <row r="6" spans="1:29">
      <c r="A6" s="739" t="s">
        <v>2025</v>
      </c>
      <c r="B6" s="739" t="s">
        <v>2025</v>
      </c>
      <c r="C6" s="739" t="s">
        <v>2026</v>
      </c>
      <c r="D6" s="739" t="s">
        <v>2026</v>
      </c>
      <c r="E6" s="791">
        <v>100000</v>
      </c>
      <c r="G6" s="739" t="str">
        <f>'LedgerLoad Assist'!D180</f>
        <v>013801</v>
      </c>
      <c r="J6" s="739">
        <v>1000</v>
      </c>
      <c r="Q6" s="773"/>
      <c r="T6" s="775" t="str">
        <f>'LedgerLoad Assist'!C179</f>
        <v>023801</v>
      </c>
      <c r="W6" s="739" t="s">
        <v>2032</v>
      </c>
      <c r="Y6" s="775">
        <f>'LedgerLoad Assist'!A5</f>
        <v>2017</v>
      </c>
      <c r="Z6" s="775">
        <v>12</v>
      </c>
      <c r="AA6" s="739">
        <f>'GOVERNMENTAL FUNDS - BS(15)'!D11+'GOVERNMENTAL FUNDS - BS(15)'!D12+'GOVERNMENTAL FUNDS - BS(15)'!D13+'GOVERNMENTAL FUNDS - BS(15)'!D15+'GOVERNMENTAL FUNDS - BS(15)'!D16+'GOVERNMENTAL FUNDS - BS(15)'!D17</f>
        <v>136398.51</v>
      </c>
      <c r="AB6" s="739">
        <f>AA6</f>
        <v>136398.51</v>
      </c>
      <c r="AC6" s="739">
        <f>AA6</f>
        <v>136398.51</v>
      </c>
    </row>
    <row r="7" spans="1:29">
      <c r="A7" s="739" t="s">
        <v>2025</v>
      </c>
      <c r="B7" s="739" t="s">
        <v>2025</v>
      </c>
      <c r="C7" s="739" t="s">
        <v>2026</v>
      </c>
      <c r="D7" s="739" t="s">
        <v>2026</v>
      </c>
      <c r="E7" s="791">
        <v>110000</v>
      </c>
      <c r="G7" s="739" t="str">
        <f>$G$6</f>
        <v>013801</v>
      </c>
      <c r="J7" s="739">
        <v>1000</v>
      </c>
      <c r="Q7" s="773"/>
      <c r="T7" s="775" t="str">
        <f>$T$6</f>
        <v>023801</v>
      </c>
      <c r="W7" s="739" t="s">
        <v>2032</v>
      </c>
      <c r="Y7" s="775">
        <f>$Y$6</f>
        <v>2017</v>
      </c>
      <c r="Z7" s="775">
        <v>12</v>
      </c>
      <c r="AA7" s="739">
        <f>'GOVERNMENTAL FUNDS - BS(15)'!D18</f>
        <v>5557.86</v>
      </c>
      <c r="AB7" s="739">
        <f t="shared" ref="AB7:AB19" si="0">AA7</f>
        <v>5557.86</v>
      </c>
      <c r="AC7" s="739">
        <f t="shared" ref="AC7:AC19" si="1">AA7</f>
        <v>5557.86</v>
      </c>
    </row>
    <row r="8" spans="1:29">
      <c r="A8" s="739" t="s">
        <v>2025</v>
      </c>
      <c r="B8" s="739" t="s">
        <v>2025</v>
      </c>
      <c r="C8" s="739" t="s">
        <v>2026</v>
      </c>
      <c r="D8" s="739" t="s">
        <v>2026</v>
      </c>
      <c r="E8" s="791">
        <v>120000</v>
      </c>
      <c r="G8" s="739" t="str">
        <f t="shared" ref="G8:G71" si="2">$G$6</f>
        <v>013801</v>
      </c>
      <c r="J8" s="739">
        <v>1000</v>
      </c>
      <c r="Q8" s="773"/>
      <c r="T8" s="775" t="str">
        <f t="shared" ref="T8:T71" si="3">$T$6</f>
        <v>023801</v>
      </c>
      <c r="W8" s="739" t="s">
        <v>2032</v>
      </c>
      <c r="Y8" s="775">
        <f t="shared" ref="Y8:Y71" si="4">$Y$6</f>
        <v>2017</v>
      </c>
      <c r="Z8" s="775">
        <v>12</v>
      </c>
      <c r="AA8" s="739">
        <f>'GOVERNMENTAL FUNDS - BS(15)'!D19</f>
        <v>0</v>
      </c>
      <c r="AB8" s="739">
        <f t="shared" si="0"/>
        <v>0</v>
      </c>
      <c r="AC8" s="739">
        <f t="shared" si="1"/>
        <v>0</v>
      </c>
    </row>
    <row r="9" spans="1:29">
      <c r="A9" s="739" t="s">
        <v>2025</v>
      </c>
      <c r="B9" s="739" t="s">
        <v>2025</v>
      </c>
      <c r="C9" s="739" t="s">
        <v>2026</v>
      </c>
      <c r="D9" s="739" t="s">
        <v>2026</v>
      </c>
      <c r="E9" s="791">
        <v>130000</v>
      </c>
      <c r="G9" s="739" t="str">
        <f t="shared" si="2"/>
        <v>013801</v>
      </c>
      <c r="J9" s="739">
        <v>1000</v>
      </c>
      <c r="Q9" s="773"/>
      <c r="T9" s="775" t="str">
        <f t="shared" si="3"/>
        <v>023801</v>
      </c>
      <c r="W9" s="739" t="s">
        <v>2032</v>
      </c>
      <c r="Y9" s="775">
        <f t="shared" si="4"/>
        <v>2017</v>
      </c>
      <c r="Z9" s="775">
        <v>12</v>
      </c>
      <c r="AA9" s="739">
        <f>'GOVERNMENTAL FUNDS - BS(15)'!D20+'GOVERNMENTAL FUNDS - BS(15)'!D21+'GOVERNMENTAL FUNDS - BS(15)'!D22</f>
        <v>0</v>
      </c>
      <c r="AB9" s="739">
        <f t="shared" si="0"/>
        <v>0</v>
      </c>
      <c r="AC9" s="739">
        <f t="shared" si="1"/>
        <v>0</v>
      </c>
    </row>
    <row r="10" spans="1:29">
      <c r="A10" s="739" t="s">
        <v>2025</v>
      </c>
      <c r="B10" s="739" t="s">
        <v>2025</v>
      </c>
      <c r="C10" s="739" t="s">
        <v>2026</v>
      </c>
      <c r="D10" s="739" t="s">
        <v>2026</v>
      </c>
      <c r="E10" s="791">
        <v>140000</v>
      </c>
      <c r="G10" s="739" t="str">
        <f t="shared" si="2"/>
        <v>013801</v>
      </c>
      <c r="J10" s="739">
        <v>1000</v>
      </c>
      <c r="Q10" s="773"/>
      <c r="T10" s="775" t="str">
        <f t="shared" si="3"/>
        <v>023801</v>
      </c>
      <c r="W10" s="739" t="s">
        <v>2032</v>
      </c>
      <c r="Y10" s="775">
        <f t="shared" si="4"/>
        <v>2017</v>
      </c>
      <c r="Z10" s="775">
        <v>12</v>
      </c>
      <c r="AA10" s="739">
        <f>'GOVERNMENTAL FUNDS - BS(15)'!D23</f>
        <v>0</v>
      </c>
      <c r="AB10" s="739">
        <f t="shared" si="0"/>
        <v>0</v>
      </c>
      <c r="AC10" s="739">
        <f t="shared" si="1"/>
        <v>0</v>
      </c>
    </row>
    <row r="11" spans="1:29">
      <c r="A11" s="739" t="s">
        <v>2025</v>
      </c>
      <c r="B11" s="739" t="s">
        <v>2025</v>
      </c>
      <c r="C11" s="739" t="s">
        <v>2026</v>
      </c>
      <c r="D11" s="739" t="s">
        <v>2026</v>
      </c>
      <c r="E11" s="791">
        <v>150000</v>
      </c>
      <c r="G11" s="739" t="str">
        <f t="shared" si="2"/>
        <v>013801</v>
      </c>
      <c r="J11" s="739">
        <v>1000</v>
      </c>
      <c r="Q11" s="773"/>
      <c r="T11" s="775" t="str">
        <f t="shared" si="3"/>
        <v>023801</v>
      </c>
      <c r="W11" s="739" t="s">
        <v>2032</v>
      </c>
      <c r="Y11" s="775">
        <f t="shared" si="4"/>
        <v>2017</v>
      </c>
      <c r="Z11" s="775">
        <v>12</v>
      </c>
      <c r="AA11" s="739">
        <f>'GOVERNMENTAL FUNDS - BS(15)'!D24</f>
        <v>0</v>
      </c>
      <c r="AB11" s="739">
        <f t="shared" si="0"/>
        <v>0</v>
      </c>
      <c r="AC11" s="739">
        <f t="shared" si="1"/>
        <v>0</v>
      </c>
    </row>
    <row r="12" spans="1:29">
      <c r="A12" s="739" t="s">
        <v>2025</v>
      </c>
      <c r="B12" s="739" t="s">
        <v>2025</v>
      </c>
      <c r="C12" s="739" t="s">
        <v>2026</v>
      </c>
      <c r="D12" s="739" t="s">
        <v>2026</v>
      </c>
      <c r="E12" s="791">
        <v>160000</v>
      </c>
      <c r="G12" s="739" t="str">
        <f t="shared" si="2"/>
        <v>013801</v>
      </c>
      <c r="J12" s="739">
        <v>1000</v>
      </c>
      <c r="Q12" s="773"/>
      <c r="T12" s="775" t="str">
        <f t="shared" si="3"/>
        <v>023801</v>
      </c>
      <c r="W12" s="739" t="s">
        <v>2032</v>
      </c>
      <c r="Y12" s="775">
        <f t="shared" si="4"/>
        <v>2017</v>
      </c>
      <c r="Z12" s="775">
        <v>12</v>
      </c>
      <c r="AA12" s="739">
        <v>0</v>
      </c>
      <c r="AB12" s="739">
        <f t="shared" si="0"/>
        <v>0</v>
      </c>
      <c r="AC12" s="739">
        <f t="shared" si="1"/>
        <v>0</v>
      </c>
    </row>
    <row r="13" spans="1:29">
      <c r="A13" s="739" t="s">
        <v>2025</v>
      </c>
      <c r="B13" s="739" t="s">
        <v>2025</v>
      </c>
      <c r="C13" s="739" t="s">
        <v>2026</v>
      </c>
      <c r="D13" s="739" t="s">
        <v>2026</v>
      </c>
      <c r="E13" s="791">
        <v>170000</v>
      </c>
      <c r="G13" s="739" t="str">
        <f t="shared" si="2"/>
        <v>013801</v>
      </c>
      <c r="J13" s="739">
        <v>1000</v>
      </c>
      <c r="Q13" s="773"/>
      <c r="T13" s="775" t="str">
        <f t="shared" si="3"/>
        <v>023801</v>
      </c>
      <c r="W13" s="739" t="s">
        <v>2032</v>
      </c>
      <c r="Y13" s="775">
        <f t="shared" si="4"/>
        <v>2017</v>
      </c>
      <c r="Z13" s="775">
        <v>12</v>
      </c>
      <c r="AA13" s="739">
        <f>'GOVERNMENTAL FUNDS - BS(15)'!D25</f>
        <v>0</v>
      </c>
      <c r="AB13" s="739">
        <f>AA13</f>
        <v>0</v>
      </c>
      <c r="AC13" s="739">
        <f>AA13</f>
        <v>0</v>
      </c>
    </row>
    <row r="14" spans="1:29">
      <c r="A14" s="739" t="s">
        <v>2025</v>
      </c>
      <c r="B14" s="739" t="s">
        <v>2025</v>
      </c>
      <c r="C14" s="739" t="s">
        <v>2026</v>
      </c>
      <c r="D14" s="739" t="s">
        <v>2026</v>
      </c>
      <c r="E14" s="791">
        <v>190000</v>
      </c>
      <c r="G14" s="739" t="str">
        <f t="shared" si="2"/>
        <v>013801</v>
      </c>
      <c r="J14" s="739">
        <v>1000</v>
      </c>
      <c r="Q14" s="773"/>
      <c r="T14" s="775" t="str">
        <f t="shared" si="3"/>
        <v>023801</v>
      </c>
      <c r="W14" s="739" t="s">
        <v>2032</v>
      </c>
      <c r="Y14" s="775">
        <f t="shared" si="4"/>
        <v>2017</v>
      </c>
      <c r="Z14" s="775">
        <v>12</v>
      </c>
      <c r="AA14" s="739">
        <f>'GOVERNMENTAL FUNDS - BS(15)'!D31</f>
        <v>0</v>
      </c>
      <c r="AB14" s="739">
        <f t="shared" si="0"/>
        <v>0</v>
      </c>
      <c r="AC14" s="739">
        <f t="shared" si="1"/>
        <v>0</v>
      </c>
    </row>
    <row r="15" spans="1:29">
      <c r="A15" s="739" t="s">
        <v>2025</v>
      </c>
      <c r="B15" s="739" t="s">
        <v>2025</v>
      </c>
      <c r="C15" s="739" t="s">
        <v>2026</v>
      </c>
      <c r="D15" s="739" t="s">
        <v>2026</v>
      </c>
      <c r="E15" s="791">
        <v>200000</v>
      </c>
      <c r="G15" s="739" t="str">
        <f t="shared" si="2"/>
        <v>013801</v>
      </c>
      <c r="J15" s="739">
        <v>1000</v>
      </c>
      <c r="Q15" s="773"/>
      <c r="T15" s="775" t="str">
        <f t="shared" si="3"/>
        <v>023801</v>
      </c>
      <c r="W15" s="739" t="s">
        <v>2032</v>
      </c>
      <c r="Y15" s="775">
        <f t="shared" si="4"/>
        <v>2017</v>
      </c>
      <c r="Z15" s="775">
        <v>12</v>
      </c>
      <c r="AA15" s="739">
        <f>('GOVERNMENTAL FUNDS - BS(15)'!D34+'GOVERNMENTAL FUNDS - BS(15)'!D35+'GOVERNMENTAL FUNDS - BS(15)'!D36+'GOVERNMENTAL FUNDS - BS(15)'!D37+'GOVERNMENTAL FUNDS - BS(15)'!D38+'GOVERNMENTAL FUNDS - BS(15)'!D39)*-1</f>
        <v>-537.32000000000005</v>
      </c>
      <c r="AB15" s="739">
        <f t="shared" si="0"/>
        <v>-537.32000000000005</v>
      </c>
      <c r="AC15" s="739">
        <f t="shared" si="1"/>
        <v>-537.32000000000005</v>
      </c>
    </row>
    <row r="16" spans="1:29">
      <c r="A16" s="739" t="s">
        <v>2025</v>
      </c>
      <c r="B16" s="739" t="s">
        <v>2025</v>
      </c>
      <c r="C16" s="739" t="s">
        <v>2026</v>
      </c>
      <c r="D16" s="739" t="s">
        <v>2026</v>
      </c>
      <c r="E16" s="791">
        <v>210000</v>
      </c>
      <c r="G16" s="739" t="str">
        <f t="shared" si="2"/>
        <v>013801</v>
      </c>
      <c r="J16" s="739">
        <v>1000</v>
      </c>
      <c r="Q16" s="773"/>
      <c r="T16" s="775" t="str">
        <f t="shared" si="3"/>
        <v>023801</v>
      </c>
      <c r="W16" s="739" t="s">
        <v>2032</v>
      </c>
      <c r="Y16" s="775">
        <f t="shared" si="4"/>
        <v>2017</v>
      </c>
      <c r="Z16" s="775">
        <v>12</v>
      </c>
      <c r="AA16" s="739">
        <f>('GOVERNMENTAL FUNDS - BS(15)'!D40+'GOVERNMENTAL FUNDS - BS(15)'!D41+'GOVERNMENTAL FUNDS - BS(15)'!D42+'GOVERNMENTAL FUNDS - BS(15)'!D43)*-1</f>
        <v>0</v>
      </c>
      <c r="AB16" s="739">
        <f t="shared" si="0"/>
        <v>0</v>
      </c>
      <c r="AC16" s="739">
        <f t="shared" si="1"/>
        <v>0</v>
      </c>
    </row>
    <row r="17" spans="1:29">
      <c r="A17" s="739" t="s">
        <v>2025</v>
      </c>
      <c r="B17" s="739" t="s">
        <v>2025</v>
      </c>
      <c r="C17" s="739" t="s">
        <v>2026</v>
      </c>
      <c r="D17" s="739" t="s">
        <v>2026</v>
      </c>
      <c r="E17" s="791">
        <v>216000</v>
      </c>
      <c r="G17" s="739" t="str">
        <f t="shared" si="2"/>
        <v>013801</v>
      </c>
      <c r="J17" s="739">
        <v>1000</v>
      </c>
      <c r="Q17" s="773"/>
      <c r="T17" s="775" t="str">
        <f t="shared" si="3"/>
        <v>023801</v>
      </c>
      <c r="W17" s="739" t="s">
        <v>2032</v>
      </c>
      <c r="Y17" s="775">
        <f t="shared" si="4"/>
        <v>2017</v>
      </c>
      <c r="Z17" s="775">
        <v>12</v>
      </c>
      <c r="AA17" s="739">
        <v>0</v>
      </c>
    </row>
    <row r="18" spans="1:29">
      <c r="A18" s="739" t="s">
        <v>2025</v>
      </c>
      <c r="B18" s="739" t="s">
        <v>2025</v>
      </c>
      <c r="C18" s="739" t="s">
        <v>2026</v>
      </c>
      <c r="D18" s="739" t="s">
        <v>2026</v>
      </c>
      <c r="E18" s="791">
        <v>220000</v>
      </c>
      <c r="G18" s="739" t="str">
        <f t="shared" si="2"/>
        <v>013801</v>
      </c>
      <c r="J18" s="739">
        <v>1000</v>
      </c>
      <c r="Q18" s="773"/>
      <c r="T18" s="775" t="str">
        <f t="shared" si="3"/>
        <v>023801</v>
      </c>
      <c r="W18" s="739" t="s">
        <v>2032</v>
      </c>
      <c r="Y18" s="775">
        <f t="shared" si="4"/>
        <v>2017</v>
      </c>
      <c r="Z18" s="775">
        <v>12</v>
      </c>
      <c r="AA18" s="739">
        <f>('GOVERNMENTAL FUNDS - BS(15)'!D50)*-1</f>
        <v>-5557.87</v>
      </c>
      <c r="AB18" s="739">
        <f t="shared" si="0"/>
        <v>-5557.87</v>
      </c>
      <c r="AC18" s="739">
        <f t="shared" si="1"/>
        <v>-5557.87</v>
      </c>
    </row>
    <row r="19" spans="1:29">
      <c r="A19" s="739" t="s">
        <v>2025</v>
      </c>
      <c r="B19" s="739" t="s">
        <v>2025</v>
      </c>
      <c r="C19" s="739" t="s">
        <v>2026</v>
      </c>
      <c r="D19" s="739" t="s">
        <v>2026</v>
      </c>
      <c r="E19" s="791">
        <v>230000</v>
      </c>
      <c r="G19" s="739" t="str">
        <f t="shared" si="2"/>
        <v>013801</v>
      </c>
      <c r="J19" s="739">
        <v>1000</v>
      </c>
      <c r="Q19" s="773"/>
      <c r="T19" s="775" t="str">
        <f t="shared" si="3"/>
        <v>023801</v>
      </c>
      <c r="W19" s="739" t="s">
        <v>2032</v>
      </c>
      <c r="Y19" s="775">
        <f t="shared" si="4"/>
        <v>2017</v>
      </c>
      <c r="Z19" s="775">
        <v>12</v>
      </c>
      <c r="AA19" s="739">
        <f>('GOVERNMENTAL FUNDS - BS(15)'!D44)*-1</f>
        <v>0</v>
      </c>
      <c r="AB19" s="739">
        <f t="shared" si="0"/>
        <v>0</v>
      </c>
      <c r="AC19" s="739">
        <f t="shared" si="1"/>
        <v>0</v>
      </c>
    </row>
    <row r="20" spans="1:29">
      <c r="A20" s="739" t="s">
        <v>2025</v>
      </c>
      <c r="B20" s="739" t="s">
        <v>2025</v>
      </c>
      <c r="C20" s="739" t="s">
        <v>2026</v>
      </c>
      <c r="D20" s="739" t="s">
        <v>2026</v>
      </c>
      <c r="E20" s="791">
        <v>270000</v>
      </c>
      <c r="G20" s="739" t="str">
        <f t="shared" si="2"/>
        <v>013801</v>
      </c>
      <c r="J20" s="739">
        <v>1000</v>
      </c>
      <c r="Q20" s="773"/>
      <c r="T20" s="775" t="str">
        <f t="shared" si="3"/>
        <v>023801</v>
      </c>
      <c r="W20" s="739" t="s">
        <v>2032</v>
      </c>
      <c r="Y20" s="775">
        <f t="shared" si="4"/>
        <v>2017</v>
      </c>
      <c r="Z20" s="775">
        <v>12</v>
      </c>
      <c r="AA20" s="739">
        <f>('GOVERNMENTAL FUNDS - BS(15)'!D72)*-1</f>
        <v>-135861.18</v>
      </c>
      <c r="AB20" s="739">
        <f t="shared" ref="AB20:AB26" si="5">AA20</f>
        <v>-135861.18</v>
      </c>
      <c r="AC20" s="739">
        <f>AA20</f>
        <v>-135861.18</v>
      </c>
    </row>
    <row r="21" spans="1:29">
      <c r="A21" s="739" t="s">
        <v>2025</v>
      </c>
      <c r="B21" s="739" t="s">
        <v>2025</v>
      </c>
      <c r="C21" s="739" t="s">
        <v>2026</v>
      </c>
      <c r="D21" s="739" t="s">
        <v>2026</v>
      </c>
      <c r="E21" s="792">
        <v>311000</v>
      </c>
      <c r="G21" s="739" t="str">
        <f t="shared" si="2"/>
        <v>013801</v>
      </c>
      <c r="J21" s="739">
        <v>1000</v>
      </c>
      <c r="Q21" s="773"/>
      <c r="T21" s="775" t="str">
        <f t="shared" si="3"/>
        <v>023801</v>
      </c>
      <c r="W21" s="739" t="s">
        <v>2032</v>
      </c>
      <c r="Y21" s="775">
        <f t="shared" si="4"/>
        <v>2017</v>
      </c>
      <c r="Z21" s="775">
        <v>12</v>
      </c>
      <c r="AA21" s="739">
        <f>('GENERAL FUND-OPERATING(48-53)'!E13)*-1</f>
        <v>-50979.519999999997</v>
      </c>
      <c r="AB21" s="739">
        <f t="shared" si="5"/>
        <v>-50979.519999999997</v>
      </c>
      <c r="AC21" s="739">
        <f>AA21</f>
        <v>-50979.519999999997</v>
      </c>
    </row>
    <row r="22" spans="1:29">
      <c r="A22" s="739" t="s">
        <v>2025</v>
      </c>
      <c r="B22" s="739" t="s">
        <v>2025</v>
      </c>
      <c r="C22" s="739" t="s">
        <v>2026</v>
      </c>
      <c r="D22" s="739" t="s">
        <v>2026</v>
      </c>
      <c r="E22" s="791">
        <v>314000</v>
      </c>
      <c r="G22" s="739" t="str">
        <f t="shared" si="2"/>
        <v>013801</v>
      </c>
      <c r="J22" s="739">
        <v>1000</v>
      </c>
      <c r="Q22" s="773"/>
      <c r="T22" s="775" t="str">
        <f t="shared" si="3"/>
        <v>023801</v>
      </c>
      <c r="W22" s="739" t="s">
        <v>2032</v>
      </c>
      <c r="Y22" s="775">
        <f t="shared" si="4"/>
        <v>2017</v>
      </c>
      <c r="Z22" s="775">
        <v>12</v>
      </c>
      <c r="AA22" s="739">
        <f>('GENERAL FUND-OPERATING(48-53)'!E14)*-1</f>
        <v>-16906.560000000001</v>
      </c>
      <c r="AB22" s="739">
        <f t="shared" si="5"/>
        <v>-16906.560000000001</v>
      </c>
      <c r="AC22" s="739">
        <f>AB22</f>
        <v>-16906.560000000001</v>
      </c>
    </row>
    <row r="23" spans="1:29">
      <c r="A23" s="739" t="s">
        <v>2025</v>
      </c>
      <c r="B23" s="739" t="s">
        <v>2025</v>
      </c>
      <c r="C23" s="739" t="s">
        <v>2026</v>
      </c>
      <c r="D23" s="739" t="s">
        <v>2026</v>
      </c>
      <c r="E23" s="791">
        <v>322000</v>
      </c>
      <c r="G23" s="739" t="str">
        <f t="shared" si="2"/>
        <v>013801</v>
      </c>
      <c r="J23" s="739">
        <v>1000</v>
      </c>
      <c r="Q23" s="773"/>
      <c r="T23" s="775" t="str">
        <f t="shared" si="3"/>
        <v>023801</v>
      </c>
      <c r="W23" s="739" t="s">
        <v>2032</v>
      </c>
      <c r="Y23" s="775">
        <f t="shared" si="4"/>
        <v>2017</v>
      </c>
      <c r="Z23" s="775">
        <v>12</v>
      </c>
      <c r="AA23" s="739">
        <f>('GENERAL FUND-OPERATING(48-53)'!E16+'GENERAL FUND-OPERATING(48-53)'!E17)*-1</f>
        <v>-1125</v>
      </c>
      <c r="AB23" s="739">
        <f t="shared" si="5"/>
        <v>-1125</v>
      </c>
      <c r="AC23" s="739">
        <f>AB23</f>
        <v>-1125</v>
      </c>
    </row>
    <row r="24" spans="1:29">
      <c r="A24" s="739" t="s">
        <v>2025</v>
      </c>
      <c r="B24" s="739" t="s">
        <v>2025</v>
      </c>
      <c r="C24" s="739" t="s">
        <v>2026</v>
      </c>
      <c r="D24" s="739" t="s">
        <v>2026</v>
      </c>
      <c r="E24" s="791">
        <v>323000</v>
      </c>
      <c r="G24" s="739" t="str">
        <f t="shared" si="2"/>
        <v>013801</v>
      </c>
      <c r="J24" s="739">
        <v>1000</v>
      </c>
      <c r="Q24" s="773"/>
      <c r="T24" s="775" t="str">
        <f t="shared" si="3"/>
        <v>023801</v>
      </c>
      <c r="W24" s="739" t="s">
        <v>2032</v>
      </c>
      <c r="Y24" s="775">
        <f t="shared" si="4"/>
        <v>2017</v>
      </c>
      <c r="Z24" s="775">
        <v>12</v>
      </c>
      <c r="AA24" s="739">
        <f>('GENERAL FUND-OPERATING(48-53)'!E18+'GENERAL FUND-OPERATING(48-53)'!E19+'GENERAL FUND-OPERATING(48-53)'!E20)*-1</f>
        <v>-285</v>
      </c>
      <c r="AB24" s="739">
        <f t="shared" si="5"/>
        <v>-285</v>
      </c>
      <c r="AC24" s="739">
        <f>AB24</f>
        <v>-285</v>
      </c>
    </row>
    <row r="25" spans="1:29">
      <c r="A25" s="739" t="s">
        <v>2025</v>
      </c>
      <c r="B25" s="739" t="s">
        <v>2025</v>
      </c>
      <c r="C25" s="739" t="s">
        <v>2026</v>
      </c>
      <c r="D25" s="739" t="s">
        <v>2026</v>
      </c>
      <c r="E25" s="791">
        <v>331000</v>
      </c>
      <c r="G25" s="739" t="str">
        <f t="shared" si="2"/>
        <v>013801</v>
      </c>
      <c r="J25" s="739">
        <v>1000</v>
      </c>
      <c r="Q25" s="773"/>
      <c r="T25" s="775" t="str">
        <f t="shared" si="3"/>
        <v>023801</v>
      </c>
      <c r="W25" s="739" t="s">
        <v>2032</v>
      </c>
      <c r="Y25" s="775">
        <f t="shared" si="4"/>
        <v>2017</v>
      </c>
      <c r="Z25" s="775">
        <v>12</v>
      </c>
      <c r="AA25" s="739">
        <f>('GENERAL FUND-OPERATING(48-53)'!E22)*-1</f>
        <v>0</v>
      </c>
      <c r="AB25" s="739">
        <f t="shared" si="5"/>
        <v>0</v>
      </c>
      <c r="AC25" s="739">
        <f>AB25</f>
        <v>0</v>
      </c>
    </row>
    <row r="26" spans="1:29">
      <c r="A26" s="739" t="s">
        <v>2025</v>
      </c>
      <c r="B26" s="739" t="s">
        <v>2025</v>
      </c>
      <c r="C26" s="739" t="s">
        <v>2026</v>
      </c>
      <c r="D26" s="739" t="s">
        <v>2026</v>
      </c>
      <c r="E26" s="791">
        <v>332000</v>
      </c>
      <c r="G26" s="739" t="str">
        <f t="shared" si="2"/>
        <v>013801</v>
      </c>
      <c r="J26" s="739">
        <v>1000</v>
      </c>
      <c r="Q26" s="773"/>
      <c r="T26" s="775" t="str">
        <f t="shared" si="3"/>
        <v>023801</v>
      </c>
      <c r="W26" s="739" t="s">
        <v>2032</v>
      </c>
      <c r="Y26" s="775">
        <f t="shared" si="4"/>
        <v>2017</v>
      </c>
      <c r="Z26" s="775">
        <v>12</v>
      </c>
      <c r="AA26" s="739">
        <f>('GENERAL FUND-OPERATING(48-53)'!E23)*-1</f>
        <v>0</v>
      </c>
      <c r="AB26" s="739">
        <f t="shared" si="5"/>
        <v>0</v>
      </c>
      <c r="AC26" s="739">
        <f>AB26</f>
        <v>0</v>
      </c>
    </row>
    <row r="27" spans="1:29">
      <c r="A27" s="739" t="s">
        <v>2025</v>
      </c>
      <c r="B27" s="739" t="s">
        <v>2025</v>
      </c>
      <c r="C27" s="739" t="s">
        <v>2026</v>
      </c>
      <c r="D27" s="739" t="s">
        <v>2026</v>
      </c>
      <c r="E27" s="791">
        <v>334000</v>
      </c>
      <c r="G27" s="739" t="str">
        <f t="shared" si="2"/>
        <v>013801</v>
      </c>
      <c r="J27" s="739">
        <v>1000</v>
      </c>
      <c r="Q27" s="773"/>
      <c r="T27" s="775" t="str">
        <f t="shared" si="3"/>
        <v>023801</v>
      </c>
      <c r="W27" s="739" t="s">
        <v>2032</v>
      </c>
      <c r="Y27" s="775">
        <f t="shared" si="4"/>
        <v>2017</v>
      </c>
      <c r="Z27" s="775">
        <v>12</v>
      </c>
      <c r="AA27" s="739">
        <f>('GENERAL FUND-OPERATING(48-53)'!E24)*-1</f>
        <v>-750</v>
      </c>
      <c r="AB27" s="739">
        <f t="shared" ref="AB27:AC27" si="6">AA27</f>
        <v>-750</v>
      </c>
      <c r="AC27" s="739">
        <f t="shared" si="6"/>
        <v>-750</v>
      </c>
    </row>
    <row r="28" spans="1:29">
      <c r="A28" s="739" t="s">
        <v>2025</v>
      </c>
      <c r="B28" s="739" t="s">
        <v>2025</v>
      </c>
      <c r="C28" s="739" t="s">
        <v>2026</v>
      </c>
      <c r="D28" s="739" t="s">
        <v>2026</v>
      </c>
      <c r="E28" s="791">
        <v>335000</v>
      </c>
      <c r="G28" s="739" t="str">
        <f t="shared" si="2"/>
        <v>013801</v>
      </c>
      <c r="J28" s="739">
        <v>1000</v>
      </c>
      <c r="Q28" s="773"/>
      <c r="T28" s="775" t="str">
        <f t="shared" si="3"/>
        <v>023801</v>
      </c>
      <c r="W28" s="739" t="s">
        <v>2032</v>
      </c>
      <c r="Y28" s="775">
        <f t="shared" si="4"/>
        <v>2017</v>
      </c>
      <c r="Z28" s="775">
        <v>12</v>
      </c>
      <c r="AA28" s="739">
        <f>('GENERAL FUND-OPERATING(48-53)'!E25)*-1</f>
        <v>-105228.02</v>
      </c>
      <c r="AB28" s="739">
        <f t="shared" ref="AB28:AC28" si="7">AA28</f>
        <v>-105228.02</v>
      </c>
      <c r="AC28" s="739">
        <f t="shared" si="7"/>
        <v>-105228.02</v>
      </c>
    </row>
    <row r="29" spans="1:29">
      <c r="A29" s="739" t="s">
        <v>2025</v>
      </c>
      <c r="B29" s="739" t="s">
        <v>2025</v>
      </c>
      <c r="C29" s="739" t="s">
        <v>2026</v>
      </c>
      <c r="D29" s="739" t="s">
        <v>2026</v>
      </c>
      <c r="E29" s="791">
        <v>337000</v>
      </c>
      <c r="G29" s="739" t="str">
        <f t="shared" si="2"/>
        <v>013801</v>
      </c>
      <c r="J29" s="739">
        <v>1000</v>
      </c>
      <c r="Q29" s="773"/>
      <c r="T29" s="775" t="str">
        <f t="shared" si="3"/>
        <v>023801</v>
      </c>
      <c r="W29" s="739" t="s">
        <v>2032</v>
      </c>
      <c r="Y29" s="775">
        <f t="shared" si="4"/>
        <v>2017</v>
      </c>
      <c r="Z29" s="775">
        <v>12</v>
      </c>
      <c r="AA29" s="739">
        <f>('GENERAL FUND-OPERATING(48-53)'!E26)*-1</f>
        <v>0</v>
      </c>
      <c r="AB29" s="739">
        <f t="shared" ref="AB29:AC29" si="8">AA29</f>
        <v>0</v>
      </c>
      <c r="AC29" s="739">
        <f t="shared" si="8"/>
        <v>0</v>
      </c>
    </row>
    <row r="30" spans="1:29">
      <c r="A30" s="739" t="s">
        <v>2025</v>
      </c>
      <c r="B30" s="739" t="s">
        <v>2025</v>
      </c>
      <c r="C30" s="739" t="s">
        <v>2026</v>
      </c>
      <c r="D30" s="739" t="s">
        <v>2026</v>
      </c>
      <c r="E30" s="791">
        <v>338000</v>
      </c>
      <c r="G30" s="739" t="str">
        <f t="shared" si="2"/>
        <v>013801</v>
      </c>
      <c r="J30" s="739">
        <v>1000</v>
      </c>
      <c r="Q30" s="773"/>
      <c r="T30" s="775" t="str">
        <f t="shared" si="3"/>
        <v>023801</v>
      </c>
      <c r="W30" s="739" t="s">
        <v>2032</v>
      </c>
      <c r="Y30" s="775">
        <f t="shared" si="4"/>
        <v>2017</v>
      </c>
      <c r="Z30" s="775">
        <v>12</v>
      </c>
      <c r="AA30" s="739">
        <f>('GENERAL FUND-OPERATING(48-53)'!E27)*-1</f>
        <v>0</v>
      </c>
      <c r="AB30" s="739">
        <f t="shared" ref="AB30:AC30" si="9">AA30</f>
        <v>0</v>
      </c>
      <c r="AC30" s="739">
        <f t="shared" si="9"/>
        <v>0</v>
      </c>
    </row>
    <row r="31" spans="1:29">
      <c r="A31" s="739" t="s">
        <v>2025</v>
      </c>
      <c r="B31" s="739" t="s">
        <v>2025</v>
      </c>
      <c r="C31" s="739" t="s">
        <v>2026</v>
      </c>
      <c r="D31" s="739" t="s">
        <v>2026</v>
      </c>
      <c r="E31" s="791">
        <v>341000</v>
      </c>
      <c r="G31" s="739" t="str">
        <f t="shared" si="2"/>
        <v>013801</v>
      </c>
      <c r="J31" s="739">
        <v>1000</v>
      </c>
      <c r="Q31" s="773"/>
      <c r="T31" s="775" t="str">
        <f t="shared" si="3"/>
        <v>023801</v>
      </c>
      <c r="W31" s="739" t="s">
        <v>2032</v>
      </c>
      <c r="Y31" s="775">
        <f t="shared" si="4"/>
        <v>2017</v>
      </c>
      <c r="Z31" s="775">
        <v>12</v>
      </c>
      <c r="AA31" s="739">
        <f>('GENERAL FUND-OPERATING(48-53)'!E29)*-1</f>
        <v>-727.89</v>
      </c>
      <c r="AB31" s="739">
        <f t="shared" ref="AB31:AC31" si="10">AA31</f>
        <v>-727.89</v>
      </c>
      <c r="AC31" s="739">
        <f t="shared" si="10"/>
        <v>-727.89</v>
      </c>
    </row>
    <row r="32" spans="1:29">
      <c r="A32" s="739" t="s">
        <v>2025</v>
      </c>
      <c r="B32" s="739" t="s">
        <v>2025</v>
      </c>
      <c r="C32" s="739" t="s">
        <v>2026</v>
      </c>
      <c r="D32" s="739" t="s">
        <v>2026</v>
      </c>
      <c r="E32" s="791">
        <v>342000</v>
      </c>
      <c r="G32" s="739" t="str">
        <f t="shared" si="2"/>
        <v>013801</v>
      </c>
      <c r="J32" s="739">
        <v>1000</v>
      </c>
      <c r="Q32" s="773"/>
      <c r="T32" s="775" t="str">
        <f t="shared" si="3"/>
        <v>023801</v>
      </c>
      <c r="W32" s="739" t="s">
        <v>2032</v>
      </c>
      <c r="Y32" s="775">
        <f t="shared" si="4"/>
        <v>2017</v>
      </c>
      <c r="Z32" s="775">
        <v>12</v>
      </c>
      <c r="AA32" s="739">
        <f>('GENERAL FUND-OPERATING(48-53)'!E30)*-1</f>
        <v>0</v>
      </c>
      <c r="AB32" s="739">
        <f t="shared" ref="AB32:AC32" si="11">AA32</f>
        <v>0</v>
      </c>
      <c r="AC32" s="739">
        <f t="shared" si="11"/>
        <v>0</v>
      </c>
    </row>
    <row r="33" spans="1:29">
      <c r="A33" s="739" t="s">
        <v>2025</v>
      </c>
      <c r="B33" s="739" t="s">
        <v>2025</v>
      </c>
      <c r="C33" s="739" t="s">
        <v>2026</v>
      </c>
      <c r="D33" s="739" t="s">
        <v>2026</v>
      </c>
      <c r="E33" s="791">
        <v>343000</v>
      </c>
      <c r="G33" s="739" t="str">
        <f t="shared" si="2"/>
        <v>013801</v>
      </c>
      <c r="J33" s="739">
        <v>1000</v>
      </c>
      <c r="Q33" s="773"/>
      <c r="T33" s="775" t="str">
        <f t="shared" si="3"/>
        <v>023801</v>
      </c>
      <c r="W33" s="739" t="s">
        <v>2032</v>
      </c>
      <c r="Y33" s="775">
        <f t="shared" si="4"/>
        <v>2017</v>
      </c>
      <c r="Z33" s="775">
        <v>12</v>
      </c>
      <c r="AA33" s="739">
        <f>('GENERAL FUND-OPERATING(48-53)'!E31)*-1</f>
        <v>0</v>
      </c>
      <c r="AB33" s="739">
        <f t="shared" ref="AB33:AC33" si="12">AA33</f>
        <v>0</v>
      </c>
      <c r="AC33" s="739">
        <f t="shared" si="12"/>
        <v>0</v>
      </c>
    </row>
    <row r="34" spans="1:29">
      <c r="A34" s="739" t="s">
        <v>2025</v>
      </c>
      <c r="B34" s="739" t="s">
        <v>2025</v>
      </c>
      <c r="C34" s="739" t="s">
        <v>2026</v>
      </c>
      <c r="D34" s="739" t="s">
        <v>2026</v>
      </c>
      <c r="E34" s="791">
        <v>344000</v>
      </c>
      <c r="G34" s="739" t="str">
        <f t="shared" si="2"/>
        <v>013801</v>
      </c>
      <c r="J34" s="739">
        <v>1000</v>
      </c>
      <c r="Q34" s="773"/>
      <c r="T34" s="775" t="str">
        <f t="shared" si="3"/>
        <v>023801</v>
      </c>
      <c r="W34" s="739" t="s">
        <v>2032</v>
      </c>
      <c r="Y34" s="775">
        <f t="shared" si="4"/>
        <v>2017</v>
      </c>
      <c r="Z34" s="775">
        <v>12</v>
      </c>
      <c r="AA34" s="739">
        <f>('GENERAL FUND-OPERATING(48-53)'!E32)*-1</f>
        <v>0</v>
      </c>
      <c r="AB34" s="739">
        <f t="shared" ref="AB34:AC34" si="13">AA34</f>
        <v>0</v>
      </c>
      <c r="AC34" s="739">
        <f t="shared" si="13"/>
        <v>0</v>
      </c>
    </row>
    <row r="35" spans="1:29">
      <c r="A35" s="739" t="s">
        <v>2025</v>
      </c>
      <c r="B35" s="739" t="s">
        <v>2025</v>
      </c>
      <c r="C35" s="739" t="s">
        <v>2026</v>
      </c>
      <c r="D35" s="739" t="s">
        <v>2026</v>
      </c>
      <c r="E35" s="791">
        <v>345000</v>
      </c>
      <c r="G35" s="739" t="str">
        <f t="shared" si="2"/>
        <v>013801</v>
      </c>
      <c r="J35" s="739">
        <v>1000</v>
      </c>
      <c r="Q35" s="773"/>
      <c r="T35" s="775" t="str">
        <f t="shared" si="3"/>
        <v>023801</v>
      </c>
      <c r="W35" s="739" t="s">
        <v>2032</v>
      </c>
      <c r="Y35" s="775">
        <f t="shared" si="4"/>
        <v>2017</v>
      </c>
      <c r="Z35" s="775">
        <v>12</v>
      </c>
      <c r="AA35" s="739">
        <f>('GENERAL FUND-OPERATING(48-53)'!E33)*-1</f>
        <v>0</v>
      </c>
      <c r="AB35" s="739">
        <f t="shared" ref="AB35:AC35" si="14">AA35</f>
        <v>0</v>
      </c>
      <c r="AC35" s="739">
        <f t="shared" si="14"/>
        <v>0</v>
      </c>
    </row>
    <row r="36" spans="1:29">
      <c r="A36" s="739" t="s">
        <v>2025</v>
      </c>
      <c r="B36" s="739" t="s">
        <v>2025</v>
      </c>
      <c r="C36" s="739" t="s">
        <v>2026</v>
      </c>
      <c r="D36" s="739" t="s">
        <v>2026</v>
      </c>
      <c r="E36" s="791">
        <v>346000</v>
      </c>
      <c r="G36" s="739" t="str">
        <f t="shared" si="2"/>
        <v>013801</v>
      </c>
      <c r="J36" s="739">
        <v>1000</v>
      </c>
      <c r="Q36" s="773"/>
      <c r="T36" s="775" t="str">
        <f t="shared" si="3"/>
        <v>023801</v>
      </c>
      <c r="W36" s="739" t="s">
        <v>2032</v>
      </c>
      <c r="Y36" s="775">
        <f t="shared" si="4"/>
        <v>2017</v>
      </c>
      <c r="Z36" s="775">
        <v>12</v>
      </c>
      <c r="AA36" s="739">
        <f>('GENERAL FUND-OPERATING(48-53)'!E34)*-1</f>
        <v>0</v>
      </c>
      <c r="AB36" s="739">
        <f t="shared" ref="AB36:AC36" si="15">AA36</f>
        <v>0</v>
      </c>
      <c r="AC36" s="739">
        <f t="shared" si="15"/>
        <v>0</v>
      </c>
    </row>
    <row r="37" spans="1:29">
      <c r="A37" s="739" t="s">
        <v>2025</v>
      </c>
      <c r="B37" s="739" t="s">
        <v>2025</v>
      </c>
      <c r="C37" s="739" t="s">
        <v>2026</v>
      </c>
      <c r="D37" s="739" t="s">
        <v>2026</v>
      </c>
      <c r="E37" s="791">
        <v>351000</v>
      </c>
      <c r="G37" s="739" t="str">
        <f t="shared" si="2"/>
        <v>013801</v>
      </c>
      <c r="J37" s="739">
        <v>1000</v>
      </c>
      <c r="Q37" s="773"/>
      <c r="T37" s="775" t="str">
        <f t="shared" si="3"/>
        <v>023801</v>
      </c>
      <c r="W37" s="739" t="s">
        <v>2032</v>
      </c>
      <c r="Y37" s="775">
        <f t="shared" si="4"/>
        <v>2017</v>
      </c>
      <c r="Z37" s="775">
        <v>12</v>
      </c>
      <c r="AA37" s="739">
        <f>('GENERAL FUND-OPERATING(48-53)'!E36+'GENERAL FUND-OPERATING(48-53)'!E37+'GENERAL FUND-OPERATING(48-53)'!E38)*-1</f>
        <v>-110</v>
      </c>
      <c r="AB37" s="739">
        <f t="shared" ref="AB37:AC37" si="16">AA37</f>
        <v>-110</v>
      </c>
      <c r="AC37" s="739">
        <f t="shared" si="16"/>
        <v>-110</v>
      </c>
    </row>
    <row r="38" spans="1:29">
      <c r="A38" s="739" t="s">
        <v>2025</v>
      </c>
      <c r="B38" s="739" t="s">
        <v>2025</v>
      </c>
      <c r="C38" s="739" t="s">
        <v>2026</v>
      </c>
      <c r="D38" s="739" t="s">
        <v>2026</v>
      </c>
      <c r="E38" s="792">
        <v>362000</v>
      </c>
      <c r="G38" s="739" t="str">
        <f t="shared" si="2"/>
        <v>013801</v>
      </c>
      <c r="J38" s="739">
        <v>1000</v>
      </c>
      <c r="Q38" s="773"/>
      <c r="T38" s="775" t="str">
        <f t="shared" si="3"/>
        <v>023801</v>
      </c>
      <c r="W38" s="739" t="s">
        <v>2032</v>
      </c>
      <c r="Y38" s="775">
        <f t="shared" si="4"/>
        <v>2017</v>
      </c>
      <c r="Z38" s="775">
        <v>12</v>
      </c>
      <c r="AA38" s="739">
        <f>('GENERAL FUND-OPERATING(48-53)'!E39)*-1</f>
        <v>0</v>
      </c>
      <c r="AB38" s="739">
        <f t="shared" ref="AB38:AC38" si="17">AA38</f>
        <v>0</v>
      </c>
      <c r="AC38" s="739">
        <f t="shared" si="17"/>
        <v>0</v>
      </c>
    </row>
    <row r="39" spans="1:29">
      <c r="A39" s="739" t="s">
        <v>2025</v>
      </c>
      <c r="B39" s="739" t="s">
        <v>2025</v>
      </c>
      <c r="C39" s="739" t="s">
        <v>2026</v>
      </c>
      <c r="D39" s="739" t="s">
        <v>2026</v>
      </c>
      <c r="E39" s="792">
        <v>371000</v>
      </c>
      <c r="G39" s="739" t="str">
        <f t="shared" si="2"/>
        <v>013801</v>
      </c>
      <c r="J39" s="739">
        <v>1000</v>
      </c>
      <c r="Q39" s="773"/>
      <c r="T39" s="775" t="str">
        <f t="shared" si="3"/>
        <v>023801</v>
      </c>
      <c r="W39" s="739" t="s">
        <v>2032</v>
      </c>
      <c r="Y39" s="775">
        <f t="shared" si="4"/>
        <v>2017</v>
      </c>
      <c r="Z39" s="775">
        <v>12</v>
      </c>
      <c r="AA39" s="739">
        <f>('GENERAL FUND-OPERATING(48-53)'!E40)*-1</f>
        <v>-262.22000000000003</v>
      </c>
      <c r="AB39" s="739">
        <f>AA39</f>
        <v>-262.22000000000003</v>
      </c>
      <c r="AC39" s="739">
        <f>AB39</f>
        <v>-262.22000000000003</v>
      </c>
    </row>
    <row r="40" spans="1:29">
      <c r="A40" s="739" t="s">
        <v>2025</v>
      </c>
      <c r="B40" s="739" t="s">
        <v>2025</v>
      </c>
      <c r="C40" s="739" t="s">
        <v>2026</v>
      </c>
      <c r="D40" s="739" t="s">
        <v>2026</v>
      </c>
      <c r="E40" s="791">
        <v>381000</v>
      </c>
      <c r="G40" s="739" t="str">
        <f t="shared" si="2"/>
        <v>013801</v>
      </c>
      <c r="J40" s="739">
        <v>1000</v>
      </c>
      <c r="Q40" s="773"/>
      <c r="T40" s="775" t="str">
        <f t="shared" si="3"/>
        <v>023801</v>
      </c>
      <c r="W40" s="739" t="s">
        <v>2032</v>
      </c>
      <c r="Y40" s="775">
        <f t="shared" si="4"/>
        <v>2017</v>
      </c>
      <c r="Z40" s="775">
        <v>12</v>
      </c>
      <c r="AA40" s="739">
        <f>('GENERAL FUND-OPERATING(48-53)'!E282+'GENERAL FUND-OPERATING(48-53)'!E283+'GENERAL FUND-OPERATING(48-53)'!E284+'GENERAL FUND-OPERATING(48-53)'!E285)*-1</f>
        <v>0</v>
      </c>
      <c r="AB40" s="739">
        <f t="shared" ref="AB40:AC40" si="18">AA40</f>
        <v>0</v>
      </c>
      <c r="AC40" s="739">
        <f t="shared" si="18"/>
        <v>0</v>
      </c>
    </row>
    <row r="41" spans="1:29">
      <c r="A41" s="739" t="s">
        <v>2025</v>
      </c>
      <c r="B41" s="739" t="s">
        <v>2025</v>
      </c>
      <c r="C41" s="739" t="s">
        <v>2026</v>
      </c>
      <c r="D41" s="739" t="s">
        <v>2026</v>
      </c>
      <c r="E41" s="791">
        <v>382000</v>
      </c>
      <c r="G41" s="739" t="str">
        <f t="shared" si="2"/>
        <v>013801</v>
      </c>
      <c r="J41" s="739">
        <v>1000</v>
      </c>
      <c r="Q41" s="773"/>
      <c r="T41" s="775" t="str">
        <f t="shared" si="3"/>
        <v>023801</v>
      </c>
      <c r="W41" s="739" t="s">
        <v>2032</v>
      </c>
      <c r="Y41" s="775">
        <f t="shared" si="4"/>
        <v>2017</v>
      </c>
      <c r="Z41" s="775">
        <v>12</v>
      </c>
      <c r="AA41" s="739">
        <f>('GENERAL FUND-OPERATING(48-53)'!E286)*-1</f>
        <v>0</v>
      </c>
      <c r="AB41" s="739">
        <f t="shared" ref="AB41:AC41" si="19">AA41</f>
        <v>0</v>
      </c>
      <c r="AC41" s="739">
        <f t="shared" si="19"/>
        <v>0</v>
      </c>
    </row>
    <row r="42" spans="1:29">
      <c r="A42" s="739" t="s">
        <v>2025</v>
      </c>
      <c r="B42" s="739" t="s">
        <v>2025</v>
      </c>
      <c r="C42" s="739" t="s">
        <v>2026</v>
      </c>
      <c r="D42" s="739" t="s">
        <v>2026</v>
      </c>
      <c r="E42" s="791">
        <v>383000</v>
      </c>
      <c r="G42" s="739" t="str">
        <f t="shared" si="2"/>
        <v>013801</v>
      </c>
      <c r="J42" s="739">
        <v>1000</v>
      </c>
      <c r="Q42" s="773"/>
      <c r="T42" s="775" t="str">
        <f t="shared" si="3"/>
        <v>023801</v>
      </c>
      <c r="W42" s="739" t="s">
        <v>2032</v>
      </c>
      <c r="Y42" s="775">
        <f t="shared" si="4"/>
        <v>2017</v>
      </c>
      <c r="Z42" s="775">
        <v>12</v>
      </c>
      <c r="AA42" s="739">
        <f>('GENERAL FUND-OPERATING(48-53)'!E287)*-1</f>
        <v>0</v>
      </c>
      <c r="AB42" s="739">
        <f t="shared" ref="AB42:AC42" si="20">AA42</f>
        <v>0</v>
      </c>
      <c r="AC42" s="739">
        <f t="shared" si="20"/>
        <v>0</v>
      </c>
    </row>
    <row r="43" spans="1:29">
      <c r="A43" s="739" t="s">
        <v>2025</v>
      </c>
      <c r="B43" s="739" t="s">
        <v>2025</v>
      </c>
      <c r="C43" s="739" t="s">
        <v>2026</v>
      </c>
      <c r="D43" s="739" t="s">
        <v>2026</v>
      </c>
      <c r="E43" s="791">
        <v>384000</v>
      </c>
      <c r="G43" s="739" t="str">
        <f t="shared" si="2"/>
        <v>013801</v>
      </c>
      <c r="J43" s="739">
        <v>1000</v>
      </c>
      <c r="Q43" s="773"/>
      <c r="T43" s="775" t="str">
        <f t="shared" si="3"/>
        <v>023801</v>
      </c>
      <c r="W43" s="739" t="s">
        <v>2032</v>
      </c>
      <c r="Y43" s="775">
        <f t="shared" si="4"/>
        <v>2017</v>
      </c>
      <c r="Z43" s="775">
        <v>12</v>
      </c>
      <c r="AA43" s="739">
        <f>('GENERAL FUND-OPERATING(48-53)'!E289)*-1</f>
        <v>0</v>
      </c>
      <c r="AB43" s="739">
        <f t="shared" ref="AB43:AC43" si="21">AA43</f>
        <v>0</v>
      </c>
      <c r="AC43" s="739">
        <f t="shared" si="21"/>
        <v>0</v>
      </c>
    </row>
    <row r="44" spans="1:29">
      <c r="A44" s="739" t="s">
        <v>2025</v>
      </c>
      <c r="B44" s="739" t="s">
        <v>2025</v>
      </c>
      <c r="C44" s="739" t="s">
        <v>2026</v>
      </c>
      <c r="D44" s="739" t="s">
        <v>2026</v>
      </c>
      <c r="E44" s="791">
        <v>385000</v>
      </c>
      <c r="G44" s="739" t="str">
        <f t="shared" si="2"/>
        <v>013801</v>
      </c>
      <c r="J44" s="739">
        <v>1000</v>
      </c>
      <c r="Q44" s="773"/>
      <c r="T44" s="775" t="str">
        <f t="shared" si="3"/>
        <v>023801</v>
      </c>
      <c r="W44" s="739" t="s">
        <v>2032</v>
      </c>
      <c r="Y44" s="775">
        <f t="shared" si="4"/>
        <v>2017</v>
      </c>
      <c r="Z44" s="775">
        <v>12</v>
      </c>
      <c r="AA44" s="739">
        <f>('GENERAL FUND-OPERATING(48-53)'!E290)*-1</f>
        <v>0</v>
      </c>
      <c r="AB44" s="739">
        <f t="shared" ref="AB44:AC44" si="22">AA44</f>
        <v>0</v>
      </c>
      <c r="AC44" s="739">
        <f t="shared" si="22"/>
        <v>0</v>
      </c>
    </row>
    <row r="45" spans="1:29">
      <c r="A45" s="739" t="s">
        <v>2025</v>
      </c>
      <c r="B45" s="739" t="s">
        <v>2025</v>
      </c>
      <c r="C45" s="739" t="s">
        <v>2026</v>
      </c>
      <c r="D45" s="739" t="s">
        <v>2026</v>
      </c>
      <c r="E45" s="791">
        <v>410000</v>
      </c>
      <c r="G45" s="739" t="str">
        <f t="shared" si="2"/>
        <v>013801</v>
      </c>
      <c r="J45" s="739">
        <v>1000</v>
      </c>
      <c r="Q45" s="773">
        <v>100</v>
      </c>
      <c r="T45" s="775" t="str">
        <f t="shared" si="3"/>
        <v>023801</v>
      </c>
      <c r="W45" s="739" t="s">
        <v>2032</v>
      </c>
      <c r="Y45" s="775">
        <f t="shared" si="4"/>
        <v>2017</v>
      </c>
      <c r="Z45" s="775">
        <v>12</v>
      </c>
      <c r="AA45" s="739">
        <f>'GENERAL FUND-OPERATING(48-53)'!E48+'GENERAL FUND-OPERATING(48-53)'!E52+'GENERAL FUND-OPERATING(48-53)'!E56+'GENERAL FUND-OPERATING(48-53)'!E62+'GENERAL FUND-OPERATING(48-53)'!E66+'GENERAL FUND-OPERATING(48-53)'!E70+'GENERAL FUND-OPERATING(48-53)'!E74+'GENERAL FUND-OPERATING(48-53)'!E82+'GENERAL FUND-OPERATING(48-53)'!E86+'GENERAL FUND-OPERATING(48-53)'!E90+'GENERAL FUND-OPERATING(48-53)'!E78+'GENERAL FUND-OPERATING(48-53)'!E94</f>
        <v>43370.869999999995</v>
      </c>
      <c r="AB45" s="739">
        <f t="shared" ref="AB45:AC45" si="23">AA45</f>
        <v>43370.869999999995</v>
      </c>
      <c r="AC45" s="739">
        <f t="shared" si="23"/>
        <v>43370.869999999995</v>
      </c>
    </row>
    <row r="46" spans="1:29">
      <c r="A46" s="739" t="s">
        <v>2025</v>
      </c>
      <c r="B46" s="739" t="s">
        <v>2025</v>
      </c>
      <c r="C46" s="739" t="s">
        <v>2026</v>
      </c>
      <c r="D46" s="739" t="s">
        <v>2026</v>
      </c>
      <c r="E46" s="791">
        <v>410000</v>
      </c>
      <c r="G46" s="739" t="str">
        <f t="shared" si="2"/>
        <v>013801</v>
      </c>
      <c r="J46" s="739">
        <v>1000</v>
      </c>
      <c r="Q46" s="773" t="s">
        <v>2606</v>
      </c>
      <c r="T46" s="775" t="str">
        <f t="shared" si="3"/>
        <v>023801</v>
      </c>
      <c r="W46" s="739" t="s">
        <v>2032</v>
      </c>
      <c r="Y46" s="775">
        <f t="shared" si="4"/>
        <v>2017</v>
      </c>
      <c r="Z46" s="775">
        <v>12</v>
      </c>
      <c r="AA46" s="739">
        <f>'GENERAL FUND-OPERATING(48-53)'!E49+'GENERAL FUND-OPERATING(48-53)'!E53+'GENERAL FUND-OPERATING(48-53)'!E57+'GENERAL FUND-OPERATING(48-53)'!E63+'GENERAL FUND-OPERATING(48-53)'!E67+'GENERAL FUND-OPERATING(48-53)'!E71+'GENERAL FUND-OPERATING(48-53)'!E75+'GENERAL FUND-OPERATING(48-53)'!E83+'GENERAL FUND-OPERATING(48-53)'!E87+'GENERAL FUND-OPERATING(48-53)'!E91+'GENERAL FUND-OPERATING(48-53)'!E79+'GENERAL FUND-OPERATING(48-53)'!E95</f>
        <v>21773.35</v>
      </c>
      <c r="AB46" s="739">
        <f t="shared" ref="AB46:AC46" si="24">AA46</f>
        <v>21773.35</v>
      </c>
      <c r="AC46" s="739">
        <f t="shared" si="24"/>
        <v>21773.35</v>
      </c>
    </row>
    <row r="47" spans="1:29">
      <c r="A47" s="739" t="s">
        <v>2025</v>
      </c>
      <c r="B47" s="739" t="s">
        <v>2025</v>
      </c>
      <c r="C47" s="739" t="s">
        <v>2026</v>
      </c>
      <c r="D47" s="739" t="s">
        <v>2026</v>
      </c>
      <c r="E47" s="791">
        <v>410000</v>
      </c>
      <c r="G47" s="739" t="str">
        <f t="shared" si="2"/>
        <v>013801</v>
      </c>
      <c r="J47" s="739">
        <v>1000</v>
      </c>
      <c r="Q47" s="773">
        <v>900</v>
      </c>
      <c r="T47" s="775" t="str">
        <f t="shared" si="3"/>
        <v>023801</v>
      </c>
      <c r="W47" s="739" t="s">
        <v>2032</v>
      </c>
      <c r="Y47" s="775">
        <f t="shared" si="4"/>
        <v>2017</v>
      </c>
      <c r="Z47" s="775">
        <v>12</v>
      </c>
      <c r="AA47" s="739">
        <f>'GENERAL FUND-OPERATING(48-53)'!E50+'GENERAL FUND-OPERATING(48-53)'!E54+'GENERAL FUND-OPERATING(48-53)'!E58+'GENERAL FUND-OPERATING(48-53)'!E64+'GENERAL FUND-OPERATING(48-53)'!E68+'GENERAL FUND-OPERATING(48-53)'!E72+'GENERAL FUND-OPERATING(48-53)'!E76+'GENERAL FUND-OPERATING(48-53)'!E84+'GENERAL FUND-OPERATING(48-53)'!E88+'GENERAL FUND-OPERATING(48-53)'!E92+'GENERAL FUND-OPERATING(48-53)'!E80+'GENERAL FUND-OPERATING(48-53)'!E96</f>
        <v>0</v>
      </c>
      <c r="AB47" s="739">
        <f t="shared" ref="AB47:AC47" si="25">AA47</f>
        <v>0</v>
      </c>
      <c r="AC47" s="739">
        <f t="shared" si="25"/>
        <v>0</v>
      </c>
    </row>
    <row r="48" spans="1:29">
      <c r="A48" s="739" t="s">
        <v>2025</v>
      </c>
      <c r="B48" s="739" t="s">
        <v>2025</v>
      </c>
      <c r="C48" s="739" t="s">
        <v>2026</v>
      </c>
      <c r="D48" s="739" t="s">
        <v>2026</v>
      </c>
      <c r="E48" s="791">
        <v>420000</v>
      </c>
      <c r="G48" s="739" t="str">
        <f t="shared" si="2"/>
        <v>013801</v>
      </c>
      <c r="J48" s="739">
        <v>1000</v>
      </c>
      <c r="Q48" s="773">
        <v>100</v>
      </c>
      <c r="T48" s="775" t="str">
        <f t="shared" si="3"/>
        <v>023801</v>
      </c>
      <c r="W48" s="739" t="s">
        <v>2032</v>
      </c>
      <c r="Y48" s="775">
        <f t="shared" si="4"/>
        <v>2017</v>
      </c>
      <c r="Z48" s="775">
        <v>12</v>
      </c>
      <c r="AA48" s="739">
        <f>'GENERAL FUND-OPERATING(48-53)'!E99+'GENERAL FUND-OPERATING(48-53)'!E103+'GENERAL FUND-OPERATING(48-53)'!E107+'GENERAL FUND-OPERATING(48-53)'!E113+'GENERAL FUND-OPERATING(48-53)'!E117+'GENERAL FUND-OPERATING(48-53)'!E121+'GENERAL FUND-OPERATING(48-53)'!E125</f>
        <v>440.79</v>
      </c>
      <c r="AB48" s="739">
        <f t="shared" ref="AB48:AC48" si="26">AA48</f>
        <v>440.79</v>
      </c>
      <c r="AC48" s="739">
        <f t="shared" si="26"/>
        <v>440.79</v>
      </c>
    </row>
    <row r="49" spans="1:29">
      <c r="A49" s="739" t="s">
        <v>2025</v>
      </c>
      <c r="B49" s="739" t="s">
        <v>2025</v>
      </c>
      <c r="C49" s="739" t="s">
        <v>2026</v>
      </c>
      <c r="D49" s="739" t="s">
        <v>2026</v>
      </c>
      <c r="E49" s="791">
        <v>420000</v>
      </c>
      <c r="G49" s="739" t="str">
        <f t="shared" si="2"/>
        <v>013801</v>
      </c>
      <c r="J49" s="739">
        <v>1000</v>
      </c>
      <c r="Q49" s="773" t="s">
        <v>2606</v>
      </c>
      <c r="T49" s="775" t="str">
        <f t="shared" si="3"/>
        <v>023801</v>
      </c>
      <c r="W49" s="739" t="s">
        <v>2032</v>
      </c>
      <c r="Y49" s="775">
        <f t="shared" si="4"/>
        <v>2017</v>
      </c>
      <c r="Z49" s="775">
        <v>12</v>
      </c>
      <c r="AA49" s="739">
        <f>'GENERAL FUND-OPERATING(48-53)'!E100+'GENERAL FUND-OPERATING(48-53)'!E104+'GENERAL FUND-OPERATING(48-53)'!E108+'GENERAL FUND-OPERATING(48-53)'!E114+'GENERAL FUND-OPERATING(48-53)'!E118+'GENERAL FUND-OPERATING(48-53)'!E122+'GENERAL FUND-OPERATING(48-53)'!E126</f>
        <v>24067.14</v>
      </c>
      <c r="AB49" s="739">
        <f t="shared" ref="AB49:AC49" si="27">AA49</f>
        <v>24067.14</v>
      </c>
      <c r="AC49" s="739">
        <f t="shared" si="27"/>
        <v>24067.14</v>
      </c>
    </row>
    <row r="50" spans="1:29">
      <c r="A50" s="739" t="s">
        <v>2025</v>
      </c>
      <c r="B50" s="739" t="s">
        <v>2025</v>
      </c>
      <c r="C50" s="739" t="s">
        <v>2026</v>
      </c>
      <c r="D50" s="739" t="s">
        <v>2026</v>
      </c>
      <c r="E50" s="791">
        <v>420000</v>
      </c>
      <c r="G50" s="739" t="str">
        <f t="shared" si="2"/>
        <v>013801</v>
      </c>
      <c r="J50" s="739">
        <v>1000</v>
      </c>
      <c r="Q50" s="773">
        <v>900</v>
      </c>
      <c r="T50" s="775" t="str">
        <f t="shared" si="3"/>
        <v>023801</v>
      </c>
      <c r="W50" s="739" t="s">
        <v>2032</v>
      </c>
      <c r="Y50" s="775">
        <f t="shared" si="4"/>
        <v>2017</v>
      </c>
      <c r="Z50" s="775">
        <v>12</v>
      </c>
      <c r="AA50" s="739">
        <f>'GENERAL FUND-OPERATING(48-53)'!E101+'GENERAL FUND-OPERATING(48-53)'!E105+'GENERAL FUND-OPERATING(48-53)'!E109+'GENERAL FUND-OPERATING(48-53)'!E115+'GENERAL FUND-OPERATING(48-53)'!E119+'GENERAL FUND-OPERATING(48-53)'!E123+'GENERAL FUND-OPERATING(48-53)'!E127</f>
        <v>0</v>
      </c>
      <c r="AB50" s="739">
        <f t="shared" ref="AB50:AC50" si="28">AA50</f>
        <v>0</v>
      </c>
      <c r="AC50" s="739">
        <f t="shared" si="28"/>
        <v>0</v>
      </c>
    </row>
    <row r="51" spans="1:29">
      <c r="A51" s="739" t="s">
        <v>2025</v>
      </c>
      <c r="B51" s="739" t="s">
        <v>2025</v>
      </c>
      <c r="C51" s="739" t="s">
        <v>2026</v>
      </c>
      <c r="D51" s="739" t="s">
        <v>2026</v>
      </c>
      <c r="E51" s="791">
        <v>430000</v>
      </c>
      <c r="G51" s="739" t="str">
        <f t="shared" si="2"/>
        <v>013801</v>
      </c>
      <c r="J51" s="739">
        <v>1000</v>
      </c>
      <c r="Q51" s="773">
        <v>100</v>
      </c>
      <c r="T51" s="775" t="str">
        <f t="shared" si="3"/>
        <v>023801</v>
      </c>
      <c r="W51" s="739" t="s">
        <v>2032</v>
      </c>
      <c r="Y51" s="775">
        <f t="shared" si="4"/>
        <v>2017</v>
      </c>
      <c r="Z51" s="775">
        <v>12</v>
      </c>
      <c r="AA51" s="739">
        <f>'GENERAL FUND-OPERATING(48-53)'!E130+'GENERAL FUND-OPERATING(48-53)'!E134+'GENERAL FUND-OPERATING(48-53)'!E138+'GENERAL FUND-OPERATING(48-53)'!E142+'GENERAL FUND-OPERATING(48-53)'!E146+'GENERAL FUND-OPERATING(48-53)'!E150+'GENERAL FUND-OPERATING(48-53)'!E154+'GENERAL FUND-OPERATING(48-53)'!E158+'GENERAL FUND-OPERATING(48-53)'!E162+'GENERAL FUND-OPERATING(48-53)'!E168</f>
        <v>27270.11</v>
      </c>
      <c r="AB51" s="739">
        <f t="shared" ref="AB51:AC51" si="29">AA51</f>
        <v>27270.11</v>
      </c>
      <c r="AC51" s="739">
        <f t="shared" si="29"/>
        <v>27270.11</v>
      </c>
    </row>
    <row r="52" spans="1:29">
      <c r="A52" s="739" t="s">
        <v>2025</v>
      </c>
      <c r="B52" s="739" t="s">
        <v>2025</v>
      </c>
      <c r="C52" s="739" t="s">
        <v>2026</v>
      </c>
      <c r="D52" s="739" t="s">
        <v>2026</v>
      </c>
      <c r="E52" s="791">
        <v>430000</v>
      </c>
      <c r="G52" s="739" t="str">
        <f t="shared" si="2"/>
        <v>013801</v>
      </c>
      <c r="J52" s="739">
        <v>1000</v>
      </c>
      <c r="Q52" s="773" t="s">
        <v>2606</v>
      </c>
      <c r="T52" s="775" t="str">
        <f t="shared" si="3"/>
        <v>023801</v>
      </c>
      <c r="W52" s="739" t="s">
        <v>2032</v>
      </c>
      <c r="Y52" s="775">
        <f t="shared" si="4"/>
        <v>2017</v>
      </c>
      <c r="Z52" s="775">
        <v>12</v>
      </c>
      <c r="AA52" s="739">
        <f>'GENERAL FUND-OPERATING(48-53)'!E131+'GENERAL FUND-OPERATING(48-53)'!E135+'GENERAL FUND-OPERATING(48-53)'!E139+'GENERAL FUND-OPERATING(48-53)'!E143+'GENERAL FUND-OPERATING(48-53)'!E147+'GENERAL FUND-OPERATING(48-53)'!E151+'GENERAL FUND-OPERATING(48-53)'!E155+'GENERAL FUND-OPERATING(48-53)'!E159+'GENERAL FUND-OPERATING(48-53)'!E163+'GENERAL FUND-OPERATING(48-53)'!E169</f>
        <v>15891.460000000001</v>
      </c>
      <c r="AB52" s="739">
        <f t="shared" ref="AB52:AC52" si="30">AA52</f>
        <v>15891.460000000001</v>
      </c>
      <c r="AC52" s="739">
        <f t="shared" si="30"/>
        <v>15891.460000000001</v>
      </c>
    </row>
    <row r="53" spans="1:29">
      <c r="A53" s="739" t="s">
        <v>2025</v>
      </c>
      <c r="B53" s="739" t="s">
        <v>2025</v>
      </c>
      <c r="C53" s="739" t="s">
        <v>2026</v>
      </c>
      <c r="D53" s="739" t="s">
        <v>2026</v>
      </c>
      <c r="E53" s="791">
        <v>430000</v>
      </c>
      <c r="G53" s="739" t="str">
        <f t="shared" si="2"/>
        <v>013801</v>
      </c>
      <c r="J53" s="739">
        <v>1000</v>
      </c>
      <c r="Q53" s="773">
        <v>900</v>
      </c>
      <c r="T53" s="775" t="str">
        <f t="shared" si="3"/>
        <v>023801</v>
      </c>
      <c r="W53" s="739" t="s">
        <v>2032</v>
      </c>
      <c r="Y53" s="775">
        <f t="shared" si="4"/>
        <v>2017</v>
      </c>
      <c r="Z53" s="775">
        <v>12</v>
      </c>
      <c r="AA53" s="739">
        <f>'GENERAL FUND-OPERATING(48-53)'!E132+'GENERAL FUND-OPERATING(48-53)'!E136+'GENERAL FUND-OPERATING(48-53)'!E140+'GENERAL FUND-OPERATING(48-53)'!E144+'GENERAL FUND-OPERATING(48-53)'!E148+'GENERAL FUND-OPERATING(48-53)'!E152+'GENERAL FUND-OPERATING(48-53)'!E156+'GENERAL FUND-OPERATING(48-53)'!E160+'GENERAL FUND-OPERATING(48-53)'!E164+'GENERAL FUND-OPERATING(48-53)'!E170</f>
        <v>40411.589999999997</v>
      </c>
      <c r="AB53" s="739">
        <f t="shared" ref="AB53:AC53" si="31">AA53</f>
        <v>40411.589999999997</v>
      </c>
      <c r="AC53" s="739">
        <f t="shared" si="31"/>
        <v>40411.589999999997</v>
      </c>
    </row>
    <row r="54" spans="1:29">
      <c r="A54" s="739" t="s">
        <v>2025</v>
      </c>
      <c r="B54" s="739" t="s">
        <v>2025</v>
      </c>
      <c r="C54" s="739" t="s">
        <v>2026</v>
      </c>
      <c r="D54" s="739" t="s">
        <v>2026</v>
      </c>
      <c r="E54" s="791">
        <v>440000</v>
      </c>
      <c r="G54" s="739" t="str">
        <f t="shared" si="2"/>
        <v>013801</v>
      </c>
      <c r="J54" s="739">
        <v>1000</v>
      </c>
      <c r="Q54" s="773">
        <v>100</v>
      </c>
      <c r="T54" s="775" t="str">
        <f t="shared" si="3"/>
        <v>023801</v>
      </c>
      <c r="W54" s="739" t="s">
        <v>2032</v>
      </c>
      <c r="Y54" s="775">
        <f t="shared" si="4"/>
        <v>2017</v>
      </c>
      <c r="Z54" s="775">
        <v>12</v>
      </c>
      <c r="AA54" s="739">
        <f>'GENERAL FUND-OPERATING(48-53)'!E173+'GENERAL FUND-OPERATING(48-53)'!E177+'GENERAL FUND-OPERATING(48-53)'!E181+'GENERAL FUND-OPERATING(48-53)'!E185+'GENERAL FUND-OPERATING(48-53)'!E189+'GENERAL FUND-OPERATING(48-53)'!E193</f>
        <v>0</v>
      </c>
      <c r="AB54" s="739">
        <f t="shared" ref="AB54:AC54" si="32">AA54</f>
        <v>0</v>
      </c>
      <c r="AC54" s="739">
        <f t="shared" si="32"/>
        <v>0</v>
      </c>
    </row>
    <row r="55" spans="1:29">
      <c r="A55" s="739" t="s">
        <v>2025</v>
      </c>
      <c r="B55" s="739" t="s">
        <v>2025</v>
      </c>
      <c r="C55" s="739" t="s">
        <v>2026</v>
      </c>
      <c r="D55" s="739" t="s">
        <v>2026</v>
      </c>
      <c r="E55" s="791">
        <v>440000</v>
      </c>
      <c r="G55" s="739" t="str">
        <f t="shared" si="2"/>
        <v>013801</v>
      </c>
      <c r="J55" s="739">
        <v>1000</v>
      </c>
      <c r="Q55" s="773" t="s">
        <v>2606</v>
      </c>
      <c r="T55" s="775" t="str">
        <f t="shared" si="3"/>
        <v>023801</v>
      </c>
      <c r="W55" s="739" t="s">
        <v>2032</v>
      </c>
      <c r="Y55" s="775">
        <f t="shared" si="4"/>
        <v>2017</v>
      </c>
      <c r="Z55" s="775">
        <v>12</v>
      </c>
      <c r="AA55" s="739">
        <f>'GENERAL FUND-OPERATING(48-53)'!E174+'GENERAL FUND-OPERATING(48-53)'!E178+'GENERAL FUND-OPERATING(48-53)'!E182+'GENERAL FUND-OPERATING(48-53)'!E186+'GENERAL FUND-OPERATING(48-53)'!E190+'GENERAL FUND-OPERATING(48-53)'!E194</f>
        <v>44.29</v>
      </c>
      <c r="AB55" s="739">
        <f t="shared" ref="AB55:AC55" si="33">AA55</f>
        <v>44.29</v>
      </c>
      <c r="AC55" s="739">
        <f t="shared" si="33"/>
        <v>44.29</v>
      </c>
    </row>
    <row r="56" spans="1:29">
      <c r="A56" s="739" t="s">
        <v>2025</v>
      </c>
      <c r="B56" s="739" t="s">
        <v>2025</v>
      </c>
      <c r="C56" s="739" t="s">
        <v>2026</v>
      </c>
      <c r="D56" s="739" t="s">
        <v>2026</v>
      </c>
      <c r="E56" s="791">
        <v>440000</v>
      </c>
      <c r="G56" s="739" t="str">
        <f t="shared" si="2"/>
        <v>013801</v>
      </c>
      <c r="J56" s="739">
        <v>1000</v>
      </c>
      <c r="Q56" s="773">
        <v>900</v>
      </c>
      <c r="T56" s="775" t="str">
        <f t="shared" si="3"/>
        <v>023801</v>
      </c>
      <c r="W56" s="739" t="s">
        <v>2032</v>
      </c>
      <c r="Y56" s="775">
        <f t="shared" si="4"/>
        <v>2017</v>
      </c>
      <c r="Z56" s="775">
        <v>12</v>
      </c>
      <c r="AA56" s="739">
        <f>'GENERAL FUND-OPERATING(48-53)'!E175+'GENERAL FUND-OPERATING(48-53)'!E179+'GENERAL FUND-OPERATING(48-53)'!E183+'GENERAL FUND-OPERATING(48-53)'!E187+'GENERAL FUND-OPERATING(48-53)'!E191+'GENERAL FUND-OPERATING(48-53)'!E195</f>
        <v>0</v>
      </c>
      <c r="AB56" s="739">
        <f t="shared" ref="AB56:AC56" si="34">AA56</f>
        <v>0</v>
      </c>
      <c r="AC56" s="739">
        <f t="shared" si="34"/>
        <v>0</v>
      </c>
    </row>
    <row r="57" spans="1:29">
      <c r="A57" s="739" t="s">
        <v>2025</v>
      </c>
      <c r="B57" s="739" t="s">
        <v>2025</v>
      </c>
      <c r="C57" s="739" t="s">
        <v>2026</v>
      </c>
      <c r="D57" s="739" t="s">
        <v>2026</v>
      </c>
      <c r="E57" s="791">
        <v>450000</v>
      </c>
      <c r="G57" s="739" t="str">
        <f t="shared" si="2"/>
        <v>013801</v>
      </c>
      <c r="J57" s="739">
        <v>1000</v>
      </c>
      <c r="Q57" s="773">
        <v>100</v>
      </c>
      <c r="T57" s="775" t="str">
        <f t="shared" si="3"/>
        <v>023801</v>
      </c>
      <c r="W57" s="739" t="s">
        <v>2032</v>
      </c>
      <c r="Y57" s="775">
        <f t="shared" si="4"/>
        <v>2017</v>
      </c>
      <c r="Z57" s="775">
        <v>12</v>
      </c>
      <c r="AA57" s="739">
        <f>'GENERAL FUND-OPERATING(48-53)'!E198+'GENERAL FUND-OPERATING(48-53)'!E202+'GENERAL FUND-OPERATING(48-53)'!E206+'GENERAL FUND-OPERATING(48-53)'!E211</f>
        <v>0</v>
      </c>
      <c r="AB57" s="739">
        <f t="shared" ref="AB57:AC57" si="35">AA57</f>
        <v>0</v>
      </c>
      <c r="AC57" s="739">
        <f t="shared" si="35"/>
        <v>0</v>
      </c>
    </row>
    <row r="58" spans="1:29">
      <c r="A58" s="739" t="s">
        <v>2025</v>
      </c>
      <c r="B58" s="739" t="s">
        <v>2025</v>
      </c>
      <c r="C58" s="739" t="s">
        <v>2026</v>
      </c>
      <c r="D58" s="739" t="s">
        <v>2026</v>
      </c>
      <c r="E58" s="791">
        <v>450000</v>
      </c>
      <c r="G58" s="739" t="str">
        <f t="shared" si="2"/>
        <v>013801</v>
      </c>
      <c r="J58" s="739">
        <v>1000</v>
      </c>
      <c r="Q58" s="773" t="s">
        <v>2606</v>
      </c>
      <c r="T58" s="775" t="str">
        <f t="shared" si="3"/>
        <v>023801</v>
      </c>
      <c r="W58" s="739" t="s">
        <v>2032</v>
      </c>
      <c r="Y58" s="775">
        <f t="shared" si="4"/>
        <v>2017</v>
      </c>
      <c r="Z58" s="775">
        <v>12</v>
      </c>
      <c r="AA58" s="739">
        <f>'GENERAL FUND-OPERATING(48-53)'!E199+'GENERAL FUND-OPERATING(48-53)'!E203+'GENERAL FUND-OPERATING(48-53)'!E207+'GENERAL FUND-OPERATING(48-53)'!E212</f>
        <v>0</v>
      </c>
      <c r="AB58" s="739">
        <f t="shared" ref="AB58:AC58" si="36">AA58</f>
        <v>0</v>
      </c>
      <c r="AC58" s="739">
        <f t="shared" si="36"/>
        <v>0</v>
      </c>
    </row>
    <row r="59" spans="1:29">
      <c r="A59" s="739" t="s">
        <v>2025</v>
      </c>
      <c r="B59" s="739" t="s">
        <v>2025</v>
      </c>
      <c r="C59" s="739" t="s">
        <v>2026</v>
      </c>
      <c r="D59" s="739" t="s">
        <v>2026</v>
      </c>
      <c r="E59" s="791">
        <v>450000</v>
      </c>
      <c r="G59" s="739" t="str">
        <f t="shared" si="2"/>
        <v>013801</v>
      </c>
      <c r="J59" s="739">
        <v>1000</v>
      </c>
      <c r="Q59" s="773">
        <v>900</v>
      </c>
      <c r="T59" s="775" t="str">
        <f t="shared" si="3"/>
        <v>023801</v>
      </c>
      <c r="W59" s="739" t="s">
        <v>2032</v>
      </c>
      <c r="Y59" s="775">
        <f t="shared" si="4"/>
        <v>2017</v>
      </c>
      <c r="Z59" s="775">
        <v>12</v>
      </c>
      <c r="AA59" s="739">
        <f>'GENERAL FUND-OPERATING(48-53)'!E200+'GENERAL FUND-OPERATING(48-53)'!E204+'GENERAL FUND-OPERATING(48-53)'!E208+'GENERAL FUND-OPERATING(48-53)'!E213</f>
        <v>0</v>
      </c>
      <c r="AB59" s="739">
        <f t="shared" ref="AB59:AC59" si="37">AA59</f>
        <v>0</v>
      </c>
      <c r="AC59" s="739">
        <f t="shared" si="37"/>
        <v>0</v>
      </c>
    </row>
    <row r="60" spans="1:29">
      <c r="A60" s="739" t="s">
        <v>2025</v>
      </c>
      <c r="B60" s="739" t="s">
        <v>2025</v>
      </c>
      <c r="C60" s="739" t="s">
        <v>2026</v>
      </c>
      <c r="D60" s="739" t="s">
        <v>2026</v>
      </c>
      <c r="E60" s="791">
        <v>460000</v>
      </c>
      <c r="G60" s="739" t="str">
        <f t="shared" si="2"/>
        <v>013801</v>
      </c>
      <c r="J60" s="739">
        <v>1000</v>
      </c>
      <c r="Q60" s="773">
        <v>100</v>
      </c>
      <c r="T60" s="775" t="str">
        <f t="shared" si="3"/>
        <v>023801</v>
      </c>
      <c r="W60" s="739" t="s">
        <v>2032</v>
      </c>
      <c r="Y60" s="775">
        <f t="shared" si="4"/>
        <v>2017</v>
      </c>
      <c r="Z60" s="775">
        <v>12</v>
      </c>
      <c r="AA60" s="739">
        <f>'GENERAL FUND-OPERATING(48-53)'!E219+'GENERAL FUND-OPERATING(48-53)'!E223+'GENERAL FUND-OPERATING(48-53)'!E227+'GENERAL FUND-OPERATING(48-53)'!E231+'GENERAL FUND-OPERATING(48-53)'!E235+'GENERAL FUND-OPERATING(48-53)'!E239</f>
        <v>10349.39</v>
      </c>
      <c r="AB60" s="739">
        <f t="shared" ref="AB60:AC60" si="38">AA60</f>
        <v>10349.39</v>
      </c>
      <c r="AC60" s="739">
        <f t="shared" si="38"/>
        <v>10349.39</v>
      </c>
    </row>
    <row r="61" spans="1:29">
      <c r="A61" s="739" t="s">
        <v>2025</v>
      </c>
      <c r="B61" s="739" t="s">
        <v>2025</v>
      </c>
      <c r="C61" s="739" t="s">
        <v>2026</v>
      </c>
      <c r="D61" s="739" t="s">
        <v>2026</v>
      </c>
      <c r="E61" s="791">
        <v>460000</v>
      </c>
      <c r="G61" s="739" t="str">
        <f t="shared" si="2"/>
        <v>013801</v>
      </c>
      <c r="J61" s="739">
        <v>1000</v>
      </c>
      <c r="Q61" s="773" t="s">
        <v>2606</v>
      </c>
      <c r="T61" s="775" t="str">
        <f t="shared" si="3"/>
        <v>023801</v>
      </c>
      <c r="W61" s="739" t="s">
        <v>2032</v>
      </c>
      <c r="Y61" s="775">
        <f t="shared" si="4"/>
        <v>2017</v>
      </c>
      <c r="Z61" s="775">
        <v>12</v>
      </c>
      <c r="AA61" s="739">
        <f>'GENERAL FUND-OPERATING(48-53)'!E220+'GENERAL FUND-OPERATING(48-53)'!E224+'GENERAL FUND-OPERATING(48-53)'!E228+'GENERAL FUND-OPERATING(48-53)'!E232+'GENERAL FUND-OPERATING(48-53)'!E236+'GENERAL FUND-OPERATING(48-53)'!E240</f>
        <v>14403.710000000001</v>
      </c>
      <c r="AB61" s="739">
        <f t="shared" ref="AB61:AC61" si="39">AA61</f>
        <v>14403.710000000001</v>
      </c>
      <c r="AC61" s="739">
        <f t="shared" si="39"/>
        <v>14403.710000000001</v>
      </c>
    </row>
    <row r="62" spans="1:29">
      <c r="A62" s="739" t="s">
        <v>2025</v>
      </c>
      <c r="B62" s="739" t="s">
        <v>2025</v>
      </c>
      <c r="C62" s="739" t="s">
        <v>2026</v>
      </c>
      <c r="D62" s="739" t="s">
        <v>2026</v>
      </c>
      <c r="E62" s="791">
        <v>460000</v>
      </c>
      <c r="G62" s="739" t="str">
        <f t="shared" si="2"/>
        <v>013801</v>
      </c>
      <c r="J62" s="739">
        <v>1000</v>
      </c>
      <c r="Q62" s="773">
        <v>900</v>
      </c>
      <c r="T62" s="775" t="str">
        <f t="shared" si="3"/>
        <v>023801</v>
      </c>
      <c r="W62" s="739" t="s">
        <v>2032</v>
      </c>
      <c r="Y62" s="775">
        <f t="shared" si="4"/>
        <v>2017</v>
      </c>
      <c r="Z62" s="775">
        <v>12</v>
      </c>
      <c r="AA62" s="739">
        <f>'GENERAL FUND-OPERATING(48-53)'!E221+'GENERAL FUND-OPERATING(48-53)'!E225+'GENERAL FUND-OPERATING(48-53)'!E229+'GENERAL FUND-OPERATING(48-53)'!E233+'GENERAL FUND-OPERATING(48-53)'!E237+'GENERAL FUND-OPERATING(48-53)'!E241</f>
        <v>29850</v>
      </c>
      <c r="AB62" s="739">
        <f t="shared" ref="AB62:AC62" si="40">AA62</f>
        <v>29850</v>
      </c>
      <c r="AC62" s="739">
        <f t="shared" si="40"/>
        <v>29850</v>
      </c>
    </row>
    <row r="63" spans="1:29">
      <c r="A63" s="739" t="s">
        <v>2025</v>
      </c>
      <c r="B63" s="739" t="s">
        <v>2025</v>
      </c>
      <c r="C63" s="739" t="s">
        <v>2026</v>
      </c>
      <c r="D63" s="739" t="s">
        <v>2026</v>
      </c>
      <c r="E63" s="791">
        <v>470000</v>
      </c>
      <c r="G63" s="739" t="str">
        <f t="shared" si="2"/>
        <v>013801</v>
      </c>
      <c r="J63" s="739">
        <v>1000</v>
      </c>
      <c r="Q63" s="773">
        <v>100</v>
      </c>
      <c r="T63" s="775" t="str">
        <f t="shared" si="3"/>
        <v>023801</v>
      </c>
      <c r="W63" s="739" t="s">
        <v>2032</v>
      </c>
      <c r="Y63" s="775">
        <f t="shared" si="4"/>
        <v>2017</v>
      </c>
      <c r="Z63" s="775">
        <v>12</v>
      </c>
      <c r="AA63" s="739">
        <f>'GENERAL FUND-OPERATING(48-53)'!E244+'GENERAL FUND-OPERATING(48-53)'!E248+'GENERAL FUND-OPERATING(48-53)'!E252+'GENERAL FUND-OPERATING(48-53)'!E256</f>
        <v>0</v>
      </c>
      <c r="AB63" s="739">
        <f t="shared" ref="AB63:AC63" si="41">AA63</f>
        <v>0</v>
      </c>
      <c r="AC63" s="739">
        <f t="shared" si="41"/>
        <v>0</v>
      </c>
    </row>
    <row r="64" spans="1:29">
      <c r="A64" s="739" t="s">
        <v>2025</v>
      </c>
      <c r="B64" s="739" t="s">
        <v>2025</v>
      </c>
      <c r="C64" s="739" t="s">
        <v>2026</v>
      </c>
      <c r="D64" s="739" t="s">
        <v>2026</v>
      </c>
      <c r="E64" s="791">
        <v>470000</v>
      </c>
      <c r="G64" s="739" t="str">
        <f t="shared" si="2"/>
        <v>013801</v>
      </c>
      <c r="J64" s="739">
        <v>1000</v>
      </c>
      <c r="Q64" s="773" t="s">
        <v>2606</v>
      </c>
      <c r="T64" s="775" t="str">
        <f t="shared" si="3"/>
        <v>023801</v>
      </c>
      <c r="W64" s="739" t="s">
        <v>2032</v>
      </c>
      <c r="Y64" s="775">
        <f t="shared" si="4"/>
        <v>2017</v>
      </c>
      <c r="Z64" s="775">
        <v>12</v>
      </c>
      <c r="AA64" s="739">
        <f>'GENERAL FUND-OPERATING(48-53)'!E245+'GENERAL FUND-OPERATING(48-53)'!E249+'GENERAL FUND-OPERATING(48-53)'!E253+'GENERAL FUND-OPERATING(48-53)'!E257</f>
        <v>0</v>
      </c>
      <c r="AB64" s="739">
        <f t="shared" ref="AB64:AC64" si="42">AA64</f>
        <v>0</v>
      </c>
      <c r="AC64" s="739">
        <f t="shared" si="42"/>
        <v>0</v>
      </c>
    </row>
    <row r="65" spans="1:29">
      <c r="A65" s="739" t="s">
        <v>2025</v>
      </c>
      <c r="B65" s="739" t="s">
        <v>2025</v>
      </c>
      <c r="C65" s="739" t="s">
        <v>2026</v>
      </c>
      <c r="D65" s="739" t="s">
        <v>2026</v>
      </c>
      <c r="E65" s="791">
        <v>470000</v>
      </c>
      <c r="G65" s="739" t="str">
        <f t="shared" si="2"/>
        <v>013801</v>
      </c>
      <c r="J65" s="739">
        <v>1000</v>
      </c>
      <c r="Q65" s="773">
        <v>900</v>
      </c>
      <c r="T65" s="775" t="str">
        <f t="shared" si="3"/>
        <v>023801</v>
      </c>
      <c r="W65" s="739" t="s">
        <v>2032</v>
      </c>
      <c r="Y65" s="775">
        <f t="shared" si="4"/>
        <v>2017</v>
      </c>
      <c r="Z65" s="775">
        <v>12</v>
      </c>
      <c r="AA65" s="739">
        <f>'GENERAL FUND-OPERATING(48-53)'!E246+'GENERAL FUND-OPERATING(48-53)'!E250+'GENERAL FUND-OPERATING(48-53)'!E254+'GENERAL FUND-OPERATING(48-53)'!E258</f>
        <v>0</v>
      </c>
      <c r="AB65" s="739">
        <f t="shared" ref="AB65:AC65" si="43">AA65</f>
        <v>0</v>
      </c>
      <c r="AC65" s="739">
        <f t="shared" si="43"/>
        <v>0</v>
      </c>
    </row>
    <row r="66" spans="1:29">
      <c r="A66" s="739" t="s">
        <v>2025</v>
      </c>
      <c r="B66" s="739" t="s">
        <v>2025</v>
      </c>
      <c r="C66" s="739" t="s">
        <v>2026</v>
      </c>
      <c r="D66" s="739" t="s">
        <v>2026</v>
      </c>
      <c r="E66" s="791">
        <v>480000</v>
      </c>
      <c r="G66" s="739" t="str">
        <f t="shared" si="2"/>
        <v>013801</v>
      </c>
      <c r="J66" s="739">
        <v>1000</v>
      </c>
      <c r="Q66" s="773">
        <v>100</v>
      </c>
      <c r="T66" s="775" t="str">
        <f t="shared" si="3"/>
        <v>023801</v>
      </c>
      <c r="W66" s="739" t="s">
        <v>2032</v>
      </c>
      <c r="Y66" s="775">
        <f t="shared" si="4"/>
        <v>2017</v>
      </c>
      <c r="Z66" s="775">
        <v>12</v>
      </c>
      <c r="AA66" s="739">
        <f>'GENERAL FUND-OPERATING(48-53)'!E264+'GENERAL FUND-OPERATING(48-53)'!E268+'GENERAL FUND-OPERATING(48-53)'!E272</f>
        <v>0</v>
      </c>
      <c r="AB66" s="739">
        <f t="shared" ref="AB66:AC66" si="44">AA66</f>
        <v>0</v>
      </c>
      <c r="AC66" s="739">
        <f t="shared" si="44"/>
        <v>0</v>
      </c>
    </row>
    <row r="67" spans="1:29">
      <c r="A67" s="739" t="s">
        <v>2025</v>
      </c>
      <c r="B67" s="739" t="s">
        <v>2025</v>
      </c>
      <c r="C67" s="739" t="s">
        <v>2026</v>
      </c>
      <c r="D67" s="739" t="s">
        <v>2026</v>
      </c>
      <c r="E67" s="791">
        <v>480000</v>
      </c>
      <c r="G67" s="739" t="str">
        <f t="shared" si="2"/>
        <v>013801</v>
      </c>
      <c r="J67" s="739">
        <v>1000</v>
      </c>
      <c r="Q67" s="773" t="s">
        <v>2606</v>
      </c>
      <c r="T67" s="775" t="str">
        <f t="shared" si="3"/>
        <v>023801</v>
      </c>
      <c r="W67" s="739" t="s">
        <v>2032</v>
      </c>
      <c r="Y67" s="775">
        <f t="shared" si="4"/>
        <v>2017</v>
      </c>
      <c r="Z67" s="775">
        <v>12</v>
      </c>
      <c r="AA67" s="739">
        <f>'GENERAL FUND-OPERATING(48-53)'!E265+'GENERAL FUND-OPERATING(48-53)'!E269+'GENERAL FUND-OPERATING(48-53)'!E273</f>
        <v>0</v>
      </c>
      <c r="AB67" s="739">
        <f t="shared" ref="AB67:AC67" si="45">AA67</f>
        <v>0</v>
      </c>
      <c r="AC67" s="739">
        <f t="shared" si="45"/>
        <v>0</v>
      </c>
    </row>
    <row r="68" spans="1:29">
      <c r="A68" s="739" t="s">
        <v>2025</v>
      </c>
      <c r="B68" s="739" t="s">
        <v>2025</v>
      </c>
      <c r="C68" s="739" t="s">
        <v>2026</v>
      </c>
      <c r="D68" s="739" t="s">
        <v>2026</v>
      </c>
      <c r="E68" s="791">
        <v>480000</v>
      </c>
      <c r="G68" s="739" t="str">
        <f t="shared" si="2"/>
        <v>013801</v>
      </c>
      <c r="J68" s="739">
        <v>1000</v>
      </c>
      <c r="Q68" s="773">
        <v>900</v>
      </c>
      <c r="T68" s="775" t="str">
        <f t="shared" si="3"/>
        <v>023801</v>
      </c>
      <c r="W68" s="739" t="s">
        <v>2032</v>
      </c>
      <c r="Y68" s="775">
        <f t="shared" si="4"/>
        <v>2017</v>
      </c>
      <c r="Z68" s="775">
        <v>12</v>
      </c>
      <c r="AA68" s="739">
        <f>'GENERAL FUND-OPERATING(48-53)'!E266+'GENERAL FUND-OPERATING(48-53)'!E270+'GENERAL FUND-OPERATING(48-53)'!E274</f>
        <v>0</v>
      </c>
      <c r="AB68" s="739">
        <f>AA68</f>
        <v>0</v>
      </c>
      <c r="AC68" s="739">
        <f>AB68</f>
        <v>0</v>
      </c>
    </row>
    <row r="69" spans="1:29">
      <c r="A69" s="739" t="s">
        <v>2025</v>
      </c>
      <c r="B69" s="739" t="s">
        <v>2025</v>
      </c>
      <c r="C69" s="739" t="s">
        <v>2026</v>
      </c>
      <c r="D69" s="739" t="s">
        <v>2026</v>
      </c>
      <c r="E69" s="791">
        <v>490000</v>
      </c>
      <c r="G69" s="739" t="str">
        <f t="shared" si="2"/>
        <v>013801</v>
      </c>
      <c r="J69" s="739">
        <v>1000</v>
      </c>
      <c r="Q69" s="773">
        <v>610</v>
      </c>
      <c r="T69" s="775" t="str">
        <f t="shared" si="3"/>
        <v>023801</v>
      </c>
      <c r="W69" s="739" t="s">
        <v>2032</v>
      </c>
      <c r="Y69" s="775">
        <f t="shared" si="4"/>
        <v>2017</v>
      </c>
      <c r="Z69" s="775">
        <v>12</v>
      </c>
      <c r="AA69" s="739">
        <f>'GENERAL FUND-OPERATING(48-53)'!E276</f>
        <v>6927.17</v>
      </c>
      <c r="AB69" s="739">
        <f t="shared" ref="AB69:AC69" si="46">AA69</f>
        <v>6927.17</v>
      </c>
      <c r="AC69" s="739">
        <f t="shared" si="46"/>
        <v>6927.17</v>
      </c>
    </row>
    <row r="70" spans="1:29">
      <c r="A70" s="739" t="s">
        <v>2025</v>
      </c>
      <c r="B70" s="739" t="s">
        <v>2025</v>
      </c>
      <c r="C70" s="739" t="s">
        <v>2026</v>
      </c>
      <c r="D70" s="739" t="s">
        <v>2026</v>
      </c>
      <c r="E70" s="791">
        <v>490000</v>
      </c>
      <c r="G70" s="739" t="str">
        <f t="shared" si="2"/>
        <v>013801</v>
      </c>
      <c r="J70" s="739">
        <v>1000</v>
      </c>
      <c r="Q70" s="773">
        <v>620</v>
      </c>
      <c r="T70" s="775" t="str">
        <f t="shared" si="3"/>
        <v>023801</v>
      </c>
      <c r="W70" s="739" t="s">
        <v>2032</v>
      </c>
      <c r="Y70" s="775">
        <f t="shared" si="4"/>
        <v>2017</v>
      </c>
      <c r="Z70" s="775">
        <v>12</v>
      </c>
      <c r="AA70" s="739">
        <f>'GENERAL FUND-OPERATING(48-53)'!E277</f>
        <v>0</v>
      </c>
      <c r="AB70" s="739">
        <f t="shared" ref="AB70:AC70" si="47">AA70</f>
        <v>0</v>
      </c>
      <c r="AC70" s="739">
        <f t="shared" si="47"/>
        <v>0</v>
      </c>
    </row>
    <row r="71" spans="1:29">
      <c r="A71" s="739" t="s">
        <v>2025</v>
      </c>
      <c r="B71" s="739" t="s">
        <v>2025</v>
      </c>
      <c r="C71" s="739" t="s">
        <v>2026</v>
      </c>
      <c r="D71" s="739" t="s">
        <v>2026</v>
      </c>
      <c r="E71" s="791">
        <v>510000</v>
      </c>
      <c r="G71" s="739" t="str">
        <f t="shared" si="2"/>
        <v>013801</v>
      </c>
      <c r="J71" s="739">
        <v>1000</v>
      </c>
      <c r="Q71" s="773" t="s">
        <v>2606</v>
      </c>
      <c r="T71" s="775" t="str">
        <f t="shared" si="3"/>
        <v>023801</v>
      </c>
      <c r="W71" s="739" t="s">
        <v>2032</v>
      </c>
      <c r="Y71" s="775">
        <f t="shared" si="4"/>
        <v>2017</v>
      </c>
      <c r="Z71" s="775">
        <v>12</v>
      </c>
      <c r="AA71" s="739">
        <f>'GENERAL FUND-OPERATING(48-53)'!E278</f>
        <v>4144.6099999999997</v>
      </c>
      <c r="AB71" s="739">
        <f>AA71</f>
        <v>4144.6099999999997</v>
      </c>
      <c r="AC71" s="739">
        <f>AB71</f>
        <v>4144.6099999999997</v>
      </c>
    </row>
    <row r="72" spans="1:29">
      <c r="A72" s="739" t="s">
        <v>2025</v>
      </c>
      <c r="B72" s="739" t="s">
        <v>2025</v>
      </c>
      <c r="C72" s="739" t="s">
        <v>2026</v>
      </c>
      <c r="D72" s="739" t="s">
        <v>2026</v>
      </c>
      <c r="E72" s="791">
        <v>520000</v>
      </c>
      <c r="G72" s="739" t="str">
        <f t="shared" ref="G72:G135" si="48">$G$6</f>
        <v>013801</v>
      </c>
      <c r="J72" s="739">
        <v>1000</v>
      </c>
      <c r="Q72" s="773" t="s">
        <v>2606</v>
      </c>
      <c r="T72" s="775" t="str">
        <f t="shared" ref="T72:T135" si="49">$T$6</f>
        <v>023801</v>
      </c>
      <c r="W72" s="739" t="s">
        <v>2032</v>
      </c>
      <c r="Y72" s="775">
        <f t="shared" ref="Y72:Y135" si="50">$Y$6</f>
        <v>2017</v>
      </c>
      <c r="Z72" s="775">
        <v>12</v>
      </c>
      <c r="AA72" s="739">
        <f>-'GENERAL FUND-OPERATING(48-53)'!E288-'GENERAL FUND-OPERATING(48-53)'!E291-'GENERAL FUND-OPERATING(48-53)'!E292</f>
        <v>2400</v>
      </c>
      <c r="AB72" s="739">
        <f>AA72</f>
        <v>2400</v>
      </c>
      <c r="AC72" s="739">
        <f>AB72</f>
        <v>2400</v>
      </c>
    </row>
    <row r="73" spans="1:29">
      <c r="A73" s="739" t="s">
        <v>2025</v>
      </c>
      <c r="B73" s="739" t="s">
        <v>2025</v>
      </c>
      <c r="C73" s="739" t="s">
        <v>2026</v>
      </c>
      <c r="D73" s="739" t="s">
        <v>2026</v>
      </c>
      <c r="E73" s="791">
        <v>100000</v>
      </c>
      <c r="G73" s="739" t="str">
        <f t="shared" si="48"/>
        <v>013801</v>
      </c>
      <c r="J73" s="739">
        <v>2000</v>
      </c>
      <c r="Q73" s="773"/>
      <c r="T73" s="775" t="str">
        <f t="shared" si="49"/>
        <v>023801</v>
      </c>
      <c r="W73" s="739" t="s">
        <v>2032</v>
      </c>
      <c r="Y73" s="775">
        <f t="shared" si="50"/>
        <v>2017</v>
      </c>
      <c r="Z73" s="775">
        <v>12</v>
      </c>
      <c r="AA73" s="739">
        <f>'BS-NONMAJOR SP. REVENUE(63-64) '!BN8+'BS-NONMAJOR SP. REVENUE(63-64) '!BN9+'BS-NONMAJOR SP. REVENUE(63-64) '!BN10+'BS-NONMAJOR SP. REVENUE(63-64) '!BN11+'BS-NONMAJOR SP. REVENUE(63-64) '!BN12+'BS-NONMAJOR SP. REVENUE(63-64) '!BN13+'LedgerLoad Assist'!BC38</f>
        <v>71487.88</v>
      </c>
      <c r="AB73" s="739">
        <f t="shared" ref="AB73:AC73" si="51">AA73</f>
        <v>71487.88</v>
      </c>
      <c r="AC73" s="739">
        <f t="shared" si="51"/>
        <v>71487.88</v>
      </c>
    </row>
    <row r="74" spans="1:29">
      <c r="A74" s="739" t="s">
        <v>2025</v>
      </c>
      <c r="B74" s="739" t="s">
        <v>2025</v>
      </c>
      <c r="C74" s="739" t="s">
        <v>2026</v>
      </c>
      <c r="D74" s="739" t="s">
        <v>2026</v>
      </c>
      <c r="E74" s="791">
        <v>110000</v>
      </c>
      <c r="G74" s="739" t="str">
        <f t="shared" si="48"/>
        <v>013801</v>
      </c>
      <c r="J74" s="739">
        <v>2000</v>
      </c>
      <c r="Q74" s="773"/>
      <c r="T74" s="775" t="str">
        <f t="shared" si="49"/>
        <v>023801</v>
      </c>
      <c r="W74" s="739" t="s">
        <v>2032</v>
      </c>
      <c r="Y74" s="775">
        <f t="shared" si="50"/>
        <v>2017</v>
      </c>
      <c r="Z74" s="775">
        <v>12</v>
      </c>
      <c r="AA74" s="739">
        <f>'BS-NONMAJOR SP. REVENUE(63-64) '!BN15+'BS-NONMAJOR SP. REVENUE(63-64) '!BN16+'BS-NONMAJOR SP. REVENUE(63-64) '!BN17+'BS-NONMAJOR SP. REVENUE(63-64) '!BN18+'BS-NONMAJOR SP. REVENUE(63-64) '!BN19+'BS-NONMAJOR SP. REVENUE(63-64) '!BN20+'LedgerLoad Assist'!BC39</f>
        <v>6261.33</v>
      </c>
      <c r="AB74" s="739">
        <f t="shared" ref="AB74:AC74" si="52">AA74</f>
        <v>6261.33</v>
      </c>
      <c r="AC74" s="739">
        <f t="shared" si="52"/>
        <v>6261.33</v>
      </c>
    </row>
    <row r="75" spans="1:29">
      <c r="A75" s="739" t="s">
        <v>2025</v>
      </c>
      <c r="B75" s="739" t="s">
        <v>2025</v>
      </c>
      <c r="C75" s="739" t="s">
        <v>2026</v>
      </c>
      <c r="D75" s="739" t="s">
        <v>2026</v>
      </c>
      <c r="E75" s="791">
        <v>120000</v>
      </c>
      <c r="G75" s="739" t="str">
        <f t="shared" si="48"/>
        <v>013801</v>
      </c>
      <c r="J75" s="739">
        <v>2000</v>
      </c>
      <c r="Q75" s="773"/>
      <c r="T75" s="775" t="str">
        <f t="shared" si="49"/>
        <v>023801</v>
      </c>
      <c r="W75" s="739" t="s">
        <v>2032</v>
      </c>
      <c r="Y75" s="775">
        <f t="shared" si="50"/>
        <v>2017</v>
      </c>
      <c r="Z75" s="775">
        <v>12</v>
      </c>
      <c r="AA75" s="739">
        <f>'BS-NONMAJOR SP. REVENUE(63-64) '!BN21+'LedgerLoad Assist'!BC40</f>
        <v>0</v>
      </c>
      <c r="AB75" s="739">
        <f t="shared" ref="AB75:AC75" si="53">AA75</f>
        <v>0</v>
      </c>
      <c r="AC75" s="739">
        <f t="shared" si="53"/>
        <v>0</v>
      </c>
    </row>
    <row r="76" spans="1:29">
      <c r="A76" s="739" t="s">
        <v>2025</v>
      </c>
      <c r="B76" s="739" t="s">
        <v>2025</v>
      </c>
      <c r="C76" s="739" t="s">
        <v>2026</v>
      </c>
      <c r="D76" s="739" t="s">
        <v>2026</v>
      </c>
      <c r="E76" s="791">
        <v>130000</v>
      </c>
      <c r="G76" s="739" t="str">
        <f t="shared" si="48"/>
        <v>013801</v>
      </c>
      <c r="J76" s="739">
        <v>2000</v>
      </c>
      <c r="Q76" s="773"/>
      <c r="T76" s="775" t="str">
        <f t="shared" si="49"/>
        <v>023801</v>
      </c>
      <c r="W76" s="739" t="s">
        <v>2032</v>
      </c>
      <c r="Y76" s="775">
        <f t="shared" si="50"/>
        <v>2017</v>
      </c>
      <c r="Z76" s="775">
        <v>12</v>
      </c>
      <c r="AA76" s="739">
        <f>'BS-NONMAJOR SP. REVENUE(63-64) '!BN22+'BS-NONMAJOR SP. REVENUE(63-64) '!BN23+'BS-NONMAJOR SP. REVENUE(63-64) '!BN24+'LedgerLoad Assist'!BC41</f>
        <v>0</v>
      </c>
      <c r="AB76" s="739">
        <f t="shared" ref="AB76:AC76" si="54">AA76</f>
        <v>0</v>
      </c>
      <c r="AC76" s="739">
        <f t="shared" si="54"/>
        <v>0</v>
      </c>
    </row>
    <row r="77" spans="1:29">
      <c r="A77" s="739" t="s">
        <v>2025</v>
      </c>
      <c r="B77" s="739" t="s">
        <v>2025</v>
      </c>
      <c r="C77" s="739" t="s">
        <v>2026</v>
      </c>
      <c r="D77" s="739" t="s">
        <v>2026</v>
      </c>
      <c r="E77" s="791">
        <v>140000</v>
      </c>
      <c r="G77" s="739" t="str">
        <f t="shared" si="48"/>
        <v>013801</v>
      </c>
      <c r="J77" s="739">
        <v>2000</v>
      </c>
      <c r="Q77" s="773"/>
      <c r="T77" s="775" t="str">
        <f t="shared" si="49"/>
        <v>023801</v>
      </c>
      <c r="W77" s="739" t="s">
        <v>2032</v>
      </c>
      <c r="Y77" s="775">
        <f t="shared" si="50"/>
        <v>2017</v>
      </c>
      <c r="Z77" s="775">
        <v>12</v>
      </c>
      <c r="AA77" s="739">
        <f>'BS-NONMAJOR SP. REVENUE(63-64) '!BN25+'LedgerLoad Assist'!BC42</f>
        <v>0</v>
      </c>
      <c r="AB77" s="739">
        <f t="shared" ref="AB77:AC77" si="55">AA77</f>
        <v>0</v>
      </c>
      <c r="AC77" s="739">
        <f t="shared" si="55"/>
        <v>0</v>
      </c>
    </row>
    <row r="78" spans="1:29">
      <c r="A78" s="739" t="s">
        <v>2025</v>
      </c>
      <c r="B78" s="739" t="s">
        <v>2025</v>
      </c>
      <c r="C78" s="739" t="s">
        <v>2026</v>
      </c>
      <c r="D78" s="739" t="s">
        <v>2026</v>
      </c>
      <c r="E78" s="791">
        <v>150000</v>
      </c>
      <c r="G78" s="739" t="str">
        <f t="shared" si="48"/>
        <v>013801</v>
      </c>
      <c r="J78" s="739">
        <v>2000</v>
      </c>
      <c r="Q78" s="773"/>
      <c r="T78" s="775" t="str">
        <f t="shared" si="49"/>
        <v>023801</v>
      </c>
      <c r="W78" s="739" t="s">
        <v>2032</v>
      </c>
      <c r="Y78" s="775">
        <f t="shared" si="50"/>
        <v>2017</v>
      </c>
      <c r="Z78" s="775">
        <v>12</v>
      </c>
      <c r="AA78" s="739">
        <f>'BS-NONMAJOR SP. REVENUE(63-64) '!BN26+'LedgerLoad Assist'!BC43</f>
        <v>0</v>
      </c>
      <c r="AB78" s="739">
        <f t="shared" ref="AB78:AC78" si="56">AA78</f>
        <v>0</v>
      </c>
      <c r="AC78" s="739">
        <f t="shared" si="56"/>
        <v>0</v>
      </c>
    </row>
    <row r="79" spans="1:29">
      <c r="A79" s="739" t="s">
        <v>2025</v>
      </c>
      <c r="B79" s="739" t="s">
        <v>2025</v>
      </c>
      <c r="C79" s="739" t="s">
        <v>2026</v>
      </c>
      <c r="D79" s="739" t="s">
        <v>2026</v>
      </c>
      <c r="E79" s="791">
        <v>160000</v>
      </c>
      <c r="G79" s="739" t="str">
        <f t="shared" si="48"/>
        <v>013801</v>
      </c>
      <c r="J79" s="739">
        <v>2000</v>
      </c>
      <c r="Q79" s="773"/>
      <c r="T79" s="775" t="str">
        <f t="shared" si="49"/>
        <v>023801</v>
      </c>
      <c r="W79" s="739" t="s">
        <v>2032</v>
      </c>
      <c r="Y79" s="775">
        <f t="shared" si="50"/>
        <v>2017</v>
      </c>
      <c r="Z79" s="775">
        <v>12</v>
      </c>
      <c r="AA79" s="739">
        <f>'LedgerLoad Assist'!BC44</f>
        <v>0</v>
      </c>
      <c r="AB79" s="739">
        <f t="shared" ref="AB79:AC80" si="57">AA79</f>
        <v>0</v>
      </c>
      <c r="AC79" s="739">
        <f t="shared" si="57"/>
        <v>0</v>
      </c>
    </row>
    <row r="80" spans="1:29">
      <c r="A80" s="739" t="s">
        <v>2025</v>
      </c>
      <c r="B80" s="739" t="s">
        <v>2025</v>
      </c>
      <c r="C80" s="739" t="s">
        <v>2026</v>
      </c>
      <c r="D80" s="739" t="s">
        <v>2026</v>
      </c>
      <c r="E80" s="791">
        <v>170000</v>
      </c>
      <c r="G80" s="739" t="str">
        <f t="shared" si="48"/>
        <v>013801</v>
      </c>
      <c r="J80" s="739">
        <v>2000</v>
      </c>
      <c r="Q80" s="773"/>
      <c r="T80" s="775" t="str">
        <f t="shared" si="49"/>
        <v>023801</v>
      </c>
      <c r="W80" s="739" t="s">
        <v>2032</v>
      </c>
      <c r="Y80" s="775">
        <f t="shared" si="50"/>
        <v>2017</v>
      </c>
      <c r="Z80" s="775">
        <v>12</v>
      </c>
      <c r="AA80" s="739">
        <f>'BS-NONMAJOR SP. REVENUE(63-64) '!BN27+'LedgerLoad Assist'!BC45</f>
        <v>0</v>
      </c>
      <c r="AB80" s="739">
        <f>AA80</f>
        <v>0</v>
      </c>
      <c r="AC80" s="739">
        <f t="shared" si="57"/>
        <v>0</v>
      </c>
    </row>
    <row r="81" spans="1:29">
      <c r="A81" s="739" t="s">
        <v>2025</v>
      </c>
      <c r="B81" s="739" t="s">
        <v>2025</v>
      </c>
      <c r="C81" s="739" t="s">
        <v>2026</v>
      </c>
      <c r="D81" s="739" t="s">
        <v>2026</v>
      </c>
      <c r="E81" s="791">
        <v>190000</v>
      </c>
      <c r="G81" s="739" t="str">
        <f t="shared" si="48"/>
        <v>013801</v>
      </c>
      <c r="J81" s="739">
        <v>2000</v>
      </c>
      <c r="Q81" s="773"/>
      <c r="T81" s="775" t="str">
        <f t="shared" si="49"/>
        <v>023801</v>
      </c>
      <c r="W81" s="739" t="s">
        <v>2032</v>
      </c>
      <c r="Y81" s="775">
        <f t="shared" si="50"/>
        <v>2017</v>
      </c>
      <c r="Z81" s="775">
        <v>12</v>
      </c>
      <c r="AA81" s="739">
        <f>'BS-NONMAJOR SP. REVENUE(63-64) '!BN33+'LedgerLoad Assist'!BC47</f>
        <v>0</v>
      </c>
      <c r="AB81" s="739">
        <f t="shared" ref="AB81:AC81" si="58">AA81</f>
        <v>0</v>
      </c>
      <c r="AC81" s="739">
        <f t="shared" si="58"/>
        <v>0</v>
      </c>
    </row>
    <row r="82" spans="1:29">
      <c r="A82" s="739" t="s">
        <v>2025</v>
      </c>
      <c r="B82" s="739" t="s">
        <v>2025</v>
      </c>
      <c r="C82" s="739" t="s">
        <v>2026</v>
      </c>
      <c r="D82" s="739" t="s">
        <v>2026</v>
      </c>
      <c r="E82" s="791">
        <v>200000</v>
      </c>
      <c r="G82" s="739" t="str">
        <f t="shared" si="48"/>
        <v>013801</v>
      </c>
      <c r="J82" s="739">
        <v>2000</v>
      </c>
      <c r="Q82" s="773"/>
      <c r="T82" s="775" t="str">
        <f t="shared" si="49"/>
        <v>023801</v>
      </c>
      <c r="W82" s="739" t="s">
        <v>2032</v>
      </c>
      <c r="Y82" s="775">
        <f t="shared" si="50"/>
        <v>2017</v>
      </c>
      <c r="Z82" s="775">
        <v>12</v>
      </c>
      <c r="AA82" s="739">
        <f>('BS-NONMAJOR SP. REVENUE(63-64) '!BN36+'BS-NONMAJOR SP. REVENUE(63-64) '!BN37+'BS-NONMAJOR SP. REVENUE(63-64) '!BN38+'BS-NONMAJOR SP. REVENUE(63-64) '!BN39+'BS-NONMAJOR SP. REVENUE(63-64) '!BN40+'BS-NONMAJOR SP. REVENUE(63-64) '!BN41+'LedgerLoad Assist'!BC48)*-1</f>
        <v>660.08</v>
      </c>
      <c r="AB82" s="739">
        <f t="shared" ref="AB82:AC82" si="59">AA82</f>
        <v>660.08</v>
      </c>
      <c r="AC82" s="739">
        <f t="shared" si="59"/>
        <v>660.08</v>
      </c>
    </row>
    <row r="83" spans="1:29">
      <c r="A83" s="739" t="s">
        <v>2025</v>
      </c>
      <c r="B83" s="739" t="s">
        <v>2025</v>
      </c>
      <c r="C83" s="739" t="s">
        <v>2026</v>
      </c>
      <c r="D83" s="739" t="s">
        <v>2026</v>
      </c>
      <c r="E83" s="791">
        <v>210000</v>
      </c>
      <c r="G83" s="739" t="str">
        <f t="shared" si="48"/>
        <v>013801</v>
      </c>
      <c r="J83" s="739">
        <v>2000</v>
      </c>
      <c r="Q83" s="773"/>
      <c r="T83" s="775" t="str">
        <f t="shared" si="49"/>
        <v>023801</v>
      </c>
      <c r="W83" s="739" t="s">
        <v>2032</v>
      </c>
      <c r="Y83" s="775">
        <f t="shared" si="50"/>
        <v>2017</v>
      </c>
      <c r="Z83" s="775">
        <v>12</v>
      </c>
      <c r="AA83" s="739">
        <f>('BS-NONMAJOR SP. REVENUE(63-64) '!BN42+'BS-NONMAJOR SP. REVENUE(63-64) '!BN43+'BS-NONMAJOR SP. REVENUE(63-64) '!BN44+'LedgerLoad Assist'!BC49+'BS-NONMAJOR SP. REVENUE(63-64) '!BN45+'LedgerLoad Assist'!BC50)*-1</f>
        <v>0</v>
      </c>
      <c r="AB83" s="739">
        <f t="shared" ref="AB83:AC83" si="60">AA83</f>
        <v>0</v>
      </c>
      <c r="AC83" s="739">
        <f t="shared" si="60"/>
        <v>0</v>
      </c>
    </row>
    <row r="84" spans="1:29">
      <c r="A84" s="739" t="s">
        <v>2025</v>
      </c>
      <c r="B84" s="739" t="s">
        <v>2025</v>
      </c>
      <c r="C84" s="739" t="s">
        <v>2026</v>
      </c>
      <c r="D84" s="739" t="s">
        <v>2026</v>
      </c>
      <c r="E84" s="791">
        <v>216000</v>
      </c>
      <c r="G84" s="739" t="str">
        <f t="shared" si="48"/>
        <v>013801</v>
      </c>
      <c r="J84" s="739">
        <v>2000</v>
      </c>
      <c r="Q84" s="773"/>
      <c r="T84" s="775" t="str">
        <f t="shared" si="49"/>
        <v>023801</v>
      </c>
      <c r="W84" s="739" t="s">
        <v>2032</v>
      </c>
      <c r="Y84" s="775">
        <f t="shared" si="50"/>
        <v>2017</v>
      </c>
      <c r="Z84" s="775">
        <v>12</v>
      </c>
      <c r="AA84" s="739">
        <v>0</v>
      </c>
    </row>
    <row r="85" spans="1:29">
      <c r="A85" s="739" t="s">
        <v>2025</v>
      </c>
      <c r="B85" s="739" t="s">
        <v>2025</v>
      </c>
      <c r="C85" s="739" t="s">
        <v>2026</v>
      </c>
      <c r="D85" s="739" t="s">
        <v>2026</v>
      </c>
      <c r="E85" s="791">
        <v>220000</v>
      </c>
      <c r="G85" s="739" t="str">
        <f t="shared" si="48"/>
        <v>013801</v>
      </c>
      <c r="J85" s="739">
        <v>2000</v>
      </c>
      <c r="Q85" s="773"/>
      <c r="T85" s="775" t="str">
        <f t="shared" si="49"/>
        <v>023801</v>
      </c>
      <c r="W85" s="739" t="s">
        <v>2032</v>
      </c>
      <c r="Y85" s="775">
        <f t="shared" si="50"/>
        <v>2017</v>
      </c>
      <c r="Z85" s="775">
        <v>12</v>
      </c>
      <c r="AA85" s="739">
        <f>('BS-NONMAJOR SP. REVENUE(63-64) '!BN52+'LedgerLoad Assist'!BC51)*-1</f>
        <v>-6261.34</v>
      </c>
      <c r="AB85" s="739">
        <f t="shared" ref="AB85:AC85" si="61">AA85</f>
        <v>-6261.34</v>
      </c>
      <c r="AC85" s="739">
        <f t="shared" si="61"/>
        <v>-6261.34</v>
      </c>
    </row>
    <row r="86" spans="1:29">
      <c r="A86" s="739" t="s">
        <v>2025</v>
      </c>
      <c r="B86" s="739" t="s">
        <v>2025</v>
      </c>
      <c r="C86" s="739" t="s">
        <v>2026</v>
      </c>
      <c r="D86" s="739" t="s">
        <v>2026</v>
      </c>
      <c r="E86" s="791">
        <v>230000</v>
      </c>
      <c r="G86" s="739" t="str">
        <f t="shared" si="48"/>
        <v>013801</v>
      </c>
      <c r="J86" s="739">
        <v>2000</v>
      </c>
      <c r="Q86" s="773"/>
      <c r="T86" s="775" t="str">
        <f t="shared" si="49"/>
        <v>023801</v>
      </c>
      <c r="W86" s="739" t="s">
        <v>2032</v>
      </c>
      <c r="Y86" s="775">
        <f t="shared" si="50"/>
        <v>2017</v>
      </c>
      <c r="Z86" s="775">
        <v>12</v>
      </c>
      <c r="AA86" s="739">
        <f>('BS-NONMAJOR SP. REVENUE(63-64) '!BN46+'LedgerLoad Assist'!BC52)*-1</f>
        <v>0</v>
      </c>
      <c r="AB86" s="739">
        <f t="shared" ref="AB86:AC86" si="62">AA86</f>
        <v>0</v>
      </c>
      <c r="AC86" s="739">
        <f t="shared" si="62"/>
        <v>0</v>
      </c>
    </row>
    <row r="87" spans="1:29">
      <c r="A87" s="739" t="s">
        <v>2025</v>
      </c>
      <c r="B87" s="739" t="s">
        <v>2025</v>
      </c>
      <c r="C87" s="739" t="s">
        <v>2026</v>
      </c>
      <c r="D87" s="739" t="s">
        <v>2026</v>
      </c>
      <c r="E87" s="791">
        <v>270000</v>
      </c>
      <c r="G87" s="739" t="str">
        <f t="shared" si="48"/>
        <v>013801</v>
      </c>
      <c r="J87" s="739">
        <v>2000</v>
      </c>
      <c r="Q87" s="773"/>
      <c r="T87" s="775" t="str">
        <f t="shared" si="49"/>
        <v>023801</v>
      </c>
      <c r="W87" s="739" t="s">
        <v>2032</v>
      </c>
      <c r="Y87" s="775">
        <f t="shared" si="50"/>
        <v>2017</v>
      </c>
      <c r="Z87" s="775">
        <v>12</v>
      </c>
      <c r="AA87" s="739">
        <f>('BS-NONMAJOR SP. REVENUE(63-64) '!BN60+'LedgerLoad Assist'!BC56)*-1</f>
        <v>-72147.950000000012</v>
      </c>
      <c r="AB87" s="739">
        <f t="shared" ref="AB87:AC87" si="63">AA87</f>
        <v>-72147.950000000012</v>
      </c>
      <c r="AC87" s="739">
        <f t="shared" si="63"/>
        <v>-72147.950000000012</v>
      </c>
    </row>
    <row r="88" spans="1:29">
      <c r="A88" s="739" t="s">
        <v>2025</v>
      </c>
      <c r="B88" s="739" t="s">
        <v>2025</v>
      </c>
      <c r="C88" s="739" t="s">
        <v>2026</v>
      </c>
      <c r="D88" s="739" t="s">
        <v>2026</v>
      </c>
      <c r="E88" s="791">
        <v>311000</v>
      </c>
      <c r="G88" s="739" t="str">
        <f t="shared" si="48"/>
        <v>013801</v>
      </c>
      <c r="J88" s="739">
        <v>2000</v>
      </c>
      <c r="Q88" s="773"/>
      <c r="T88" s="775" t="str">
        <f t="shared" si="49"/>
        <v>023801</v>
      </c>
      <c r="W88" s="739" t="s">
        <v>2032</v>
      </c>
      <c r="Y88" s="775">
        <f t="shared" si="50"/>
        <v>2017</v>
      </c>
      <c r="Z88" s="775">
        <v>12</v>
      </c>
      <c r="AA88" s="739">
        <f>('OPER.-NONMAJOR SP. REVENUE(65)'!IS11+'LedgerLoad Assist'!BC58+'LedgerLoad Assist'!BC59+'LedgerLoad Assist'!BC60+'LedgerLoad Assist'!BC61)*-1</f>
        <v>-10259.27</v>
      </c>
      <c r="AB88" s="739">
        <f t="shared" ref="AB88:AC88" si="64">AA88</f>
        <v>-10259.27</v>
      </c>
      <c r="AC88" s="739">
        <f t="shared" si="64"/>
        <v>-10259.27</v>
      </c>
    </row>
    <row r="89" spans="1:29">
      <c r="A89" s="739" t="s">
        <v>2025</v>
      </c>
      <c r="B89" s="739" t="s">
        <v>2025</v>
      </c>
      <c r="C89" s="739" t="s">
        <v>2026</v>
      </c>
      <c r="D89" s="739" t="s">
        <v>2026</v>
      </c>
      <c r="E89" s="791">
        <v>314000</v>
      </c>
      <c r="G89" s="739" t="str">
        <f t="shared" si="48"/>
        <v>013801</v>
      </c>
      <c r="J89" s="739">
        <v>2000</v>
      </c>
      <c r="Q89" s="773"/>
      <c r="T89" s="775" t="str">
        <f t="shared" si="49"/>
        <v>023801</v>
      </c>
      <c r="W89" s="739" t="s">
        <v>2032</v>
      </c>
      <c r="Y89" s="775">
        <f t="shared" si="50"/>
        <v>2017</v>
      </c>
      <c r="Z89" s="775">
        <v>12</v>
      </c>
      <c r="AA89" s="739">
        <f>('OPER.-NONMAJOR SP. REVENUE(65)'!IS12+'LedgerLoad Assist'!BC62)*-1</f>
        <v>-72808.76999999999</v>
      </c>
      <c r="AB89" s="739">
        <f>AA89</f>
        <v>-72808.76999999999</v>
      </c>
      <c r="AC89" s="739">
        <f>AB89</f>
        <v>-72808.76999999999</v>
      </c>
    </row>
    <row r="90" spans="1:29">
      <c r="A90" s="739" t="s">
        <v>2025</v>
      </c>
      <c r="B90" s="739" t="s">
        <v>2025</v>
      </c>
      <c r="C90" s="739" t="s">
        <v>2026</v>
      </c>
      <c r="D90" s="739" t="s">
        <v>2026</v>
      </c>
      <c r="E90" s="791">
        <v>322000</v>
      </c>
      <c r="G90" s="739" t="str">
        <f t="shared" si="48"/>
        <v>013801</v>
      </c>
      <c r="J90" s="739">
        <v>2000</v>
      </c>
      <c r="Q90" s="773"/>
      <c r="T90" s="775" t="str">
        <f t="shared" si="49"/>
        <v>023801</v>
      </c>
      <c r="W90" s="739" t="s">
        <v>2032</v>
      </c>
      <c r="Y90" s="775">
        <f t="shared" si="50"/>
        <v>2017</v>
      </c>
      <c r="Z90" s="775">
        <v>12</v>
      </c>
      <c r="AA90" s="739">
        <f>('OPER.-NONMAJOR SP. REVENUE(65)'!IS14+'OPER.-NONMAJOR SP. REVENUE(65)'!IS15+'LedgerLoad Assist'!BC66)*-1</f>
        <v>0</v>
      </c>
      <c r="AB90" s="739">
        <f t="shared" ref="AB90:AC90" si="65">AA90</f>
        <v>0</v>
      </c>
      <c r="AC90" s="739">
        <f t="shared" si="65"/>
        <v>0</v>
      </c>
    </row>
    <row r="91" spans="1:29">
      <c r="A91" s="739" t="s">
        <v>2025</v>
      </c>
      <c r="B91" s="739" t="s">
        <v>2025</v>
      </c>
      <c r="C91" s="739" t="s">
        <v>2026</v>
      </c>
      <c r="D91" s="739" t="s">
        <v>2026</v>
      </c>
      <c r="E91" s="791">
        <v>323000</v>
      </c>
      <c r="G91" s="739" t="str">
        <f t="shared" si="48"/>
        <v>013801</v>
      </c>
      <c r="J91" s="739">
        <v>2000</v>
      </c>
      <c r="Q91" s="773"/>
      <c r="T91" s="775" t="str">
        <f t="shared" si="49"/>
        <v>023801</v>
      </c>
      <c r="W91" s="739" t="s">
        <v>2032</v>
      </c>
      <c r="Y91" s="775">
        <f t="shared" si="50"/>
        <v>2017</v>
      </c>
      <c r="Z91" s="775">
        <v>12</v>
      </c>
      <c r="AA91" s="739">
        <f>('OPER.-NONMAJOR SP. REVENUE(65)'!IS17+'OPER.-NONMAJOR SP. REVENUE(65)'!IS16+'OPER.-NONMAJOR SP. REVENUE(65)'!IS18+'LedgerLoad Assist'!BC67)*-1</f>
        <v>0</v>
      </c>
      <c r="AB91" s="739">
        <f t="shared" ref="AB91:AC91" si="66">AA91</f>
        <v>0</v>
      </c>
      <c r="AC91" s="739">
        <f t="shared" si="66"/>
        <v>0</v>
      </c>
    </row>
    <row r="92" spans="1:29">
      <c r="A92" s="739" t="s">
        <v>2025</v>
      </c>
      <c r="B92" s="739" t="s">
        <v>2025</v>
      </c>
      <c r="C92" s="739" t="s">
        <v>2026</v>
      </c>
      <c r="D92" s="739" t="s">
        <v>2026</v>
      </c>
      <c r="E92" s="791">
        <v>331000</v>
      </c>
      <c r="G92" s="739" t="str">
        <f t="shared" si="48"/>
        <v>013801</v>
      </c>
      <c r="J92" s="739">
        <v>2000</v>
      </c>
      <c r="Q92" s="773"/>
      <c r="T92" s="775" t="str">
        <f t="shared" si="49"/>
        <v>023801</v>
      </c>
      <c r="W92" s="739" t="s">
        <v>2032</v>
      </c>
      <c r="Y92" s="775">
        <f t="shared" si="50"/>
        <v>2017</v>
      </c>
      <c r="Z92" s="775">
        <v>12</v>
      </c>
      <c r="AA92" s="739">
        <f>('OPER.-NONMAJOR SP. REVENUE(65)'!IS20+'LedgerLoad Assist'!BC69)*-1</f>
        <v>0</v>
      </c>
      <c r="AB92" s="739">
        <f t="shared" ref="AB92:AC92" si="67">AA92</f>
        <v>0</v>
      </c>
      <c r="AC92" s="739">
        <f t="shared" si="67"/>
        <v>0</v>
      </c>
    </row>
    <row r="93" spans="1:29">
      <c r="A93" s="739" t="s">
        <v>2025</v>
      </c>
      <c r="B93" s="739" t="s">
        <v>2025</v>
      </c>
      <c r="C93" s="739" t="s">
        <v>2026</v>
      </c>
      <c r="D93" s="739" t="s">
        <v>2026</v>
      </c>
      <c r="E93" s="791">
        <v>332000</v>
      </c>
      <c r="G93" s="739" t="str">
        <f t="shared" si="48"/>
        <v>013801</v>
      </c>
      <c r="J93" s="739">
        <v>2000</v>
      </c>
      <c r="Q93" s="773"/>
      <c r="T93" s="775" t="str">
        <f t="shared" si="49"/>
        <v>023801</v>
      </c>
      <c r="W93" s="739" t="s">
        <v>2032</v>
      </c>
      <c r="Y93" s="775">
        <f t="shared" si="50"/>
        <v>2017</v>
      </c>
      <c r="Z93" s="775">
        <v>12</v>
      </c>
      <c r="AA93" s="739">
        <f>('OPER.-NONMAJOR SP. REVENUE(65)'!IS21+'LedgerLoad Assist'!BC70)*-1</f>
        <v>0</v>
      </c>
      <c r="AB93" s="739">
        <f t="shared" ref="AB93:AC93" si="68">AA93</f>
        <v>0</v>
      </c>
      <c r="AC93" s="739">
        <f t="shared" si="68"/>
        <v>0</v>
      </c>
    </row>
    <row r="94" spans="1:29">
      <c r="A94" s="739" t="s">
        <v>2025</v>
      </c>
      <c r="B94" s="739" t="s">
        <v>2025</v>
      </c>
      <c r="C94" s="739" t="s">
        <v>2026</v>
      </c>
      <c r="D94" s="739" t="s">
        <v>2026</v>
      </c>
      <c r="E94" s="791">
        <v>334000</v>
      </c>
      <c r="G94" s="739" t="str">
        <f t="shared" si="48"/>
        <v>013801</v>
      </c>
      <c r="J94" s="739">
        <v>2000</v>
      </c>
      <c r="Q94" s="773"/>
      <c r="T94" s="775" t="str">
        <f t="shared" si="49"/>
        <v>023801</v>
      </c>
      <c r="W94" s="739" t="s">
        <v>2032</v>
      </c>
      <c r="Y94" s="775">
        <f t="shared" si="50"/>
        <v>2017</v>
      </c>
      <c r="Z94" s="775">
        <v>12</v>
      </c>
      <c r="AA94" s="739">
        <f>('OPER.-NONMAJOR SP. REVENUE(65)'!IS22+'LedgerLoad Assist'!BC72)*-1</f>
        <v>0</v>
      </c>
      <c r="AB94" s="739">
        <f t="shared" ref="AB94:AC94" si="69">AA94</f>
        <v>0</v>
      </c>
      <c r="AC94" s="739">
        <f t="shared" si="69"/>
        <v>0</v>
      </c>
    </row>
    <row r="95" spans="1:29">
      <c r="A95" s="739" t="s">
        <v>2025</v>
      </c>
      <c r="B95" s="739" t="s">
        <v>2025</v>
      </c>
      <c r="C95" s="739" t="s">
        <v>2026</v>
      </c>
      <c r="D95" s="739" t="s">
        <v>2026</v>
      </c>
      <c r="E95" s="791">
        <v>335000</v>
      </c>
      <c r="G95" s="739" t="str">
        <f t="shared" si="48"/>
        <v>013801</v>
      </c>
      <c r="J95" s="739">
        <v>2000</v>
      </c>
      <c r="Q95" s="773"/>
      <c r="T95" s="775" t="str">
        <f t="shared" si="49"/>
        <v>023801</v>
      </c>
      <c r="W95" s="739" t="s">
        <v>2032</v>
      </c>
      <c r="Y95" s="775">
        <f t="shared" si="50"/>
        <v>2017</v>
      </c>
      <c r="Z95" s="775">
        <v>12</v>
      </c>
      <c r="AA95" s="739">
        <f>('OPER.-NONMAJOR SP. REVENUE(65)'!IS23+'LedgerLoad Assist'!BC73)*-1</f>
        <v>-27061.43</v>
      </c>
      <c r="AB95" s="739">
        <f t="shared" ref="AB95:AC95" si="70">AA95</f>
        <v>-27061.43</v>
      </c>
      <c r="AC95" s="739">
        <f t="shared" si="70"/>
        <v>-27061.43</v>
      </c>
    </row>
    <row r="96" spans="1:29">
      <c r="A96" s="739" t="s">
        <v>2025</v>
      </c>
      <c r="B96" s="739" t="s">
        <v>2025</v>
      </c>
      <c r="C96" s="739" t="s">
        <v>2026</v>
      </c>
      <c r="D96" s="739" t="s">
        <v>2026</v>
      </c>
      <c r="E96" s="791">
        <v>337000</v>
      </c>
      <c r="G96" s="739" t="str">
        <f t="shared" si="48"/>
        <v>013801</v>
      </c>
      <c r="J96" s="739">
        <v>2000</v>
      </c>
      <c r="Q96" s="773"/>
      <c r="T96" s="775" t="str">
        <f t="shared" si="49"/>
        <v>023801</v>
      </c>
      <c r="W96" s="739" t="s">
        <v>2032</v>
      </c>
      <c r="Y96" s="775">
        <f t="shared" si="50"/>
        <v>2017</v>
      </c>
      <c r="Z96" s="775">
        <v>12</v>
      </c>
      <c r="AA96" s="739">
        <f>('OPER.-NONMAJOR SP. REVENUE(65)'!IS24+'LedgerLoad Assist'!BC75)*-1</f>
        <v>0</v>
      </c>
      <c r="AB96" s="739">
        <f t="shared" ref="AB96:AC96" si="71">AA96</f>
        <v>0</v>
      </c>
      <c r="AC96" s="739">
        <f t="shared" si="71"/>
        <v>0</v>
      </c>
    </row>
    <row r="97" spans="1:29">
      <c r="A97" s="739" t="s">
        <v>2025</v>
      </c>
      <c r="B97" s="739" t="s">
        <v>2025</v>
      </c>
      <c r="C97" s="739" t="s">
        <v>2026</v>
      </c>
      <c r="D97" s="739" t="s">
        <v>2026</v>
      </c>
      <c r="E97" s="791">
        <v>338000</v>
      </c>
      <c r="G97" s="739" t="str">
        <f t="shared" si="48"/>
        <v>013801</v>
      </c>
      <c r="J97" s="739">
        <v>2000</v>
      </c>
      <c r="Q97" s="773"/>
      <c r="T97" s="775" t="str">
        <f t="shared" si="49"/>
        <v>023801</v>
      </c>
      <c r="W97" s="739" t="s">
        <v>2032</v>
      </c>
      <c r="Y97" s="775">
        <f t="shared" si="50"/>
        <v>2017</v>
      </c>
      <c r="Z97" s="775">
        <v>12</v>
      </c>
      <c r="AA97" s="739">
        <f>('OPER.-NONMAJOR SP. REVENUE(65)'!IS25+'LedgerLoad Assist'!BC76)*-1</f>
        <v>0</v>
      </c>
      <c r="AB97" s="739">
        <f t="shared" ref="AB97:AC97" si="72">AA97</f>
        <v>0</v>
      </c>
      <c r="AC97" s="739">
        <f t="shared" si="72"/>
        <v>0</v>
      </c>
    </row>
    <row r="98" spans="1:29">
      <c r="A98" s="739" t="s">
        <v>2025</v>
      </c>
      <c r="B98" s="739" t="s">
        <v>2025</v>
      </c>
      <c r="C98" s="739" t="s">
        <v>2026</v>
      </c>
      <c r="D98" s="739" t="s">
        <v>2026</v>
      </c>
      <c r="E98" s="791">
        <v>341000</v>
      </c>
      <c r="G98" s="739" t="str">
        <f t="shared" si="48"/>
        <v>013801</v>
      </c>
      <c r="J98" s="739">
        <v>2000</v>
      </c>
      <c r="Q98" s="773"/>
      <c r="T98" s="775" t="str">
        <f t="shared" si="49"/>
        <v>023801</v>
      </c>
      <c r="W98" s="739" t="s">
        <v>2032</v>
      </c>
      <c r="Y98" s="775">
        <f t="shared" si="50"/>
        <v>2017</v>
      </c>
      <c r="Z98" s="775">
        <v>12</v>
      </c>
      <c r="AA98" s="739">
        <f>('OPER.-NONMAJOR SP. REVENUE(65)'!IS27+'LedgerLoad Assist'!BC79)*-1</f>
        <v>0</v>
      </c>
      <c r="AB98" s="739">
        <f t="shared" ref="AB98:AC98" si="73">AA98</f>
        <v>0</v>
      </c>
      <c r="AC98" s="739">
        <f t="shared" si="73"/>
        <v>0</v>
      </c>
    </row>
    <row r="99" spans="1:29">
      <c r="A99" s="739" t="s">
        <v>2025</v>
      </c>
      <c r="B99" s="739" t="s">
        <v>2025</v>
      </c>
      <c r="C99" s="739" t="s">
        <v>2026</v>
      </c>
      <c r="D99" s="739" t="s">
        <v>2026</v>
      </c>
      <c r="E99" s="791">
        <v>342000</v>
      </c>
      <c r="G99" s="739" t="str">
        <f t="shared" si="48"/>
        <v>013801</v>
      </c>
      <c r="J99" s="739">
        <v>2000</v>
      </c>
      <c r="Q99" s="773"/>
      <c r="T99" s="775" t="str">
        <f t="shared" si="49"/>
        <v>023801</v>
      </c>
      <c r="W99" s="739" t="s">
        <v>2032</v>
      </c>
      <c r="Y99" s="775">
        <f t="shared" si="50"/>
        <v>2017</v>
      </c>
      <c r="Z99" s="775">
        <v>12</v>
      </c>
      <c r="AA99" s="739">
        <f>('OPER.-NONMAJOR SP. REVENUE(65)'!IS28+'LedgerLoad Assist'!BC80)*-1</f>
        <v>0</v>
      </c>
      <c r="AB99" s="739">
        <f t="shared" ref="AB99:AC99" si="74">AA99</f>
        <v>0</v>
      </c>
      <c r="AC99" s="739">
        <f t="shared" si="74"/>
        <v>0</v>
      </c>
    </row>
    <row r="100" spans="1:29">
      <c r="A100" s="739" t="s">
        <v>2025</v>
      </c>
      <c r="B100" s="739" t="s">
        <v>2025</v>
      </c>
      <c r="C100" s="739" t="s">
        <v>2026</v>
      </c>
      <c r="D100" s="739" t="s">
        <v>2026</v>
      </c>
      <c r="E100" s="791">
        <v>343000</v>
      </c>
      <c r="G100" s="739" t="str">
        <f t="shared" si="48"/>
        <v>013801</v>
      </c>
      <c r="J100" s="739">
        <v>2000</v>
      </c>
      <c r="Q100" s="773"/>
      <c r="T100" s="775" t="str">
        <f t="shared" si="49"/>
        <v>023801</v>
      </c>
      <c r="W100" s="739" t="s">
        <v>2032</v>
      </c>
      <c r="Y100" s="775">
        <f t="shared" si="50"/>
        <v>2017</v>
      </c>
      <c r="Z100" s="775">
        <v>12</v>
      </c>
      <c r="AA100" s="739">
        <f>('OPER.-NONMAJOR SP. REVENUE(65)'!IS29+'LedgerLoad Assist'!BC81)*-1</f>
        <v>0</v>
      </c>
      <c r="AB100" s="739">
        <f t="shared" ref="AB100:AC100" si="75">AA100</f>
        <v>0</v>
      </c>
      <c r="AC100" s="739">
        <f t="shared" si="75"/>
        <v>0</v>
      </c>
    </row>
    <row r="101" spans="1:29">
      <c r="A101" s="739" t="s">
        <v>2025</v>
      </c>
      <c r="B101" s="739" t="s">
        <v>2025</v>
      </c>
      <c r="C101" s="739" t="s">
        <v>2026</v>
      </c>
      <c r="D101" s="739" t="s">
        <v>2026</v>
      </c>
      <c r="E101" s="791">
        <v>344000</v>
      </c>
      <c r="G101" s="739" t="str">
        <f t="shared" si="48"/>
        <v>013801</v>
      </c>
      <c r="J101" s="739">
        <v>2000</v>
      </c>
      <c r="Q101" s="773"/>
      <c r="T101" s="775" t="str">
        <f t="shared" si="49"/>
        <v>023801</v>
      </c>
      <c r="W101" s="739" t="s">
        <v>2032</v>
      </c>
      <c r="Y101" s="775">
        <f t="shared" si="50"/>
        <v>2017</v>
      </c>
      <c r="Z101" s="775">
        <v>12</v>
      </c>
      <c r="AA101" s="739">
        <f>('OPER.-NONMAJOR SP. REVENUE(65)'!IS30+'LedgerLoad Assist'!BC82)*-1</f>
        <v>0</v>
      </c>
      <c r="AB101" s="739">
        <f t="shared" ref="AB101:AC101" si="76">AA101</f>
        <v>0</v>
      </c>
      <c r="AC101" s="739">
        <f t="shared" si="76"/>
        <v>0</v>
      </c>
    </row>
    <row r="102" spans="1:29">
      <c r="A102" s="739" t="s">
        <v>2025</v>
      </c>
      <c r="B102" s="739" t="s">
        <v>2025</v>
      </c>
      <c r="C102" s="739" t="s">
        <v>2026</v>
      </c>
      <c r="D102" s="739" t="s">
        <v>2026</v>
      </c>
      <c r="E102" s="791">
        <v>345000</v>
      </c>
      <c r="G102" s="739" t="str">
        <f t="shared" si="48"/>
        <v>013801</v>
      </c>
      <c r="J102" s="739">
        <v>2000</v>
      </c>
      <c r="Q102" s="773"/>
      <c r="T102" s="775" t="str">
        <f t="shared" si="49"/>
        <v>023801</v>
      </c>
      <c r="W102" s="739" t="s">
        <v>2032</v>
      </c>
      <c r="Y102" s="775">
        <f t="shared" si="50"/>
        <v>2017</v>
      </c>
      <c r="Z102" s="775">
        <v>12</v>
      </c>
      <c r="AA102" s="739">
        <f>('OPER.-NONMAJOR SP. REVENUE(65)'!IS31+'LedgerLoad Assist'!BC83)*-1</f>
        <v>0</v>
      </c>
      <c r="AB102" s="739">
        <f t="shared" ref="AB102:AC102" si="77">AA102</f>
        <v>0</v>
      </c>
      <c r="AC102" s="739">
        <f t="shared" si="77"/>
        <v>0</v>
      </c>
    </row>
    <row r="103" spans="1:29">
      <c r="A103" s="739" t="s">
        <v>2025</v>
      </c>
      <c r="B103" s="739" t="s">
        <v>2025</v>
      </c>
      <c r="C103" s="739" t="s">
        <v>2026</v>
      </c>
      <c r="D103" s="739" t="s">
        <v>2026</v>
      </c>
      <c r="E103" s="791">
        <v>346000</v>
      </c>
      <c r="G103" s="739" t="str">
        <f t="shared" si="48"/>
        <v>013801</v>
      </c>
      <c r="J103" s="739">
        <v>2000</v>
      </c>
      <c r="Q103" s="773"/>
      <c r="T103" s="775" t="str">
        <f t="shared" si="49"/>
        <v>023801</v>
      </c>
      <c r="W103" s="739" t="s">
        <v>2032</v>
      </c>
      <c r="Y103" s="775">
        <f t="shared" si="50"/>
        <v>2017</v>
      </c>
      <c r="Z103" s="775">
        <v>12</v>
      </c>
      <c r="AA103" s="739">
        <f>('OPER.-NONMAJOR SP. REVENUE(65)'!IS32+'LedgerLoad Assist'!BC84)*-1</f>
        <v>0</v>
      </c>
      <c r="AB103" s="739">
        <f t="shared" ref="AB103:AC103" si="78">AA103</f>
        <v>0</v>
      </c>
      <c r="AC103" s="739">
        <f t="shared" si="78"/>
        <v>0</v>
      </c>
    </row>
    <row r="104" spans="1:29">
      <c r="A104" s="739" t="s">
        <v>2025</v>
      </c>
      <c r="B104" s="739" t="s">
        <v>2025</v>
      </c>
      <c r="C104" s="739" t="s">
        <v>2026</v>
      </c>
      <c r="D104" s="739" t="s">
        <v>2026</v>
      </c>
      <c r="E104" s="791">
        <v>350000</v>
      </c>
      <c r="G104" s="739" t="str">
        <f t="shared" si="48"/>
        <v>013801</v>
      </c>
      <c r="J104" s="739">
        <v>2000</v>
      </c>
      <c r="Q104" s="773"/>
      <c r="T104" s="775" t="str">
        <f t="shared" si="49"/>
        <v>023801</v>
      </c>
      <c r="W104" s="739" t="s">
        <v>2032</v>
      </c>
      <c r="Y104" s="775">
        <f t="shared" si="50"/>
        <v>2017</v>
      </c>
      <c r="Z104" s="775">
        <v>12</v>
      </c>
      <c r="AA104" s="739">
        <v>0</v>
      </c>
      <c r="AB104" s="739">
        <f t="shared" ref="AB104:AC104" si="79">AA104</f>
        <v>0</v>
      </c>
      <c r="AC104" s="739">
        <f t="shared" si="79"/>
        <v>0</v>
      </c>
    </row>
    <row r="105" spans="1:29">
      <c r="A105" s="739" t="s">
        <v>2025</v>
      </c>
      <c r="B105" s="739" t="s">
        <v>2025</v>
      </c>
      <c r="C105" s="739" t="s">
        <v>2026</v>
      </c>
      <c r="D105" s="739" t="s">
        <v>2026</v>
      </c>
      <c r="E105" s="791">
        <v>351000</v>
      </c>
      <c r="G105" s="739" t="str">
        <f t="shared" si="48"/>
        <v>013801</v>
      </c>
      <c r="J105" s="739">
        <v>2000</v>
      </c>
      <c r="Q105" s="773"/>
      <c r="T105" s="775" t="str">
        <f t="shared" si="49"/>
        <v>023801</v>
      </c>
      <c r="W105" s="739" t="s">
        <v>2032</v>
      </c>
      <c r="Y105" s="775">
        <f t="shared" si="50"/>
        <v>2017</v>
      </c>
      <c r="Z105" s="775">
        <v>12</v>
      </c>
      <c r="AA105" s="739">
        <f>('OPER.-NONMAJOR SP. REVENUE(65)'!IS34+'OPER.-NONMAJOR SP. REVENUE(65)'!IS35+'OPER.-NONMAJOR SP. REVENUE(65)'!IS36+'LedgerLoad Assist'!BC86)*-1</f>
        <v>0</v>
      </c>
      <c r="AB105" s="739">
        <f t="shared" ref="AB105:AC105" si="80">AA105</f>
        <v>0</v>
      </c>
      <c r="AC105" s="739">
        <f t="shared" si="80"/>
        <v>0</v>
      </c>
    </row>
    <row r="106" spans="1:29">
      <c r="A106" s="739" t="s">
        <v>2025</v>
      </c>
      <c r="B106" s="739" t="s">
        <v>2025</v>
      </c>
      <c r="C106" s="739" t="s">
        <v>2026</v>
      </c>
      <c r="D106" s="739" t="s">
        <v>2026</v>
      </c>
      <c r="E106" s="792">
        <v>362000</v>
      </c>
      <c r="G106" s="739" t="str">
        <f t="shared" si="48"/>
        <v>013801</v>
      </c>
      <c r="J106" s="739">
        <v>2000</v>
      </c>
      <c r="Q106" s="773"/>
      <c r="T106" s="775" t="str">
        <f t="shared" si="49"/>
        <v>023801</v>
      </c>
      <c r="W106" s="739" t="s">
        <v>2032</v>
      </c>
      <c r="Y106" s="775">
        <f t="shared" si="50"/>
        <v>2017</v>
      </c>
      <c r="Z106" s="775">
        <v>12</v>
      </c>
      <c r="AA106" s="739">
        <f>('OPER.-NONMAJOR SP. REVENUE(65)'!IS37+'LedgerLoad Assist'!BC87+'LedgerLoad Assist'!BC88+'LedgerLoad Assist'!BC89+'LedgerLoad Assist'!BC90+'LedgerLoad Assist'!BC91+'LedgerLoad Assist'!BC92+'LedgerLoad Assist'!BC93+'LedgerLoad Assist'!BC94)*-1</f>
        <v>0</v>
      </c>
      <c r="AB106" s="739">
        <f t="shared" ref="AB106:AC106" si="81">AA106</f>
        <v>0</v>
      </c>
      <c r="AC106" s="739">
        <f t="shared" si="81"/>
        <v>0</v>
      </c>
    </row>
    <row r="107" spans="1:29">
      <c r="A107" s="739" t="s">
        <v>2025</v>
      </c>
      <c r="B107" s="739" t="s">
        <v>2025</v>
      </c>
      <c r="C107" s="739" t="s">
        <v>2026</v>
      </c>
      <c r="D107" s="739" t="s">
        <v>2026</v>
      </c>
      <c r="E107" s="791">
        <v>371000</v>
      </c>
      <c r="G107" s="739" t="str">
        <f t="shared" si="48"/>
        <v>013801</v>
      </c>
      <c r="J107" s="739">
        <v>2000</v>
      </c>
      <c r="Q107" s="773"/>
      <c r="T107" s="775" t="str">
        <f t="shared" si="49"/>
        <v>023801</v>
      </c>
      <c r="W107" s="739" t="s">
        <v>2032</v>
      </c>
      <c r="Y107" s="775">
        <f t="shared" si="50"/>
        <v>2017</v>
      </c>
      <c r="Z107" s="775">
        <v>12</v>
      </c>
      <c r="AA107" s="739">
        <f>('OPER.-NONMAJOR SP. REVENUE(65)'!IS38+'LedgerLoad Assist'!BC95+'LedgerLoad Assist'!BC96+'LedgerLoad Assist'!BC97+'LedgerLoad Assist'!BC98)*-1</f>
        <v>-127.11</v>
      </c>
      <c r="AB107" s="739">
        <f t="shared" ref="AB107:AC107" si="82">AA107</f>
        <v>-127.11</v>
      </c>
      <c r="AC107" s="739">
        <f t="shared" si="82"/>
        <v>-127.11</v>
      </c>
    </row>
    <row r="108" spans="1:29">
      <c r="A108" s="739" t="s">
        <v>2025</v>
      </c>
      <c r="B108" s="739" t="s">
        <v>2025</v>
      </c>
      <c r="C108" s="739" t="s">
        <v>2026</v>
      </c>
      <c r="D108" s="739" t="s">
        <v>2026</v>
      </c>
      <c r="E108" s="791">
        <v>381000</v>
      </c>
      <c r="G108" s="739" t="str">
        <f t="shared" si="48"/>
        <v>013801</v>
      </c>
      <c r="J108" s="739">
        <v>2000</v>
      </c>
      <c r="Q108" s="773"/>
      <c r="T108" s="775" t="str">
        <f t="shared" si="49"/>
        <v>023801</v>
      </c>
      <c r="W108" s="739" t="s">
        <v>2032</v>
      </c>
      <c r="Y108" s="775">
        <f t="shared" si="50"/>
        <v>2017</v>
      </c>
      <c r="Z108" s="775">
        <v>12</v>
      </c>
      <c r="AA108" s="739">
        <f>('OPER.-NONMAJOR SP. REVE (B)(66)'!IS42+'OPER.-NONMAJOR SP. REVE (B)(66)'!IS43+'OPER.-NONMAJOR SP. REVE (B)(66)'!IS44+'OPER.-NONMAJOR SP. REVE (B)(66)'!IS45+'LedgerLoad Assist'!BC100)*-1</f>
        <v>0</v>
      </c>
      <c r="AB108" s="739">
        <f t="shared" ref="AB108:AC108" si="83">AA108</f>
        <v>0</v>
      </c>
      <c r="AC108" s="739">
        <f t="shared" si="83"/>
        <v>0</v>
      </c>
    </row>
    <row r="109" spans="1:29">
      <c r="A109" s="739" t="s">
        <v>2025</v>
      </c>
      <c r="B109" s="739" t="s">
        <v>2025</v>
      </c>
      <c r="C109" s="739" t="s">
        <v>2026</v>
      </c>
      <c r="D109" s="739" t="s">
        <v>2026</v>
      </c>
      <c r="E109" s="791">
        <v>382000</v>
      </c>
      <c r="G109" s="739" t="str">
        <f t="shared" si="48"/>
        <v>013801</v>
      </c>
      <c r="J109" s="739">
        <v>2000</v>
      </c>
      <c r="Q109" s="773"/>
      <c r="T109" s="775" t="str">
        <f t="shared" si="49"/>
        <v>023801</v>
      </c>
      <c r="W109" s="739" t="s">
        <v>2032</v>
      </c>
      <c r="Y109" s="775">
        <f t="shared" si="50"/>
        <v>2017</v>
      </c>
      <c r="Z109" s="775">
        <v>12</v>
      </c>
      <c r="AA109" s="739">
        <f>('OPER.-NONMAJOR SP. REVE (B)(66)'!IS46+'LedgerLoad Assist'!BC101)*-1</f>
        <v>0</v>
      </c>
      <c r="AB109" s="739">
        <f t="shared" ref="AB109:AC109" si="84">AA109</f>
        <v>0</v>
      </c>
      <c r="AC109" s="739">
        <f t="shared" si="84"/>
        <v>0</v>
      </c>
    </row>
    <row r="110" spans="1:29">
      <c r="A110" s="739" t="s">
        <v>2025</v>
      </c>
      <c r="B110" s="739" t="s">
        <v>2025</v>
      </c>
      <c r="C110" s="739" t="s">
        <v>2026</v>
      </c>
      <c r="D110" s="739" t="s">
        <v>2026</v>
      </c>
      <c r="E110" s="791">
        <v>383000</v>
      </c>
      <c r="G110" s="739" t="str">
        <f t="shared" si="48"/>
        <v>013801</v>
      </c>
      <c r="J110" s="739">
        <v>2000</v>
      </c>
      <c r="Q110" s="773"/>
      <c r="T110" s="775" t="str">
        <f t="shared" si="49"/>
        <v>023801</v>
      </c>
      <c r="W110" s="739" t="s">
        <v>2032</v>
      </c>
      <c r="Y110" s="775">
        <f t="shared" si="50"/>
        <v>2017</v>
      </c>
      <c r="Z110" s="775">
        <v>12</v>
      </c>
      <c r="AA110" s="739">
        <f>('OPER.-NONMAJOR SP. REVE (B)(66)'!IS47+'LedgerLoad Assist'!BC102)*-1</f>
        <v>0</v>
      </c>
      <c r="AB110" s="739">
        <f t="shared" ref="AB110:AC110" si="85">AA110</f>
        <v>0</v>
      </c>
      <c r="AC110" s="739">
        <f t="shared" si="85"/>
        <v>0</v>
      </c>
    </row>
    <row r="111" spans="1:29">
      <c r="A111" s="739" t="s">
        <v>2025</v>
      </c>
      <c r="B111" s="739" t="s">
        <v>2025</v>
      </c>
      <c r="C111" s="739" t="s">
        <v>2026</v>
      </c>
      <c r="D111" s="739" t="s">
        <v>2026</v>
      </c>
      <c r="E111" s="791">
        <v>384000</v>
      </c>
      <c r="G111" s="739" t="str">
        <f t="shared" si="48"/>
        <v>013801</v>
      </c>
      <c r="J111" s="739">
        <v>2000</v>
      </c>
      <c r="Q111" s="773"/>
      <c r="T111" s="775" t="str">
        <f t="shared" si="49"/>
        <v>023801</v>
      </c>
      <c r="W111" s="739" t="s">
        <v>2032</v>
      </c>
      <c r="Y111" s="775">
        <f t="shared" si="50"/>
        <v>2017</v>
      </c>
      <c r="Z111" s="775">
        <v>12</v>
      </c>
      <c r="AA111" s="739">
        <f>('OPER.-NONMAJOR SP. REVE (B)(66)'!IS49+'LedgerLoad Assist'!BC103)*-1</f>
        <v>0</v>
      </c>
      <c r="AB111" s="739">
        <f t="shared" ref="AB111:AC111" si="86">AA111</f>
        <v>0</v>
      </c>
      <c r="AC111" s="739">
        <f t="shared" si="86"/>
        <v>0</v>
      </c>
    </row>
    <row r="112" spans="1:29">
      <c r="A112" s="739" t="s">
        <v>2025</v>
      </c>
      <c r="B112" s="739" t="s">
        <v>2025</v>
      </c>
      <c r="C112" s="739" t="s">
        <v>2026</v>
      </c>
      <c r="D112" s="739" t="s">
        <v>2026</v>
      </c>
      <c r="E112" s="791">
        <v>385000</v>
      </c>
      <c r="G112" s="739" t="str">
        <f t="shared" si="48"/>
        <v>013801</v>
      </c>
      <c r="J112" s="739">
        <v>2000</v>
      </c>
      <c r="Q112" s="773"/>
      <c r="T112" s="775" t="str">
        <f t="shared" si="49"/>
        <v>023801</v>
      </c>
      <c r="W112" s="739" t="s">
        <v>2032</v>
      </c>
      <c r="Y112" s="775">
        <f t="shared" si="50"/>
        <v>2017</v>
      </c>
      <c r="Z112" s="775">
        <v>12</v>
      </c>
      <c r="AA112" s="739">
        <f>('OPER.-NONMAJOR SP. REVE (B)(66)'!IS50+'LedgerLoad Assist'!BC104)*-1</f>
        <v>0</v>
      </c>
      <c r="AB112" s="739">
        <f t="shared" ref="AB112:AC112" si="87">AA112</f>
        <v>0</v>
      </c>
      <c r="AC112" s="739">
        <f t="shared" si="87"/>
        <v>0</v>
      </c>
    </row>
    <row r="113" spans="1:29">
      <c r="A113" s="739" t="s">
        <v>2025</v>
      </c>
      <c r="B113" s="739" t="s">
        <v>2025</v>
      </c>
      <c r="C113" s="739" t="s">
        <v>2026</v>
      </c>
      <c r="D113" s="739" t="s">
        <v>2026</v>
      </c>
      <c r="E113" s="791">
        <v>410000</v>
      </c>
      <c r="G113" s="739" t="str">
        <f t="shared" si="48"/>
        <v>013801</v>
      </c>
      <c r="J113" s="739">
        <v>2000</v>
      </c>
      <c r="Q113" s="773">
        <v>100</v>
      </c>
      <c r="T113" s="775" t="str">
        <f t="shared" si="49"/>
        <v>023801</v>
      </c>
      <c r="W113" s="739" t="s">
        <v>2032</v>
      </c>
      <c r="Y113" s="775">
        <f t="shared" si="50"/>
        <v>2017</v>
      </c>
      <c r="Z113" s="775">
        <v>12</v>
      </c>
      <c r="AA113" s="739">
        <f>'OPER.-NONMAJOR SP. REVE (B)(66)'!IS11+'LedgerLoad Assist'!BC113</f>
        <v>2065.56</v>
      </c>
      <c r="AB113" s="739">
        <f t="shared" ref="AB113:AC113" si="88">AA113</f>
        <v>2065.56</v>
      </c>
      <c r="AC113" s="739">
        <f t="shared" si="88"/>
        <v>2065.56</v>
      </c>
    </row>
    <row r="114" spans="1:29">
      <c r="A114" s="739" t="s">
        <v>2025</v>
      </c>
      <c r="B114" s="739" t="s">
        <v>2025</v>
      </c>
      <c r="C114" s="739" t="s">
        <v>2026</v>
      </c>
      <c r="D114" s="739" t="s">
        <v>2026</v>
      </c>
      <c r="E114" s="791">
        <v>410000</v>
      </c>
      <c r="G114" s="739" t="str">
        <f t="shared" si="48"/>
        <v>013801</v>
      </c>
      <c r="J114" s="739">
        <v>2000</v>
      </c>
      <c r="Q114" s="773" t="s">
        <v>2606</v>
      </c>
      <c r="T114" s="775" t="str">
        <f t="shared" si="49"/>
        <v>023801</v>
      </c>
      <c r="W114" s="739" t="s">
        <v>2032</v>
      </c>
      <c r="Y114" s="775">
        <f t="shared" si="50"/>
        <v>2017</v>
      </c>
      <c r="Z114" s="775">
        <v>12</v>
      </c>
      <c r="AA114" s="739">
        <f>'OPER.-NONMAJOR SP. REVE (B)(66)'!IS12+'LedgerLoad Assist'!BC114</f>
        <v>2658.81</v>
      </c>
      <c r="AB114" s="739">
        <f t="shared" ref="AB114:AC114" si="89">AA114</f>
        <v>2658.81</v>
      </c>
      <c r="AC114" s="739">
        <f t="shared" si="89"/>
        <v>2658.81</v>
      </c>
    </row>
    <row r="115" spans="1:29">
      <c r="A115" s="739" t="s">
        <v>2025</v>
      </c>
      <c r="B115" s="739" t="s">
        <v>2025</v>
      </c>
      <c r="C115" s="739" t="s">
        <v>2026</v>
      </c>
      <c r="D115" s="739" t="s">
        <v>2026</v>
      </c>
      <c r="E115" s="791">
        <v>420000</v>
      </c>
      <c r="G115" s="739" t="str">
        <f t="shared" si="48"/>
        <v>013801</v>
      </c>
      <c r="J115" s="739">
        <v>2000</v>
      </c>
      <c r="Q115" s="773">
        <v>100</v>
      </c>
      <c r="T115" s="775" t="str">
        <f t="shared" si="49"/>
        <v>023801</v>
      </c>
      <c r="W115" s="739" t="s">
        <v>2032</v>
      </c>
      <c r="Y115" s="775">
        <f t="shared" si="50"/>
        <v>2017</v>
      </c>
      <c r="Z115" s="775">
        <v>12</v>
      </c>
      <c r="AA115" s="739">
        <f>'OPER.-NONMAJOR SP. REVE (B)(66)'!IS14+'LedgerLoad Assist'!BC118</f>
        <v>0</v>
      </c>
      <c r="AB115" s="739">
        <f t="shared" ref="AB115:AC115" si="90">AA115</f>
        <v>0</v>
      </c>
      <c r="AC115" s="739">
        <f t="shared" si="90"/>
        <v>0</v>
      </c>
    </row>
    <row r="116" spans="1:29">
      <c r="A116" s="739" t="s">
        <v>2025</v>
      </c>
      <c r="B116" s="739" t="s">
        <v>2025</v>
      </c>
      <c r="C116" s="739" t="s">
        <v>2026</v>
      </c>
      <c r="D116" s="739" t="s">
        <v>2026</v>
      </c>
      <c r="E116" s="791">
        <v>420000</v>
      </c>
      <c r="G116" s="739" t="str">
        <f t="shared" si="48"/>
        <v>013801</v>
      </c>
      <c r="J116" s="739">
        <v>2000</v>
      </c>
      <c r="Q116" s="773" t="s">
        <v>2606</v>
      </c>
      <c r="T116" s="775" t="str">
        <f t="shared" si="49"/>
        <v>023801</v>
      </c>
      <c r="W116" s="739" t="s">
        <v>2032</v>
      </c>
      <c r="Y116" s="775">
        <f t="shared" si="50"/>
        <v>2017</v>
      </c>
      <c r="Z116" s="775">
        <v>12</v>
      </c>
      <c r="AA116" s="739">
        <f>'OPER.-NONMAJOR SP. REVE (B)(66)'!IS15+'LedgerLoad Assist'!BC119</f>
        <v>0</v>
      </c>
      <c r="AB116" s="739">
        <f t="shared" ref="AB116:AC116" si="91">AA116</f>
        <v>0</v>
      </c>
      <c r="AC116" s="739">
        <f t="shared" si="91"/>
        <v>0</v>
      </c>
    </row>
    <row r="117" spans="1:29">
      <c r="A117" s="739" t="s">
        <v>2025</v>
      </c>
      <c r="B117" s="739" t="s">
        <v>2025</v>
      </c>
      <c r="C117" s="739" t="s">
        <v>2026</v>
      </c>
      <c r="D117" s="739" t="s">
        <v>2026</v>
      </c>
      <c r="E117" s="791">
        <v>420000</v>
      </c>
      <c r="G117" s="739" t="str">
        <f t="shared" si="48"/>
        <v>013801</v>
      </c>
      <c r="J117" s="739">
        <v>2000</v>
      </c>
      <c r="Q117" s="773">
        <v>610</v>
      </c>
      <c r="T117" s="775" t="str">
        <f t="shared" si="49"/>
        <v>023801</v>
      </c>
      <c r="W117" s="739" t="s">
        <v>2032</v>
      </c>
      <c r="Y117" s="775">
        <f t="shared" si="50"/>
        <v>2017</v>
      </c>
      <c r="Z117" s="775">
        <v>12</v>
      </c>
      <c r="AB117" s="739">
        <f t="shared" ref="AB117:AC117" si="92">AA117</f>
        <v>0</v>
      </c>
      <c r="AC117" s="739">
        <f t="shared" si="92"/>
        <v>0</v>
      </c>
    </row>
    <row r="118" spans="1:29">
      <c r="A118" s="739" t="s">
        <v>2025</v>
      </c>
      <c r="B118" s="739" t="s">
        <v>2025</v>
      </c>
      <c r="C118" s="739" t="s">
        <v>2026</v>
      </c>
      <c r="D118" s="739" t="s">
        <v>2026</v>
      </c>
      <c r="E118" s="791">
        <v>420000</v>
      </c>
      <c r="G118" s="739" t="str">
        <f t="shared" si="48"/>
        <v>013801</v>
      </c>
      <c r="J118" s="739">
        <v>2000</v>
      </c>
      <c r="Q118" s="773">
        <v>620</v>
      </c>
      <c r="T118" s="775" t="str">
        <f t="shared" si="49"/>
        <v>023801</v>
      </c>
      <c r="W118" s="739" t="s">
        <v>2032</v>
      </c>
      <c r="Y118" s="775">
        <f t="shared" si="50"/>
        <v>2017</v>
      </c>
      <c r="Z118" s="775">
        <v>12</v>
      </c>
      <c r="AB118" s="739">
        <f t="shared" ref="AB118:AC118" si="93">AA118</f>
        <v>0</v>
      </c>
      <c r="AC118" s="739">
        <f t="shared" si="93"/>
        <v>0</v>
      </c>
    </row>
    <row r="119" spans="1:29">
      <c r="A119" s="739" t="s">
        <v>2025</v>
      </c>
      <c r="B119" s="739" t="s">
        <v>2025</v>
      </c>
      <c r="C119" s="739" t="s">
        <v>2026</v>
      </c>
      <c r="D119" s="739" t="s">
        <v>2026</v>
      </c>
      <c r="E119" s="791">
        <v>420000</v>
      </c>
      <c r="G119" s="739" t="str">
        <f t="shared" si="48"/>
        <v>013801</v>
      </c>
      <c r="J119" s="739">
        <v>2000</v>
      </c>
      <c r="Q119" s="773">
        <v>900</v>
      </c>
      <c r="T119" s="775" t="str">
        <f t="shared" si="49"/>
        <v>023801</v>
      </c>
      <c r="W119" s="739" t="s">
        <v>2032</v>
      </c>
      <c r="Y119" s="775">
        <f t="shared" si="50"/>
        <v>2017</v>
      </c>
      <c r="Z119" s="775">
        <v>12</v>
      </c>
      <c r="AB119" s="739">
        <f t="shared" ref="AB119:AC119" si="94">AA119</f>
        <v>0</v>
      </c>
      <c r="AC119" s="739">
        <f t="shared" si="94"/>
        <v>0</v>
      </c>
    </row>
    <row r="120" spans="1:29">
      <c r="A120" s="739" t="s">
        <v>2025</v>
      </c>
      <c r="B120" s="739" t="s">
        <v>2025</v>
      </c>
      <c r="C120" s="739" t="s">
        <v>2026</v>
      </c>
      <c r="D120" s="739" t="s">
        <v>2026</v>
      </c>
      <c r="E120" s="791">
        <v>430000</v>
      </c>
      <c r="G120" s="739" t="str">
        <f t="shared" si="48"/>
        <v>013801</v>
      </c>
      <c r="J120" s="739">
        <v>2000</v>
      </c>
      <c r="Q120" s="773">
        <v>100</v>
      </c>
      <c r="T120" s="775" t="str">
        <f t="shared" si="49"/>
        <v>023801</v>
      </c>
      <c r="W120" s="739" t="s">
        <v>2032</v>
      </c>
      <c r="Y120" s="775">
        <f t="shared" si="50"/>
        <v>2017</v>
      </c>
      <c r="Z120" s="775">
        <v>12</v>
      </c>
      <c r="AA120" s="739">
        <f>'OPER.-NONMAJOR SP. REVE (B)(66)'!IS17+'LedgerLoad Assist'!BC123</f>
        <v>60883.06</v>
      </c>
      <c r="AB120" s="739">
        <f t="shared" ref="AB120:AC120" si="95">AA120</f>
        <v>60883.06</v>
      </c>
      <c r="AC120" s="739">
        <f t="shared" si="95"/>
        <v>60883.06</v>
      </c>
    </row>
    <row r="121" spans="1:29">
      <c r="A121" s="739" t="s">
        <v>2025</v>
      </c>
      <c r="B121" s="739" t="s">
        <v>2025</v>
      </c>
      <c r="C121" s="739" t="s">
        <v>2026</v>
      </c>
      <c r="D121" s="739" t="s">
        <v>2026</v>
      </c>
      <c r="E121" s="791">
        <v>430000</v>
      </c>
      <c r="G121" s="739" t="str">
        <f t="shared" si="48"/>
        <v>013801</v>
      </c>
      <c r="J121" s="739">
        <v>2000</v>
      </c>
      <c r="Q121" s="773" t="s">
        <v>2606</v>
      </c>
      <c r="T121" s="775" t="str">
        <f t="shared" si="49"/>
        <v>023801</v>
      </c>
      <c r="W121" s="739" t="s">
        <v>2032</v>
      </c>
      <c r="Y121" s="775">
        <f t="shared" si="50"/>
        <v>2017</v>
      </c>
      <c r="Z121" s="775">
        <v>12</v>
      </c>
      <c r="AA121" s="739">
        <f>'OPER.-NONMAJOR SP. REVE (B)(66)'!IS18+'LedgerLoad Assist'!BC124</f>
        <v>43298.710000000006</v>
      </c>
      <c r="AB121" s="739">
        <f t="shared" ref="AB121:AC121" si="96">AA121</f>
        <v>43298.710000000006</v>
      </c>
      <c r="AC121" s="739">
        <f t="shared" si="96"/>
        <v>43298.710000000006</v>
      </c>
    </row>
    <row r="122" spans="1:29">
      <c r="A122" s="739" t="s">
        <v>2025</v>
      </c>
      <c r="B122" s="739" t="s">
        <v>2025</v>
      </c>
      <c r="C122" s="739" t="s">
        <v>2026</v>
      </c>
      <c r="D122" s="739" t="s">
        <v>2026</v>
      </c>
      <c r="E122" s="791">
        <v>430000</v>
      </c>
      <c r="G122" s="739" t="str">
        <f t="shared" si="48"/>
        <v>013801</v>
      </c>
      <c r="J122" s="739">
        <v>2000</v>
      </c>
      <c r="Q122" s="773">
        <v>610</v>
      </c>
      <c r="T122" s="775" t="str">
        <f t="shared" si="49"/>
        <v>023801</v>
      </c>
      <c r="W122" s="739" t="s">
        <v>2032</v>
      </c>
      <c r="Y122" s="775">
        <f t="shared" si="50"/>
        <v>2017</v>
      </c>
      <c r="Z122" s="775">
        <v>12</v>
      </c>
      <c r="AB122" s="739">
        <f t="shared" ref="AB122:AC122" si="97">AA122</f>
        <v>0</v>
      </c>
      <c r="AC122" s="739">
        <f t="shared" si="97"/>
        <v>0</v>
      </c>
    </row>
    <row r="123" spans="1:29">
      <c r="A123" s="739" t="s">
        <v>2025</v>
      </c>
      <c r="B123" s="739" t="s">
        <v>2025</v>
      </c>
      <c r="C123" s="739" t="s">
        <v>2026</v>
      </c>
      <c r="D123" s="739" t="s">
        <v>2026</v>
      </c>
      <c r="E123" s="791">
        <v>430000</v>
      </c>
      <c r="G123" s="739" t="str">
        <f t="shared" si="48"/>
        <v>013801</v>
      </c>
      <c r="J123" s="739">
        <v>2000</v>
      </c>
      <c r="Q123" s="773">
        <v>620</v>
      </c>
      <c r="T123" s="775" t="str">
        <f t="shared" si="49"/>
        <v>023801</v>
      </c>
      <c r="W123" s="739" t="s">
        <v>2032</v>
      </c>
      <c r="Y123" s="775">
        <f t="shared" si="50"/>
        <v>2017</v>
      </c>
      <c r="Z123" s="775">
        <v>12</v>
      </c>
      <c r="AB123" s="739">
        <f t="shared" ref="AB123:AC123" si="98">AA123</f>
        <v>0</v>
      </c>
      <c r="AC123" s="739">
        <f t="shared" si="98"/>
        <v>0</v>
      </c>
    </row>
    <row r="124" spans="1:29">
      <c r="A124" s="739" t="s">
        <v>2025</v>
      </c>
      <c r="B124" s="739" t="s">
        <v>2025</v>
      </c>
      <c r="C124" s="739" t="s">
        <v>2026</v>
      </c>
      <c r="D124" s="739" t="s">
        <v>2026</v>
      </c>
      <c r="E124" s="791">
        <v>430000</v>
      </c>
      <c r="G124" s="739" t="str">
        <f t="shared" si="48"/>
        <v>013801</v>
      </c>
      <c r="J124" s="739">
        <v>2000</v>
      </c>
      <c r="Q124" s="773">
        <v>900</v>
      </c>
      <c r="T124" s="775" t="str">
        <f t="shared" si="49"/>
        <v>023801</v>
      </c>
      <c r="W124" s="739" t="s">
        <v>2032</v>
      </c>
      <c r="Y124" s="775">
        <f t="shared" si="50"/>
        <v>2017</v>
      </c>
      <c r="Z124" s="775">
        <v>12</v>
      </c>
      <c r="AB124" s="739">
        <f t="shared" ref="AB124:AC124" si="99">AA124</f>
        <v>0</v>
      </c>
      <c r="AC124" s="739">
        <f t="shared" si="99"/>
        <v>0</v>
      </c>
    </row>
    <row r="125" spans="1:29">
      <c r="A125" s="739" t="s">
        <v>2025</v>
      </c>
      <c r="B125" s="739" t="s">
        <v>2025</v>
      </c>
      <c r="C125" s="739" t="s">
        <v>2026</v>
      </c>
      <c r="D125" s="739" t="s">
        <v>2026</v>
      </c>
      <c r="E125" s="791">
        <v>440000</v>
      </c>
      <c r="G125" s="739" t="str">
        <f t="shared" si="48"/>
        <v>013801</v>
      </c>
      <c r="J125" s="739">
        <v>2000</v>
      </c>
      <c r="Q125" s="773">
        <v>100</v>
      </c>
      <c r="T125" s="775" t="str">
        <f t="shared" si="49"/>
        <v>023801</v>
      </c>
      <c r="W125" s="739" t="s">
        <v>2032</v>
      </c>
      <c r="Y125" s="775">
        <f t="shared" si="50"/>
        <v>2017</v>
      </c>
      <c r="Z125" s="775">
        <v>12</v>
      </c>
      <c r="AA125" s="739">
        <f>'OPER.-NONMAJOR SP. REVE (B)(66)'!IS20+'LedgerLoad Assist'!BC128</f>
        <v>0</v>
      </c>
      <c r="AB125" s="739">
        <f t="shared" ref="AB125:AC125" si="100">AA125</f>
        <v>0</v>
      </c>
      <c r="AC125" s="739">
        <f t="shared" si="100"/>
        <v>0</v>
      </c>
    </row>
    <row r="126" spans="1:29">
      <c r="A126" s="739" t="s">
        <v>2025</v>
      </c>
      <c r="B126" s="739" t="s">
        <v>2025</v>
      </c>
      <c r="C126" s="739" t="s">
        <v>2026</v>
      </c>
      <c r="D126" s="739" t="s">
        <v>2026</v>
      </c>
      <c r="E126" s="791">
        <v>440000</v>
      </c>
      <c r="G126" s="739" t="str">
        <f t="shared" si="48"/>
        <v>013801</v>
      </c>
      <c r="J126" s="739">
        <v>2000</v>
      </c>
      <c r="Q126" s="773" t="s">
        <v>2606</v>
      </c>
      <c r="T126" s="775" t="str">
        <f t="shared" si="49"/>
        <v>023801</v>
      </c>
      <c r="W126" s="739" t="s">
        <v>2032</v>
      </c>
      <c r="Y126" s="775">
        <f t="shared" si="50"/>
        <v>2017</v>
      </c>
      <c r="Z126" s="775">
        <v>12</v>
      </c>
      <c r="AA126" s="739">
        <f>'OPER.-NONMAJOR SP. REVE (B)(66)'!IS21+'LedgerLoad Assist'!BC129</f>
        <v>0</v>
      </c>
      <c r="AB126" s="739">
        <f t="shared" ref="AB126:AC126" si="101">AA126</f>
        <v>0</v>
      </c>
      <c r="AC126" s="739">
        <f t="shared" si="101"/>
        <v>0</v>
      </c>
    </row>
    <row r="127" spans="1:29">
      <c r="A127" s="739" t="s">
        <v>2025</v>
      </c>
      <c r="B127" s="739" t="s">
        <v>2025</v>
      </c>
      <c r="C127" s="739" t="s">
        <v>2026</v>
      </c>
      <c r="D127" s="739" t="s">
        <v>2026</v>
      </c>
      <c r="E127" s="791">
        <v>440000</v>
      </c>
      <c r="G127" s="739" t="str">
        <f t="shared" si="48"/>
        <v>013801</v>
      </c>
      <c r="J127" s="739">
        <v>2000</v>
      </c>
      <c r="Q127" s="773">
        <v>610</v>
      </c>
      <c r="T127" s="775" t="str">
        <f t="shared" si="49"/>
        <v>023801</v>
      </c>
      <c r="W127" s="739" t="s">
        <v>2032</v>
      </c>
      <c r="Y127" s="775">
        <f t="shared" si="50"/>
        <v>2017</v>
      </c>
      <c r="Z127" s="775">
        <v>12</v>
      </c>
      <c r="AB127" s="739">
        <f t="shared" ref="AB127:AC127" si="102">AA127</f>
        <v>0</v>
      </c>
      <c r="AC127" s="739">
        <f t="shared" si="102"/>
        <v>0</v>
      </c>
    </row>
    <row r="128" spans="1:29">
      <c r="A128" s="739" t="s">
        <v>2025</v>
      </c>
      <c r="B128" s="739" t="s">
        <v>2025</v>
      </c>
      <c r="C128" s="739" t="s">
        <v>2026</v>
      </c>
      <c r="D128" s="739" t="s">
        <v>2026</v>
      </c>
      <c r="E128" s="791">
        <v>440000</v>
      </c>
      <c r="G128" s="739" t="str">
        <f t="shared" si="48"/>
        <v>013801</v>
      </c>
      <c r="J128" s="739">
        <v>2000</v>
      </c>
      <c r="Q128" s="773">
        <v>620</v>
      </c>
      <c r="T128" s="775" t="str">
        <f t="shared" si="49"/>
        <v>023801</v>
      </c>
      <c r="W128" s="739" t="s">
        <v>2032</v>
      </c>
      <c r="Y128" s="775">
        <f t="shared" si="50"/>
        <v>2017</v>
      </c>
      <c r="Z128" s="775">
        <v>12</v>
      </c>
      <c r="AB128" s="739">
        <f t="shared" ref="AB128:AC128" si="103">AA128</f>
        <v>0</v>
      </c>
      <c r="AC128" s="739">
        <f t="shared" si="103"/>
        <v>0</v>
      </c>
    </row>
    <row r="129" spans="1:29">
      <c r="A129" s="739" t="s">
        <v>2025</v>
      </c>
      <c r="B129" s="739" t="s">
        <v>2025</v>
      </c>
      <c r="C129" s="739" t="s">
        <v>2026</v>
      </c>
      <c r="D129" s="739" t="s">
        <v>2026</v>
      </c>
      <c r="E129" s="791">
        <v>440000</v>
      </c>
      <c r="G129" s="739" t="str">
        <f t="shared" si="48"/>
        <v>013801</v>
      </c>
      <c r="J129" s="739">
        <v>2000</v>
      </c>
      <c r="Q129" s="773">
        <v>900</v>
      </c>
      <c r="T129" s="775" t="str">
        <f t="shared" si="49"/>
        <v>023801</v>
      </c>
      <c r="W129" s="739" t="s">
        <v>2032</v>
      </c>
      <c r="Y129" s="775">
        <f t="shared" si="50"/>
        <v>2017</v>
      </c>
      <c r="Z129" s="775">
        <v>12</v>
      </c>
      <c r="AB129" s="739">
        <f t="shared" ref="AB129:AC129" si="104">AA129</f>
        <v>0</v>
      </c>
      <c r="AC129" s="739">
        <f t="shared" si="104"/>
        <v>0</v>
      </c>
    </row>
    <row r="130" spans="1:29">
      <c r="A130" s="739" t="s">
        <v>2025</v>
      </c>
      <c r="B130" s="739" t="s">
        <v>2025</v>
      </c>
      <c r="C130" s="739" t="s">
        <v>2026</v>
      </c>
      <c r="D130" s="739" t="s">
        <v>2026</v>
      </c>
      <c r="E130" s="791">
        <v>450000</v>
      </c>
      <c r="G130" s="739" t="str">
        <f t="shared" si="48"/>
        <v>013801</v>
      </c>
      <c r="J130" s="739">
        <v>2000</v>
      </c>
      <c r="Q130" s="773">
        <v>100</v>
      </c>
      <c r="T130" s="775" t="str">
        <f t="shared" si="49"/>
        <v>023801</v>
      </c>
      <c r="W130" s="739" t="s">
        <v>2032</v>
      </c>
      <c r="Y130" s="775">
        <f t="shared" si="50"/>
        <v>2017</v>
      </c>
      <c r="Z130" s="775">
        <v>12</v>
      </c>
      <c r="AA130" s="739">
        <f>'OPER.-NONMAJOR SP. REVE (B)(66)'!IS23+'LedgerLoad Assist'!BC133</f>
        <v>0</v>
      </c>
      <c r="AB130" s="739">
        <f t="shared" ref="AB130:AC130" si="105">AA130</f>
        <v>0</v>
      </c>
      <c r="AC130" s="739">
        <f t="shared" si="105"/>
        <v>0</v>
      </c>
    </row>
    <row r="131" spans="1:29">
      <c r="A131" s="739" t="s">
        <v>2025</v>
      </c>
      <c r="B131" s="739" t="s">
        <v>2025</v>
      </c>
      <c r="C131" s="739" t="s">
        <v>2026</v>
      </c>
      <c r="D131" s="739" t="s">
        <v>2026</v>
      </c>
      <c r="E131" s="791">
        <v>450000</v>
      </c>
      <c r="G131" s="739" t="str">
        <f t="shared" si="48"/>
        <v>013801</v>
      </c>
      <c r="J131" s="739">
        <v>2000</v>
      </c>
      <c r="Q131" s="773" t="s">
        <v>2606</v>
      </c>
      <c r="T131" s="775" t="str">
        <f t="shared" si="49"/>
        <v>023801</v>
      </c>
      <c r="W131" s="739" t="s">
        <v>2032</v>
      </c>
      <c r="Y131" s="775">
        <f t="shared" si="50"/>
        <v>2017</v>
      </c>
      <c r="Z131" s="775">
        <v>12</v>
      </c>
      <c r="AA131" s="739">
        <f>'OPER.-NONMAJOR SP. REVE (B)(66)'!IS24+'LedgerLoad Assist'!BC134</f>
        <v>0</v>
      </c>
      <c r="AB131" s="739">
        <f t="shared" ref="AB131:AC131" si="106">AA131</f>
        <v>0</v>
      </c>
      <c r="AC131" s="739">
        <f t="shared" si="106"/>
        <v>0</v>
      </c>
    </row>
    <row r="132" spans="1:29">
      <c r="A132" s="739" t="s">
        <v>2025</v>
      </c>
      <c r="B132" s="739" t="s">
        <v>2025</v>
      </c>
      <c r="C132" s="739" t="s">
        <v>2026</v>
      </c>
      <c r="D132" s="739" t="s">
        <v>2026</v>
      </c>
      <c r="E132" s="791">
        <v>450000</v>
      </c>
      <c r="G132" s="739" t="str">
        <f t="shared" si="48"/>
        <v>013801</v>
      </c>
      <c r="J132" s="739">
        <v>2000</v>
      </c>
      <c r="Q132" s="773">
        <v>610</v>
      </c>
      <c r="T132" s="775" t="str">
        <f t="shared" si="49"/>
        <v>023801</v>
      </c>
      <c r="W132" s="739" t="s">
        <v>2032</v>
      </c>
      <c r="Y132" s="775">
        <f t="shared" si="50"/>
        <v>2017</v>
      </c>
      <c r="Z132" s="775">
        <v>12</v>
      </c>
      <c r="AB132" s="739">
        <f t="shared" ref="AB132:AC132" si="107">AA132</f>
        <v>0</v>
      </c>
      <c r="AC132" s="739">
        <f t="shared" si="107"/>
        <v>0</v>
      </c>
    </row>
    <row r="133" spans="1:29">
      <c r="A133" s="739" t="s">
        <v>2025</v>
      </c>
      <c r="B133" s="739" t="s">
        <v>2025</v>
      </c>
      <c r="C133" s="739" t="s">
        <v>2026</v>
      </c>
      <c r="D133" s="739" t="s">
        <v>2026</v>
      </c>
      <c r="E133" s="791">
        <v>450000</v>
      </c>
      <c r="G133" s="739" t="str">
        <f t="shared" si="48"/>
        <v>013801</v>
      </c>
      <c r="J133" s="739">
        <v>2000</v>
      </c>
      <c r="Q133" s="773">
        <v>620</v>
      </c>
      <c r="T133" s="775" t="str">
        <f t="shared" si="49"/>
        <v>023801</v>
      </c>
      <c r="W133" s="739" t="s">
        <v>2032</v>
      </c>
      <c r="Y133" s="775">
        <f t="shared" si="50"/>
        <v>2017</v>
      </c>
      <c r="Z133" s="775">
        <v>12</v>
      </c>
      <c r="AB133" s="739">
        <f t="shared" ref="AB133:AC133" si="108">AA133</f>
        <v>0</v>
      </c>
      <c r="AC133" s="739">
        <f t="shared" si="108"/>
        <v>0</v>
      </c>
    </row>
    <row r="134" spans="1:29">
      <c r="A134" s="739" t="s">
        <v>2025</v>
      </c>
      <c r="B134" s="739" t="s">
        <v>2025</v>
      </c>
      <c r="C134" s="739" t="s">
        <v>2026</v>
      </c>
      <c r="D134" s="739" t="s">
        <v>2026</v>
      </c>
      <c r="E134" s="791">
        <v>450000</v>
      </c>
      <c r="G134" s="739" t="str">
        <f t="shared" si="48"/>
        <v>013801</v>
      </c>
      <c r="J134" s="739">
        <v>2000</v>
      </c>
      <c r="Q134" s="773">
        <v>900</v>
      </c>
      <c r="T134" s="775" t="str">
        <f t="shared" si="49"/>
        <v>023801</v>
      </c>
      <c r="W134" s="739" t="s">
        <v>2032</v>
      </c>
      <c r="Y134" s="775">
        <f t="shared" si="50"/>
        <v>2017</v>
      </c>
      <c r="Z134" s="775">
        <v>12</v>
      </c>
      <c r="AB134" s="739">
        <f t="shared" ref="AB134:AC134" si="109">AA134</f>
        <v>0</v>
      </c>
      <c r="AC134" s="739">
        <f t="shared" si="109"/>
        <v>0</v>
      </c>
    </row>
    <row r="135" spans="1:29">
      <c r="A135" s="739" t="s">
        <v>2025</v>
      </c>
      <c r="B135" s="739" t="s">
        <v>2025</v>
      </c>
      <c r="C135" s="739" t="s">
        <v>2026</v>
      </c>
      <c r="D135" s="739" t="s">
        <v>2026</v>
      </c>
      <c r="E135" s="791">
        <v>460000</v>
      </c>
      <c r="G135" s="739" t="str">
        <f t="shared" si="48"/>
        <v>013801</v>
      </c>
      <c r="J135" s="739">
        <v>2000</v>
      </c>
      <c r="Q135" s="773">
        <v>100</v>
      </c>
      <c r="T135" s="775" t="str">
        <f t="shared" si="49"/>
        <v>023801</v>
      </c>
      <c r="W135" s="739" t="s">
        <v>2032</v>
      </c>
      <c r="Y135" s="775">
        <f t="shared" si="50"/>
        <v>2017</v>
      </c>
      <c r="Z135" s="775">
        <v>12</v>
      </c>
      <c r="AA135" s="739">
        <f>'OPER.-NONMAJOR SP. REVE (B)(66)'!IS26+'LedgerLoad Assist'!BC138</f>
        <v>806.53</v>
      </c>
      <c r="AB135" s="739">
        <f t="shared" ref="AB135:AC135" si="110">AA135</f>
        <v>806.53</v>
      </c>
      <c r="AC135" s="739">
        <f t="shared" si="110"/>
        <v>806.53</v>
      </c>
    </row>
    <row r="136" spans="1:29">
      <c r="A136" s="739" t="s">
        <v>2025</v>
      </c>
      <c r="B136" s="739" t="s">
        <v>2025</v>
      </c>
      <c r="C136" s="739" t="s">
        <v>2026</v>
      </c>
      <c r="D136" s="739" t="s">
        <v>2026</v>
      </c>
      <c r="E136" s="791">
        <v>460000</v>
      </c>
      <c r="G136" s="739" t="str">
        <f t="shared" ref="G136:G199" si="111">$G$6</f>
        <v>013801</v>
      </c>
      <c r="J136" s="739">
        <v>2000</v>
      </c>
      <c r="Q136" s="773" t="s">
        <v>2606</v>
      </c>
      <c r="T136" s="775" t="str">
        <f t="shared" ref="T136:T199" si="112">$T$6</f>
        <v>023801</v>
      </c>
      <c r="W136" s="739" t="s">
        <v>2032</v>
      </c>
      <c r="Y136" s="775">
        <f t="shared" ref="Y136:Y199" si="113">$Y$6</f>
        <v>2017</v>
      </c>
      <c r="Z136" s="775">
        <v>12</v>
      </c>
      <c r="AA136" s="739">
        <f>'OPER.-NONMAJOR SP. REVE (B)(66)'!IS27+'LedgerLoad Assist'!BC139</f>
        <v>0</v>
      </c>
      <c r="AB136" s="739">
        <f t="shared" ref="AB136:AC136" si="114">AA136</f>
        <v>0</v>
      </c>
      <c r="AC136" s="739">
        <f t="shared" si="114"/>
        <v>0</v>
      </c>
    </row>
    <row r="137" spans="1:29">
      <c r="A137" s="739" t="s">
        <v>2025</v>
      </c>
      <c r="B137" s="739" t="s">
        <v>2025</v>
      </c>
      <c r="C137" s="739" t="s">
        <v>2026</v>
      </c>
      <c r="D137" s="739" t="s">
        <v>2026</v>
      </c>
      <c r="E137" s="791">
        <v>460000</v>
      </c>
      <c r="G137" s="739" t="str">
        <f t="shared" si="111"/>
        <v>013801</v>
      </c>
      <c r="J137" s="739">
        <v>2000</v>
      </c>
      <c r="Q137" s="773">
        <v>610</v>
      </c>
      <c r="T137" s="775" t="str">
        <f t="shared" si="112"/>
        <v>023801</v>
      </c>
      <c r="W137" s="739" t="s">
        <v>2032</v>
      </c>
      <c r="Y137" s="775">
        <f t="shared" si="113"/>
        <v>2017</v>
      </c>
      <c r="Z137" s="775">
        <v>12</v>
      </c>
      <c r="AB137" s="739">
        <f t="shared" ref="AB137:AC137" si="115">AA137</f>
        <v>0</v>
      </c>
      <c r="AC137" s="739">
        <f t="shared" si="115"/>
        <v>0</v>
      </c>
    </row>
    <row r="138" spans="1:29">
      <c r="A138" s="739" t="s">
        <v>2025</v>
      </c>
      <c r="B138" s="739" t="s">
        <v>2025</v>
      </c>
      <c r="C138" s="739" t="s">
        <v>2026</v>
      </c>
      <c r="D138" s="739" t="s">
        <v>2026</v>
      </c>
      <c r="E138" s="791">
        <v>460000</v>
      </c>
      <c r="G138" s="739" t="str">
        <f t="shared" si="111"/>
        <v>013801</v>
      </c>
      <c r="J138" s="739">
        <v>2000</v>
      </c>
      <c r="Q138" s="773">
        <v>620</v>
      </c>
      <c r="T138" s="775" t="str">
        <f t="shared" si="112"/>
        <v>023801</v>
      </c>
      <c r="W138" s="739" t="s">
        <v>2032</v>
      </c>
      <c r="Y138" s="775">
        <f t="shared" si="113"/>
        <v>2017</v>
      </c>
      <c r="Z138" s="775">
        <v>12</v>
      </c>
      <c r="AB138" s="739">
        <f t="shared" ref="AB138:AC138" si="116">AA138</f>
        <v>0</v>
      </c>
      <c r="AC138" s="739">
        <f t="shared" si="116"/>
        <v>0</v>
      </c>
    </row>
    <row r="139" spans="1:29">
      <c r="A139" s="739" t="s">
        <v>2025</v>
      </c>
      <c r="B139" s="739" t="s">
        <v>2025</v>
      </c>
      <c r="C139" s="739" t="s">
        <v>2026</v>
      </c>
      <c r="D139" s="739" t="s">
        <v>2026</v>
      </c>
      <c r="E139" s="791">
        <v>460000</v>
      </c>
      <c r="G139" s="739" t="str">
        <f t="shared" si="111"/>
        <v>013801</v>
      </c>
      <c r="J139" s="739">
        <v>2000</v>
      </c>
      <c r="Q139" s="773">
        <v>900</v>
      </c>
      <c r="T139" s="775" t="str">
        <f t="shared" si="112"/>
        <v>023801</v>
      </c>
      <c r="W139" s="739" t="s">
        <v>2032</v>
      </c>
      <c r="Y139" s="775">
        <f t="shared" si="113"/>
        <v>2017</v>
      </c>
      <c r="Z139" s="775">
        <v>12</v>
      </c>
      <c r="AB139" s="739">
        <f t="shared" ref="AB139:AC139" si="117">AA139</f>
        <v>0</v>
      </c>
      <c r="AC139" s="739">
        <f t="shared" si="117"/>
        <v>0</v>
      </c>
    </row>
    <row r="140" spans="1:29">
      <c r="A140" s="739" t="s">
        <v>2025</v>
      </c>
      <c r="B140" s="739" t="s">
        <v>2025</v>
      </c>
      <c r="C140" s="739" t="s">
        <v>2026</v>
      </c>
      <c r="D140" s="739" t="s">
        <v>2026</v>
      </c>
      <c r="E140" s="791">
        <v>470000</v>
      </c>
      <c r="G140" s="739" t="str">
        <f t="shared" si="111"/>
        <v>013801</v>
      </c>
      <c r="J140" s="739">
        <v>2000</v>
      </c>
      <c r="Q140" s="773">
        <v>100</v>
      </c>
      <c r="T140" s="775" t="str">
        <f t="shared" si="112"/>
        <v>023801</v>
      </c>
      <c r="W140" s="739" t="s">
        <v>2032</v>
      </c>
      <c r="Y140" s="775">
        <f t="shared" si="113"/>
        <v>2017</v>
      </c>
      <c r="Z140" s="775">
        <v>12</v>
      </c>
      <c r="AA140" s="739">
        <f>'OPER.-NONMAJOR SP. REVE (B)(66)'!IS29+'LedgerLoad Assist'!BC143</f>
        <v>0</v>
      </c>
      <c r="AB140" s="739">
        <f t="shared" ref="AB140:AC140" si="118">AA140</f>
        <v>0</v>
      </c>
      <c r="AC140" s="739">
        <f t="shared" si="118"/>
        <v>0</v>
      </c>
    </row>
    <row r="141" spans="1:29">
      <c r="A141" s="739" t="s">
        <v>2025</v>
      </c>
      <c r="B141" s="739" t="s">
        <v>2025</v>
      </c>
      <c r="C141" s="739" t="s">
        <v>2026</v>
      </c>
      <c r="D141" s="739" t="s">
        <v>2026</v>
      </c>
      <c r="E141" s="791">
        <v>470000</v>
      </c>
      <c r="G141" s="739" t="str">
        <f t="shared" si="111"/>
        <v>013801</v>
      </c>
      <c r="J141" s="739">
        <v>2000</v>
      </c>
      <c r="Q141" s="773" t="s">
        <v>2606</v>
      </c>
      <c r="T141" s="775" t="str">
        <f t="shared" si="112"/>
        <v>023801</v>
      </c>
      <c r="W141" s="739" t="s">
        <v>2032</v>
      </c>
      <c r="Y141" s="775">
        <f t="shared" si="113"/>
        <v>2017</v>
      </c>
      <c r="Z141" s="775">
        <v>12</v>
      </c>
      <c r="AA141" s="739">
        <f>'OPER.-NONMAJOR SP. REVE (B)(66)'!IS30+'LedgerLoad Assist'!BC144</f>
        <v>0</v>
      </c>
      <c r="AB141" s="739">
        <f t="shared" ref="AB141:AC141" si="119">AA141</f>
        <v>0</v>
      </c>
      <c r="AC141" s="739">
        <f t="shared" si="119"/>
        <v>0</v>
      </c>
    </row>
    <row r="142" spans="1:29">
      <c r="A142" s="739" t="s">
        <v>2025</v>
      </c>
      <c r="B142" s="739" t="s">
        <v>2025</v>
      </c>
      <c r="C142" s="739" t="s">
        <v>2026</v>
      </c>
      <c r="D142" s="739" t="s">
        <v>2026</v>
      </c>
      <c r="E142" s="791">
        <v>470000</v>
      </c>
      <c r="G142" s="739" t="str">
        <f t="shared" si="111"/>
        <v>013801</v>
      </c>
      <c r="J142" s="739">
        <v>2000</v>
      </c>
      <c r="Q142" s="773">
        <v>610</v>
      </c>
      <c r="T142" s="775" t="str">
        <f t="shared" si="112"/>
        <v>023801</v>
      </c>
      <c r="W142" s="739" t="s">
        <v>2032</v>
      </c>
      <c r="Y142" s="775">
        <f t="shared" si="113"/>
        <v>2017</v>
      </c>
      <c r="Z142" s="775">
        <v>12</v>
      </c>
      <c r="AB142" s="739">
        <f t="shared" ref="AB142:AC142" si="120">AA142</f>
        <v>0</v>
      </c>
      <c r="AC142" s="739">
        <f t="shared" si="120"/>
        <v>0</v>
      </c>
    </row>
    <row r="143" spans="1:29">
      <c r="A143" s="739" t="s">
        <v>2025</v>
      </c>
      <c r="B143" s="739" t="s">
        <v>2025</v>
      </c>
      <c r="C143" s="739" t="s">
        <v>2026</v>
      </c>
      <c r="D143" s="739" t="s">
        <v>2026</v>
      </c>
      <c r="E143" s="791">
        <v>470000</v>
      </c>
      <c r="G143" s="739" t="str">
        <f t="shared" si="111"/>
        <v>013801</v>
      </c>
      <c r="J143" s="739">
        <v>2000</v>
      </c>
      <c r="Q143" s="773">
        <v>620</v>
      </c>
      <c r="T143" s="775" t="str">
        <f t="shared" si="112"/>
        <v>023801</v>
      </c>
      <c r="W143" s="739" t="s">
        <v>2032</v>
      </c>
      <c r="Y143" s="775">
        <f t="shared" si="113"/>
        <v>2017</v>
      </c>
      <c r="Z143" s="775">
        <v>12</v>
      </c>
      <c r="AB143" s="739">
        <f t="shared" ref="AB143:AC143" si="121">AA143</f>
        <v>0</v>
      </c>
      <c r="AC143" s="739">
        <f t="shared" si="121"/>
        <v>0</v>
      </c>
    </row>
    <row r="144" spans="1:29">
      <c r="A144" s="739" t="s">
        <v>2025</v>
      </c>
      <c r="B144" s="739" t="s">
        <v>2025</v>
      </c>
      <c r="C144" s="739" t="s">
        <v>2026</v>
      </c>
      <c r="D144" s="739" t="s">
        <v>2026</v>
      </c>
      <c r="E144" s="791">
        <v>470000</v>
      </c>
      <c r="G144" s="739" t="str">
        <f t="shared" si="111"/>
        <v>013801</v>
      </c>
      <c r="J144" s="739">
        <v>2000</v>
      </c>
      <c r="Q144" s="773">
        <v>900</v>
      </c>
      <c r="T144" s="775" t="str">
        <f t="shared" si="112"/>
        <v>023801</v>
      </c>
      <c r="W144" s="739" t="s">
        <v>2032</v>
      </c>
      <c r="Y144" s="775">
        <f t="shared" si="113"/>
        <v>2017</v>
      </c>
      <c r="Z144" s="775">
        <v>12</v>
      </c>
      <c r="AB144" s="739">
        <f t="shared" ref="AB144:AC144" si="122">AA144</f>
        <v>0</v>
      </c>
      <c r="AC144" s="739">
        <f t="shared" si="122"/>
        <v>0</v>
      </c>
    </row>
    <row r="145" spans="1:29">
      <c r="A145" s="739" t="s">
        <v>2025</v>
      </c>
      <c r="B145" s="739" t="s">
        <v>2025</v>
      </c>
      <c r="C145" s="739" t="s">
        <v>2026</v>
      </c>
      <c r="D145" s="739" t="s">
        <v>2026</v>
      </c>
      <c r="E145" s="791">
        <v>480000</v>
      </c>
      <c r="G145" s="739" t="str">
        <f t="shared" si="111"/>
        <v>013801</v>
      </c>
      <c r="J145" s="739">
        <v>2000</v>
      </c>
      <c r="Q145" s="773">
        <v>100</v>
      </c>
      <c r="T145" s="775" t="str">
        <f t="shared" si="112"/>
        <v>023801</v>
      </c>
      <c r="W145" s="739" t="s">
        <v>2032</v>
      </c>
      <c r="Y145" s="775">
        <f t="shared" si="113"/>
        <v>2017</v>
      </c>
      <c r="Z145" s="775">
        <v>12</v>
      </c>
      <c r="AA145" s="739">
        <f>'OPER.-NONMAJOR SP. REVE (B)(66)'!IS32+'LedgerLoad Assist'!BC148</f>
        <v>0</v>
      </c>
      <c r="AB145" s="739">
        <f t="shared" ref="AB145:AC145" si="123">AA145</f>
        <v>0</v>
      </c>
      <c r="AC145" s="739">
        <f t="shared" si="123"/>
        <v>0</v>
      </c>
    </row>
    <row r="146" spans="1:29">
      <c r="A146" s="739" t="s">
        <v>2025</v>
      </c>
      <c r="B146" s="739" t="s">
        <v>2025</v>
      </c>
      <c r="C146" s="739" t="s">
        <v>2026</v>
      </c>
      <c r="D146" s="739" t="s">
        <v>2026</v>
      </c>
      <c r="E146" s="791">
        <v>480000</v>
      </c>
      <c r="G146" s="739" t="str">
        <f t="shared" si="111"/>
        <v>013801</v>
      </c>
      <c r="J146" s="739">
        <v>2000</v>
      </c>
      <c r="Q146" s="773" t="s">
        <v>2606</v>
      </c>
      <c r="T146" s="775" t="str">
        <f t="shared" si="112"/>
        <v>023801</v>
      </c>
      <c r="W146" s="739" t="s">
        <v>2032</v>
      </c>
      <c r="Y146" s="775">
        <f t="shared" si="113"/>
        <v>2017</v>
      </c>
      <c r="Z146" s="775">
        <v>12</v>
      </c>
      <c r="AA146" s="739">
        <f>'OPER.-NONMAJOR SP. REVE (B)(66)'!IS33+'LedgerLoad Assist'!BC149</f>
        <v>0</v>
      </c>
      <c r="AB146" s="739">
        <f t="shared" ref="AB146:AC146" si="124">AA146</f>
        <v>0</v>
      </c>
      <c r="AC146" s="739">
        <f t="shared" si="124"/>
        <v>0</v>
      </c>
    </row>
    <row r="147" spans="1:29">
      <c r="A147" s="739" t="s">
        <v>2025</v>
      </c>
      <c r="B147" s="739" t="s">
        <v>2025</v>
      </c>
      <c r="C147" s="739" t="s">
        <v>2026</v>
      </c>
      <c r="D147" s="739" t="s">
        <v>2026</v>
      </c>
      <c r="E147" s="791">
        <v>480000</v>
      </c>
      <c r="G147" s="739" t="str">
        <f t="shared" si="111"/>
        <v>013801</v>
      </c>
      <c r="J147" s="739">
        <v>2000</v>
      </c>
      <c r="Q147" s="773">
        <v>610</v>
      </c>
      <c r="T147" s="775" t="str">
        <f t="shared" si="112"/>
        <v>023801</v>
      </c>
      <c r="W147" s="739" t="s">
        <v>2032</v>
      </c>
      <c r="Y147" s="775">
        <f t="shared" si="113"/>
        <v>2017</v>
      </c>
      <c r="Z147" s="775">
        <v>12</v>
      </c>
      <c r="AB147" s="739">
        <f t="shared" ref="AB147:AC147" si="125">AA147</f>
        <v>0</v>
      </c>
      <c r="AC147" s="739">
        <f t="shared" si="125"/>
        <v>0</v>
      </c>
    </row>
    <row r="148" spans="1:29">
      <c r="A148" s="739" t="s">
        <v>2025</v>
      </c>
      <c r="B148" s="739" t="s">
        <v>2025</v>
      </c>
      <c r="C148" s="739" t="s">
        <v>2026</v>
      </c>
      <c r="D148" s="739" t="s">
        <v>2026</v>
      </c>
      <c r="E148" s="791">
        <v>480000</v>
      </c>
      <c r="G148" s="739" t="str">
        <f t="shared" si="111"/>
        <v>013801</v>
      </c>
      <c r="J148" s="739">
        <v>2000</v>
      </c>
      <c r="Q148" s="773">
        <v>620</v>
      </c>
      <c r="T148" s="775" t="str">
        <f t="shared" si="112"/>
        <v>023801</v>
      </c>
      <c r="W148" s="739" t="s">
        <v>2032</v>
      </c>
      <c r="Y148" s="775">
        <f t="shared" si="113"/>
        <v>2017</v>
      </c>
      <c r="Z148" s="775">
        <v>12</v>
      </c>
      <c r="AB148" s="739">
        <f t="shared" ref="AB148:AC148" si="126">AA148</f>
        <v>0</v>
      </c>
      <c r="AC148" s="739">
        <f t="shared" si="126"/>
        <v>0</v>
      </c>
    </row>
    <row r="149" spans="1:29">
      <c r="A149" s="739" t="s">
        <v>2025</v>
      </c>
      <c r="B149" s="739" t="s">
        <v>2025</v>
      </c>
      <c r="C149" s="739" t="s">
        <v>2026</v>
      </c>
      <c r="D149" s="739" t="s">
        <v>2026</v>
      </c>
      <c r="E149" s="791">
        <v>480000</v>
      </c>
      <c r="G149" s="739" t="str">
        <f t="shared" si="111"/>
        <v>013801</v>
      </c>
      <c r="J149" s="739">
        <v>2000</v>
      </c>
      <c r="Q149" s="773">
        <v>900</v>
      </c>
      <c r="T149" s="775" t="str">
        <f t="shared" si="112"/>
        <v>023801</v>
      </c>
      <c r="W149" s="739" t="s">
        <v>2032</v>
      </c>
      <c r="Y149" s="775">
        <f t="shared" si="113"/>
        <v>2017</v>
      </c>
      <c r="Z149" s="775">
        <v>12</v>
      </c>
      <c r="AB149" s="739">
        <f t="shared" ref="AB149:AC149" si="127">AA149</f>
        <v>0</v>
      </c>
      <c r="AC149" s="739">
        <f t="shared" si="127"/>
        <v>0</v>
      </c>
    </row>
    <row r="150" spans="1:29">
      <c r="A150" s="739" t="s">
        <v>2025</v>
      </c>
      <c r="B150" s="739" t="s">
        <v>2025</v>
      </c>
      <c r="C150" s="739" t="s">
        <v>2026</v>
      </c>
      <c r="D150" s="739" t="s">
        <v>2026</v>
      </c>
      <c r="E150" s="791">
        <v>490000</v>
      </c>
      <c r="G150" s="739" t="str">
        <f t="shared" si="111"/>
        <v>013801</v>
      </c>
      <c r="J150" s="739">
        <v>2000</v>
      </c>
      <c r="Q150" s="773">
        <v>100</v>
      </c>
      <c r="T150" s="775" t="str">
        <f t="shared" si="112"/>
        <v>023801</v>
      </c>
      <c r="W150" s="739" t="s">
        <v>2032</v>
      </c>
      <c r="Y150" s="775">
        <f t="shared" si="113"/>
        <v>2017</v>
      </c>
      <c r="Z150" s="775">
        <v>12</v>
      </c>
      <c r="AB150" s="739">
        <f t="shared" ref="AB150:AC150" si="128">AA150</f>
        <v>0</v>
      </c>
      <c r="AC150" s="739">
        <f t="shared" si="128"/>
        <v>0</v>
      </c>
    </row>
    <row r="151" spans="1:29">
      <c r="A151" s="739" t="s">
        <v>2025</v>
      </c>
      <c r="B151" s="739" t="s">
        <v>2025</v>
      </c>
      <c r="C151" s="739" t="s">
        <v>2026</v>
      </c>
      <c r="D151" s="739" t="s">
        <v>2026</v>
      </c>
      <c r="E151" s="791">
        <v>490000</v>
      </c>
      <c r="G151" s="739" t="str">
        <f t="shared" si="111"/>
        <v>013801</v>
      </c>
      <c r="J151" s="739">
        <v>2000</v>
      </c>
      <c r="Q151" s="773" t="s">
        <v>2606</v>
      </c>
      <c r="T151" s="775" t="str">
        <f t="shared" si="112"/>
        <v>023801</v>
      </c>
      <c r="W151" s="739" t="s">
        <v>2032</v>
      </c>
      <c r="Y151" s="775">
        <f t="shared" si="113"/>
        <v>2017</v>
      </c>
      <c r="Z151" s="775">
        <v>12</v>
      </c>
      <c r="AB151" s="739">
        <f t="shared" ref="AB151:AC151" si="129">AA151</f>
        <v>0</v>
      </c>
      <c r="AC151" s="739">
        <f t="shared" si="129"/>
        <v>0</v>
      </c>
    </row>
    <row r="152" spans="1:29">
      <c r="A152" s="739" t="s">
        <v>2025</v>
      </c>
      <c r="B152" s="739" t="s">
        <v>2025</v>
      </c>
      <c r="C152" s="739" t="s">
        <v>2026</v>
      </c>
      <c r="D152" s="739" t="s">
        <v>2026</v>
      </c>
      <c r="E152" s="791">
        <v>490000</v>
      </c>
      <c r="G152" s="739" t="str">
        <f t="shared" si="111"/>
        <v>013801</v>
      </c>
      <c r="J152" s="739">
        <v>2000</v>
      </c>
      <c r="Q152" s="773">
        <v>610</v>
      </c>
      <c r="T152" s="775" t="str">
        <f t="shared" si="112"/>
        <v>023801</v>
      </c>
      <c r="W152" s="739" t="s">
        <v>2032</v>
      </c>
      <c r="Y152" s="775">
        <f t="shared" si="113"/>
        <v>2017</v>
      </c>
      <c r="Z152" s="775">
        <v>12</v>
      </c>
      <c r="AA152" s="739">
        <f>'OPER.-NONMAJOR SP. REVE (B)(66)'!IS36+'LedgerLoad Assist'!BC155</f>
        <v>0</v>
      </c>
      <c r="AB152" s="739">
        <f t="shared" ref="AB152:AC152" si="130">AA152</f>
        <v>0</v>
      </c>
      <c r="AC152" s="739">
        <f t="shared" si="130"/>
        <v>0</v>
      </c>
    </row>
    <row r="153" spans="1:29">
      <c r="A153" s="739" t="s">
        <v>2025</v>
      </c>
      <c r="B153" s="739" t="s">
        <v>2025</v>
      </c>
      <c r="C153" s="739" t="s">
        <v>2026</v>
      </c>
      <c r="D153" s="739" t="s">
        <v>2026</v>
      </c>
      <c r="E153" s="791">
        <v>490000</v>
      </c>
      <c r="G153" s="739" t="str">
        <f t="shared" si="111"/>
        <v>013801</v>
      </c>
      <c r="J153" s="739">
        <v>2000</v>
      </c>
      <c r="Q153" s="773">
        <v>620</v>
      </c>
      <c r="T153" s="775" t="str">
        <f t="shared" si="112"/>
        <v>023801</v>
      </c>
      <c r="W153" s="739" t="s">
        <v>2032</v>
      </c>
      <c r="Y153" s="775">
        <f t="shared" si="113"/>
        <v>2017</v>
      </c>
      <c r="Z153" s="775">
        <v>12</v>
      </c>
      <c r="AA153" s="739">
        <f>'OPER.-NONMAJOR SP. REVE (B)(66)'!IS37+'LedgerLoad Assist'!BC156</f>
        <v>0</v>
      </c>
      <c r="AB153" s="739">
        <f t="shared" ref="AB153:AC153" si="131">AA153</f>
        <v>0</v>
      </c>
      <c r="AC153" s="739">
        <f t="shared" si="131"/>
        <v>0</v>
      </c>
    </row>
    <row r="154" spans="1:29">
      <c r="A154" s="739" t="s">
        <v>2025</v>
      </c>
      <c r="B154" s="739" t="s">
        <v>2025</v>
      </c>
      <c r="C154" s="739" t="s">
        <v>2026</v>
      </c>
      <c r="D154" s="739" t="s">
        <v>2026</v>
      </c>
      <c r="E154" s="791">
        <v>490000</v>
      </c>
      <c r="G154" s="739" t="str">
        <f t="shared" si="111"/>
        <v>013801</v>
      </c>
      <c r="J154" s="739">
        <v>2000</v>
      </c>
      <c r="Q154" s="773">
        <v>900</v>
      </c>
      <c r="T154" s="775" t="str">
        <f t="shared" si="112"/>
        <v>023801</v>
      </c>
      <c r="W154" s="739" t="s">
        <v>2032</v>
      </c>
      <c r="Y154" s="775">
        <f t="shared" si="113"/>
        <v>2017</v>
      </c>
      <c r="Z154" s="775">
        <v>12</v>
      </c>
      <c r="AB154" s="739">
        <f t="shared" ref="AB154:AC154" si="132">AA154</f>
        <v>0</v>
      </c>
      <c r="AC154" s="739">
        <f t="shared" si="132"/>
        <v>0</v>
      </c>
    </row>
    <row r="155" spans="1:29">
      <c r="A155" s="739" t="s">
        <v>2025</v>
      </c>
      <c r="B155" s="739" t="s">
        <v>2025</v>
      </c>
      <c r="C155" s="739" t="s">
        <v>2026</v>
      </c>
      <c r="D155" s="739" t="s">
        <v>2026</v>
      </c>
      <c r="E155" s="791">
        <v>500000</v>
      </c>
      <c r="G155" s="739" t="str">
        <f t="shared" si="111"/>
        <v>013801</v>
      </c>
      <c r="J155" s="739">
        <v>2000</v>
      </c>
      <c r="Q155" s="773">
        <v>100</v>
      </c>
      <c r="T155" s="775" t="str">
        <f t="shared" si="112"/>
        <v>023801</v>
      </c>
      <c r="W155" s="739" t="s">
        <v>2032</v>
      </c>
      <c r="Y155" s="775">
        <f t="shared" si="113"/>
        <v>2017</v>
      </c>
      <c r="Z155" s="775">
        <v>12</v>
      </c>
      <c r="AB155" s="739">
        <f t="shared" ref="AB155:AC155" si="133">AA155</f>
        <v>0</v>
      </c>
      <c r="AC155" s="739">
        <f t="shared" si="133"/>
        <v>0</v>
      </c>
    </row>
    <row r="156" spans="1:29">
      <c r="A156" s="739" t="s">
        <v>2025</v>
      </c>
      <c r="B156" s="739" t="s">
        <v>2025</v>
      </c>
      <c r="C156" s="739" t="s">
        <v>2026</v>
      </c>
      <c r="D156" s="739" t="s">
        <v>2026</v>
      </c>
      <c r="E156" s="791">
        <v>500000</v>
      </c>
      <c r="G156" s="739" t="str">
        <f t="shared" si="111"/>
        <v>013801</v>
      </c>
      <c r="J156" s="739">
        <v>2000</v>
      </c>
      <c r="Q156" s="773" t="s">
        <v>2606</v>
      </c>
      <c r="T156" s="775" t="str">
        <f t="shared" si="112"/>
        <v>023801</v>
      </c>
      <c r="W156" s="739" t="s">
        <v>2032</v>
      </c>
      <c r="Y156" s="775">
        <f t="shared" si="113"/>
        <v>2017</v>
      </c>
      <c r="Z156" s="775">
        <v>12</v>
      </c>
      <c r="AB156" s="739">
        <f t="shared" ref="AB156:AC156" si="134">AA156</f>
        <v>0</v>
      </c>
      <c r="AC156" s="739">
        <f t="shared" si="134"/>
        <v>0</v>
      </c>
    </row>
    <row r="157" spans="1:29">
      <c r="A157" s="739" t="s">
        <v>2025</v>
      </c>
      <c r="B157" s="739" t="s">
        <v>2025</v>
      </c>
      <c r="C157" s="739" t="s">
        <v>2026</v>
      </c>
      <c r="D157" s="739" t="s">
        <v>2026</v>
      </c>
      <c r="E157" s="791">
        <v>500000</v>
      </c>
      <c r="G157" s="739" t="str">
        <f t="shared" si="111"/>
        <v>013801</v>
      </c>
      <c r="J157" s="739">
        <v>2000</v>
      </c>
      <c r="Q157" s="773">
        <v>610</v>
      </c>
      <c r="T157" s="775" t="str">
        <f t="shared" si="112"/>
        <v>023801</v>
      </c>
      <c r="W157" s="739" t="s">
        <v>2032</v>
      </c>
      <c r="Y157" s="775">
        <f t="shared" si="113"/>
        <v>2017</v>
      </c>
      <c r="Z157" s="775">
        <v>12</v>
      </c>
      <c r="AB157" s="739">
        <f t="shared" ref="AB157:AC157" si="135">AA157</f>
        <v>0</v>
      </c>
      <c r="AC157" s="739">
        <f t="shared" si="135"/>
        <v>0</v>
      </c>
    </row>
    <row r="158" spans="1:29">
      <c r="A158" s="739" t="s">
        <v>2025</v>
      </c>
      <c r="B158" s="739" t="s">
        <v>2025</v>
      </c>
      <c r="C158" s="739" t="s">
        <v>2026</v>
      </c>
      <c r="D158" s="739" t="s">
        <v>2026</v>
      </c>
      <c r="E158" s="791">
        <v>500000</v>
      </c>
      <c r="G158" s="739" t="str">
        <f t="shared" si="111"/>
        <v>013801</v>
      </c>
      <c r="J158" s="739">
        <v>2000</v>
      </c>
      <c r="Q158" s="773">
        <v>620</v>
      </c>
      <c r="T158" s="775" t="str">
        <f t="shared" si="112"/>
        <v>023801</v>
      </c>
      <c r="W158" s="739" t="s">
        <v>2032</v>
      </c>
      <c r="Y158" s="775">
        <f t="shared" si="113"/>
        <v>2017</v>
      </c>
      <c r="Z158" s="775">
        <v>12</v>
      </c>
      <c r="AB158" s="739">
        <f t="shared" ref="AB158:AC158" si="136">AA158</f>
        <v>0</v>
      </c>
      <c r="AC158" s="739">
        <f t="shared" si="136"/>
        <v>0</v>
      </c>
    </row>
    <row r="159" spans="1:29">
      <c r="A159" s="739" t="s">
        <v>2025</v>
      </c>
      <c r="B159" s="739" t="s">
        <v>2025</v>
      </c>
      <c r="C159" s="739" t="s">
        <v>2026</v>
      </c>
      <c r="D159" s="739" t="s">
        <v>2026</v>
      </c>
      <c r="E159" s="791">
        <v>500000</v>
      </c>
      <c r="G159" s="739" t="str">
        <f t="shared" si="111"/>
        <v>013801</v>
      </c>
      <c r="J159" s="739">
        <v>2000</v>
      </c>
      <c r="Q159" s="773">
        <v>900</v>
      </c>
      <c r="T159" s="775" t="str">
        <f t="shared" si="112"/>
        <v>023801</v>
      </c>
      <c r="W159" s="739" t="s">
        <v>2032</v>
      </c>
      <c r="Y159" s="775">
        <f t="shared" si="113"/>
        <v>2017</v>
      </c>
      <c r="Z159" s="775">
        <v>12</v>
      </c>
      <c r="AB159" s="739">
        <f t="shared" ref="AB159:AC159" si="137">AA159</f>
        <v>0</v>
      </c>
      <c r="AC159" s="739">
        <f t="shared" si="137"/>
        <v>0</v>
      </c>
    </row>
    <row r="160" spans="1:29">
      <c r="A160" s="739" t="s">
        <v>2025</v>
      </c>
      <c r="B160" s="739" t="s">
        <v>2025</v>
      </c>
      <c r="C160" s="739" t="s">
        <v>2026</v>
      </c>
      <c r="D160" s="739" t="s">
        <v>2026</v>
      </c>
      <c r="E160" s="791">
        <v>510000</v>
      </c>
      <c r="G160" s="739" t="str">
        <f t="shared" si="111"/>
        <v>013801</v>
      </c>
      <c r="J160" s="739">
        <v>2000</v>
      </c>
      <c r="Q160" s="773">
        <v>100</v>
      </c>
      <c r="T160" s="775" t="str">
        <f t="shared" si="112"/>
        <v>023801</v>
      </c>
      <c r="W160" s="739" t="s">
        <v>2032</v>
      </c>
      <c r="Y160" s="775">
        <f t="shared" si="113"/>
        <v>2017</v>
      </c>
      <c r="Z160" s="775">
        <v>12</v>
      </c>
      <c r="AB160" s="739">
        <f t="shared" ref="AB160:AC160" si="138">AA160</f>
        <v>0</v>
      </c>
      <c r="AC160" s="739">
        <f t="shared" si="138"/>
        <v>0</v>
      </c>
    </row>
    <row r="161" spans="1:29">
      <c r="A161" s="739" t="s">
        <v>2025</v>
      </c>
      <c r="B161" s="739" t="s">
        <v>2025</v>
      </c>
      <c r="C161" s="739" t="s">
        <v>2026</v>
      </c>
      <c r="D161" s="739" t="s">
        <v>2026</v>
      </c>
      <c r="E161" s="791">
        <v>510000</v>
      </c>
      <c r="G161" s="739" t="str">
        <f t="shared" si="111"/>
        <v>013801</v>
      </c>
      <c r="J161" s="739">
        <v>2000</v>
      </c>
      <c r="Q161" s="773" t="s">
        <v>2606</v>
      </c>
      <c r="T161" s="775" t="str">
        <f t="shared" si="112"/>
        <v>023801</v>
      </c>
      <c r="W161" s="739" t="s">
        <v>2032</v>
      </c>
      <c r="Y161" s="775">
        <f t="shared" si="113"/>
        <v>2017</v>
      </c>
      <c r="Z161" s="775">
        <v>12</v>
      </c>
      <c r="AA161" s="739">
        <f>'OPER.-NONMAJOR SP. REVE (B)(66)'!IS38+'LedgerLoad Assist'!BC164</f>
        <v>17908.13</v>
      </c>
      <c r="AB161" s="739">
        <f t="shared" ref="AB161:AC161" si="139">AA161</f>
        <v>17908.13</v>
      </c>
      <c r="AC161" s="739">
        <f t="shared" si="139"/>
        <v>17908.13</v>
      </c>
    </row>
    <row r="162" spans="1:29">
      <c r="A162" s="739" t="s">
        <v>2025</v>
      </c>
      <c r="B162" s="739" t="s">
        <v>2025</v>
      </c>
      <c r="C162" s="739" t="s">
        <v>2026</v>
      </c>
      <c r="D162" s="739" t="s">
        <v>2026</v>
      </c>
      <c r="E162" s="791">
        <v>510000</v>
      </c>
      <c r="G162" s="739" t="str">
        <f t="shared" si="111"/>
        <v>013801</v>
      </c>
      <c r="J162" s="739">
        <v>2000</v>
      </c>
      <c r="Q162" s="773">
        <v>610</v>
      </c>
      <c r="T162" s="775" t="str">
        <f t="shared" si="112"/>
        <v>023801</v>
      </c>
      <c r="W162" s="739" t="s">
        <v>2032</v>
      </c>
      <c r="Y162" s="775">
        <f t="shared" si="113"/>
        <v>2017</v>
      </c>
      <c r="Z162" s="775">
        <v>12</v>
      </c>
      <c r="AB162" s="739">
        <f t="shared" ref="AB162:AC162" si="140">AA162</f>
        <v>0</v>
      </c>
      <c r="AC162" s="739">
        <f t="shared" si="140"/>
        <v>0</v>
      </c>
    </row>
    <row r="163" spans="1:29">
      <c r="A163" s="739" t="s">
        <v>2025</v>
      </c>
      <c r="B163" s="739" t="s">
        <v>2025</v>
      </c>
      <c r="C163" s="739" t="s">
        <v>2026</v>
      </c>
      <c r="D163" s="739" t="s">
        <v>2026</v>
      </c>
      <c r="E163" s="791">
        <v>510000</v>
      </c>
      <c r="G163" s="739" t="str">
        <f t="shared" si="111"/>
        <v>013801</v>
      </c>
      <c r="J163" s="739">
        <v>2000</v>
      </c>
      <c r="Q163" s="773">
        <v>620</v>
      </c>
      <c r="T163" s="775" t="str">
        <f t="shared" si="112"/>
        <v>023801</v>
      </c>
      <c r="W163" s="739" t="s">
        <v>2032</v>
      </c>
      <c r="Y163" s="775">
        <f t="shared" si="113"/>
        <v>2017</v>
      </c>
      <c r="Z163" s="775">
        <v>12</v>
      </c>
      <c r="AB163" s="739">
        <f t="shared" ref="AB163:AC163" si="141">AA163</f>
        <v>0</v>
      </c>
      <c r="AC163" s="739">
        <f t="shared" si="141"/>
        <v>0</v>
      </c>
    </row>
    <row r="164" spans="1:29">
      <c r="A164" s="739" t="s">
        <v>2025</v>
      </c>
      <c r="B164" s="739" t="s">
        <v>2025</v>
      </c>
      <c r="C164" s="739" t="s">
        <v>2026</v>
      </c>
      <c r="D164" s="739" t="s">
        <v>2026</v>
      </c>
      <c r="E164" s="791">
        <v>510000</v>
      </c>
      <c r="G164" s="739" t="str">
        <f t="shared" si="111"/>
        <v>013801</v>
      </c>
      <c r="J164" s="739">
        <v>2000</v>
      </c>
      <c r="Q164" s="773">
        <v>900</v>
      </c>
      <c r="T164" s="775" t="str">
        <f t="shared" si="112"/>
        <v>023801</v>
      </c>
      <c r="W164" s="739" t="s">
        <v>2032</v>
      </c>
      <c r="Y164" s="775">
        <f t="shared" si="113"/>
        <v>2017</v>
      </c>
      <c r="Z164" s="775">
        <v>12</v>
      </c>
      <c r="AA164" s="739">
        <f>'OPER.-NONMAJOR SP. REVE (B)(66)'!IS34+'LedgerLoad Assist'!BC167</f>
        <v>0</v>
      </c>
      <c r="AB164" s="739">
        <f t="shared" ref="AB164:AC164" si="142">AA164</f>
        <v>0</v>
      </c>
      <c r="AC164" s="739">
        <f t="shared" si="142"/>
        <v>0</v>
      </c>
    </row>
    <row r="165" spans="1:29">
      <c r="A165" s="739" t="s">
        <v>2025</v>
      </c>
      <c r="B165" s="739" t="s">
        <v>2025</v>
      </c>
      <c r="C165" s="739" t="s">
        <v>2026</v>
      </c>
      <c r="D165" s="739" t="s">
        <v>2026</v>
      </c>
      <c r="E165" s="791">
        <v>520000</v>
      </c>
      <c r="G165" s="739" t="str">
        <f t="shared" si="111"/>
        <v>013801</v>
      </c>
      <c r="J165" s="739">
        <v>2000</v>
      </c>
      <c r="Q165" s="773">
        <v>100</v>
      </c>
      <c r="T165" s="775" t="str">
        <f t="shared" si="112"/>
        <v>023801</v>
      </c>
      <c r="W165" s="739" t="s">
        <v>2032</v>
      </c>
      <c r="Y165" s="775">
        <f t="shared" si="113"/>
        <v>2017</v>
      </c>
      <c r="Z165" s="775">
        <v>12</v>
      </c>
      <c r="AB165" s="739">
        <f t="shared" ref="AB165:AC165" si="143">AA165</f>
        <v>0</v>
      </c>
      <c r="AC165" s="739">
        <f t="shared" si="143"/>
        <v>0</v>
      </c>
    </row>
    <row r="166" spans="1:29">
      <c r="A166" s="739" t="s">
        <v>2025</v>
      </c>
      <c r="B166" s="739" t="s">
        <v>2025</v>
      </c>
      <c r="C166" s="739" t="s">
        <v>2026</v>
      </c>
      <c r="D166" s="739" t="s">
        <v>2026</v>
      </c>
      <c r="E166" s="791">
        <v>520000</v>
      </c>
      <c r="G166" s="739" t="str">
        <f t="shared" si="111"/>
        <v>013801</v>
      </c>
      <c r="J166" s="739">
        <v>2000</v>
      </c>
      <c r="Q166" s="773" t="s">
        <v>2606</v>
      </c>
      <c r="T166" s="775" t="str">
        <f t="shared" si="112"/>
        <v>023801</v>
      </c>
      <c r="W166" s="739" t="s">
        <v>2032</v>
      </c>
      <c r="Y166" s="775">
        <f t="shared" si="113"/>
        <v>2017</v>
      </c>
      <c r="Z166" s="775">
        <v>12</v>
      </c>
      <c r="AA166" s="739">
        <f>-'OPER.-NONMAJOR SP. REVE (B)(66)'!IS48-'LedgerLoad Assist'!BC169-'OPER.-NONMAJOR SP. REVE (B)(66)'!IS51-'OPER.-NONMAJOR SP. REVE (B)(66)'!IS52</f>
        <v>0</v>
      </c>
      <c r="AB166" s="739">
        <f t="shared" ref="AB166:AC166" si="144">AA166</f>
        <v>0</v>
      </c>
      <c r="AC166" s="739">
        <f t="shared" si="144"/>
        <v>0</v>
      </c>
    </row>
    <row r="167" spans="1:29">
      <c r="A167" s="739" t="s">
        <v>2025</v>
      </c>
      <c r="B167" s="739" t="s">
        <v>2025</v>
      </c>
      <c r="C167" s="739" t="s">
        <v>2026</v>
      </c>
      <c r="D167" s="739" t="s">
        <v>2026</v>
      </c>
      <c r="E167" s="791">
        <v>520000</v>
      </c>
      <c r="G167" s="739" t="str">
        <f t="shared" si="111"/>
        <v>013801</v>
      </c>
      <c r="J167" s="739">
        <v>2000</v>
      </c>
      <c r="Q167" s="773">
        <v>610</v>
      </c>
      <c r="T167" s="775" t="str">
        <f t="shared" si="112"/>
        <v>023801</v>
      </c>
      <c r="W167" s="739" t="s">
        <v>2032</v>
      </c>
      <c r="Y167" s="775">
        <f t="shared" si="113"/>
        <v>2017</v>
      </c>
      <c r="Z167" s="775">
        <v>12</v>
      </c>
      <c r="AB167" s="739">
        <f t="shared" ref="AB167:AC167" si="145">AA167</f>
        <v>0</v>
      </c>
      <c r="AC167" s="739">
        <f t="shared" si="145"/>
        <v>0</v>
      </c>
    </row>
    <row r="168" spans="1:29">
      <c r="A168" s="739" t="s">
        <v>2025</v>
      </c>
      <c r="B168" s="739" t="s">
        <v>2025</v>
      </c>
      <c r="C168" s="739" t="s">
        <v>2026</v>
      </c>
      <c r="D168" s="739" t="s">
        <v>2026</v>
      </c>
      <c r="E168" s="791">
        <v>520000</v>
      </c>
      <c r="G168" s="739" t="str">
        <f t="shared" si="111"/>
        <v>013801</v>
      </c>
      <c r="J168" s="739">
        <v>2000</v>
      </c>
      <c r="Q168" s="773">
        <v>620</v>
      </c>
      <c r="T168" s="775" t="str">
        <f t="shared" si="112"/>
        <v>023801</v>
      </c>
      <c r="W168" s="739" t="s">
        <v>2032</v>
      </c>
      <c r="Y168" s="775">
        <f t="shared" si="113"/>
        <v>2017</v>
      </c>
      <c r="Z168" s="775">
        <v>12</v>
      </c>
      <c r="AB168" s="739">
        <f t="shared" ref="AB168:AC168" si="146">AA168</f>
        <v>0</v>
      </c>
      <c r="AC168" s="739">
        <f t="shared" si="146"/>
        <v>0</v>
      </c>
    </row>
    <row r="169" spans="1:29">
      <c r="A169" s="739" t="s">
        <v>2025</v>
      </c>
      <c r="B169" s="739" t="s">
        <v>2025</v>
      </c>
      <c r="C169" s="739" t="s">
        <v>2026</v>
      </c>
      <c r="D169" s="739" t="s">
        <v>2026</v>
      </c>
      <c r="E169" s="791">
        <v>520000</v>
      </c>
      <c r="G169" s="739" t="str">
        <f t="shared" si="111"/>
        <v>013801</v>
      </c>
      <c r="J169" s="739">
        <v>2000</v>
      </c>
      <c r="Q169" s="773">
        <v>900</v>
      </c>
      <c r="T169" s="775" t="str">
        <f t="shared" si="112"/>
        <v>023801</v>
      </c>
      <c r="W169" s="739" t="s">
        <v>2032</v>
      </c>
      <c r="Y169" s="775">
        <f t="shared" si="113"/>
        <v>2017</v>
      </c>
      <c r="Z169" s="775">
        <v>12</v>
      </c>
      <c r="AB169" s="739">
        <f t="shared" ref="AB169:AC169" si="147">AA169</f>
        <v>0</v>
      </c>
      <c r="AC169" s="739">
        <f t="shared" si="147"/>
        <v>0</v>
      </c>
    </row>
    <row r="170" spans="1:29">
      <c r="A170" s="739" t="s">
        <v>2025</v>
      </c>
      <c r="B170" s="739" t="s">
        <v>2025</v>
      </c>
      <c r="C170" s="739" t="s">
        <v>2026</v>
      </c>
      <c r="D170" s="739" t="s">
        <v>2026</v>
      </c>
      <c r="E170" s="791">
        <v>100000</v>
      </c>
      <c r="G170" s="739" t="str">
        <f t="shared" si="111"/>
        <v>013801</v>
      </c>
      <c r="J170" s="739">
        <v>3000</v>
      </c>
      <c r="Q170" s="773"/>
      <c r="T170" s="775" t="str">
        <f t="shared" si="112"/>
        <v>023801</v>
      </c>
      <c r="W170" s="739" t="s">
        <v>2032</v>
      </c>
      <c r="Y170" s="775">
        <f t="shared" si="113"/>
        <v>2017</v>
      </c>
      <c r="Z170" s="775">
        <v>12</v>
      </c>
      <c r="AA170" s="739">
        <f>'BS-NONMAJOR DEBT SERVICE(67-68)'!M6+'BS-NONMAJOR DEBT SERVICE(67-68)'!M7+'BS-NONMAJOR DEBT SERVICE(67-68)'!M8+'BS-NONMAJOR DEBT SERVICE(67-68)'!M9+'BS-NONMAJOR DEBT SERVICE(67-68)'!M10+'BS-NONMAJOR DEBT SERVICE(67-68)'!M11+'LedgerLoad Assist'!BD38</f>
        <v>0</v>
      </c>
      <c r="AB170" s="739">
        <f t="shared" ref="AB170:AC170" si="148">AA170</f>
        <v>0</v>
      </c>
      <c r="AC170" s="739">
        <f t="shared" si="148"/>
        <v>0</v>
      </c>
    </row>
    <row r="171" spans="1:29">
      <c r="A171" s="739" t="s">
        <v>2025</v>
      </c>
      <c r="B171" s="739" t="s">
        <v>2025</v>
      </c>
      <c r="C171" s="739" t="s">
        <v>2026</v>
      </c>
      <c r="D171" s="739" t="s">
        <v>2026</v>
      </c>
      <c r="E171" s="791">
        <v>110000</v>
      </c>
      <c r="G171" s="739" t="str">
        <f t="shared" si="111"/>
        <v>013801</v>
      </c>
      <c r="J171" s="739">
        <v>3000</v>
      </c>
      <c r="Q171" s="773"/>
      <c r="T171" s="775" t="str">
        <f t="shared" si="112"/>
        <v>023801</v>
      </c>
      <c r="W171" s="739" t="s">
        <v>2032</v>
      </c>
      <c r="Y171" s="775">
        <f t="shared" si="113"/>
        <v>2017</v>
      </c>
      <c r="Z171" s="775">
        <v>12</v>
      </c>
      <c r="AA171" s="739">
        <f>'BS-NONMAJOR DEBT SERVICE(67-68)'!M13+'BS-NONMAJOR DEBT SERVICE(67-68)'!M14+'BS-NONMAJOR DEBT SERVICE(67-68)'!M15+'BS-NONMAJOR DEBT SERVICE(67-68)'!M16+'BS-NONMAJOR DEBT SERVICE(67-68)'!M17+'BS-NONMAJOR DEBT SERVICE(67-68)'!M18+'LedgerLoad Assist'!BD39</f>
        <v>0</v>
      </c>
      <c r="AB171" s="739">
        <f t="shared" ref="AB171:AC171" si="149">AA171</f>
        <v>0</v>
      </c>
      <c r="AC171" s="739">
        <f t="shared" si="149"/>
        <v>0</v>
      </c>
    </row>
    <row r="172" spans="1:29">
      <c r="A172" s="739" t="s">
        <v>2025</v>
      </c>
      <c r="B172" s="739" t="s">
        <v>2025</v>
      </c>
      <c r="C172" s="739" t="s">
        <v>2026</v>
      </c>
      <c r="D172" s="739" t="s">
        <v>2026</v>
      </c>
      <c r="E172" s="791">
        <v>120000</v>
      </c>
      <c r="G172" s="739" t="str">
        <f t="shared" si="111"/>
        <v>013801</v>
      </c>
      <c r="J172" s="739">
        <v>3000</v>
      </c>
      <c r="Q172" s="773"/>
      <c r="T172" s="775" t="str">
        <f t="shared" si="112"/>
        <v>023801</v>
      </c>
      <c r="W172" s="739" t="s">
        <v>2032</v>
      </c>
      <c r="Y172" s="775">
        <f t="shared" si="113"/>
        <v>2017</v>
      </c>
      <c r="Z172" s="775">
        <v>12</v>
      </c>
      <c r="AA172" s="739">
        <f>'BS-NONMAJOR DEBT SERVICE(67-68)'!M19+'LedgerLoad Assist'!BD40</f>
        <v>0</v>
      </c>
      <c r="AB172" s="739">
        <f t="shared" ref="AB172:AC172" si="150">AA172</f>
        <v>0</v>
      </c>
      <c r="AC172" s="739">
        <f t="shared" si="150"/>
        <v>0</v>
      </c>
    </row>
    <row r="173" spans="1:29">
      <c r="A173" s="739" t="s">
        <v>2025</v>
      </c>
      <c r="B173" s="739" t="s">
        <v>2025</v>
      </c>
      <c r="C173" s="739" t="s">
        <v>2026</v>
      </c>
      <c r="D173" s="739" t="s">
        <v>2026</v>
      </c>
      <c r="E173" s="791">
        <v>130000</v>
      </c>
      <c r="G173" s="739" t="str">
        <f t="shared" si="111"/>
        <v>013801</v>
      </c>
      <c r="J173" s="739">
        <v>3000</v>
      </c>
      <c r="Q173" s="773"/>
      <c r="T173" s="775" t="str">
        <f t="shared" si="112"/>
        <v>023801</v>
      </c>
      <c r="W173" s="739" t="s">
        <v>2032</v>
      </c>
      <c r="Y173" s="775">
        <f t="shared" si="113"/>
        <v>2017</v>
      </c>
      <c r="Z173" s="775">
        <v>12</v>
      </c>
      <c r="AA173" s="739">
        <f>'BS-NONMAJOR DEBT SERVICE(67-68)'!M20+'BS-NONMAJOR DEBT SERVICE(67-68)'!M21+'BS-NONMAJOR DEBT SERVICE(67-68)'!M22+'LedgerLoad Assist'!BD41</f>
        <v>0</v>
      </c>
      <c r="AB173" s="739">
        <f t="shared" ref="AB173:AC173" si="151">AA173</f>
        <v>0</v>
      </c>
      <c r="AC173" s="739">
        <f t="shared" si="151"/>
        <v>0</v>
      </c>
    </row>
    <row r="174" spans="1:29">
      <c r="A174" s="739" t="s">
        <v>2025</v>
      </c>
      <c r="B174" s="739" t="s">
        <v>2025</v>
      </c>
      <c r="C174" s="739" t="s">
        <v>2026</v>
      </c>
      <c r="D174" s="739" t="s">
        <v>2026</v>
      </c>
      <c r="E174" s="791">
        <v>140000</v>
      </c>
      <c r="G174" s="739" t="str">
        <f t="shared" si="111"/>
        <v>013801</v>
      </c>
      <c r="J174" s="739">
        <v>3000</v>
      </c>
      <c r="Q174" s="773"/>
      <c r="T174" s="775" t="str">
        <f t="shared" si="112"/>
        <v>023801</v>
      </c>
      <c r="W174" s="739" t="s">
        <v>2032</v>
      </c>
      <c r="Y174" s="775">
        <f t="shared" si="113"/>
        <v>2017</v>
      </c>
      <c r="Z174" s="775">
        <v>12</v>
      </c>
      <c r="AA174" s="739">
        <f>'BS-NONMAJOR DEBT SERVICE(67-68)'!M23+'LedgerLoad Assist'!BD42</f>
        <v>0</v>
      </c>
      <c r="AB174" s="739">
        <f t="shared" ref="AB174:AC174" si="152">AA174</f>
        <v>0</v>
      </c>
      <c r="AC174" s="739">
        <f t="shared" si="152"/>
        <v>0</v>
      </c>
    </row>
    <row r="175" spans="1:29" ht="12.75" customHeight="1">
      <c r="A175" s="739" t="s">
        <v>2025</v>
      </c>
      <c r="B175" s="739" t="s">
        <v>2025</v>
      </c>
      <c r="C175" s="739" t="s">
        <v>2026</v>
      </c>
      <c r="D175" s="739" t="s">
        <v>2026</v>
      </c>
      <c r="E175" s="791">
        <v>150000</v>
      </c>
      <c r="G175" s="739" t="str">
        <f t="shared" si="111"/>
        <v>013801</v>
      </c>
      <c r="J175" s="739">
        <v>3000</v>
      </c>
      <c r="Q175" s="773"/>
      <c r="T175" s="775" t="str">
        <f t="shared" si="112"/>
        <v>023801</v>
      </c>
      <c r="W175" s="739" t="s">
        <v>2032</v>
      </c>
      <c r="Y175" s="775">
        <f t="shared" si="113"/>
        <v>2017</v>
      </c>
      <c r="Z175" s="775">
        <v>12</v>
      </c>
      <c r="AA175" s="739">
        <f>'BS-NONMAJOR DEBT SERVICE(67-68)'!M24+'LedgerLoad Assist'!BD43</f>
        <v>0</v>
      </c>
      <c r="AB175" s="739">
        <f t="shared" ref="AB175:AC175" si="153">AA175</f>
        <v>0</v>
      </c>
      <c r="AC175" s="739">
        <f t="shared" si="153"/>
        <v>0</v>
      </c>
    </row>
    <row r="176" spans="1:29" ht="12.75" customHeight="1">
      <c r="A176" s="739" t="s">
        <v>2025</v>
      </c>
      <c r="B176" s="739" t="s">
        <v>2025</v>
      </c>
      <c r="C176" s="739" t="s">
        <v>2026</v>
      </c>
      <c r="D176" s="739" t="s">
        <v>2026</v>
      </c>
      <c r="E176" s="791">
        <v>160000</v>
      </c>
      <c r="G176" s="739" t="str">
        <f t="shared" si="111"/>
        <v>013801</v>
      </c>
      <c r="J176" s="739">
        <v>3000</v>
      </c>
      <c r="Q176" s="773"/>
      <c r="T176" s="775" t="str">
        <f t="shared" si="112"/>
        <v>023801</v>
      </c>
      <c r="W176" s="739" t="s">
        <v>2032</v>
      </c>
      <c r="Y176" s="775">
        <f t="shared" si="113"/>
        <v>2017</v>
      </c>
      <c r="Z176" s="775">
        <v>12</v>
      </c>
      <c r="AB176" s="739">
        <f t="shared" ref="AB176:AC177" si="154">AA176</f>
        <v>0</v>
      </c>
      <c r="AC176" s="739">
        <f t="shared" si="154"/>
        <v>0</v>
      </c>
    </row>
    <row r="177" spans="1:29" ht="12.75" customHeight="1">
      <c r="A177" s="739" t="s">
        <v>2025</v>
      </c>
      <c r="B177" s="739" t="s">
        <v>2025</v>
      </c>
      <c r="C177" s="739" t="s">
        <v>2026</v>
      </c>
      <c r="D177" s="739" t="s">
        <v>2026</v>
      </c>
      <c r="E177" s="791">
        <v>170000</v>
      </c>
      <c r="G177" s="739" t="str">
        <f t="shared" si="111"/>
        <v>013801</v>
      </c>
      <c r="J177" s="739">
        <v>3000</v>
      </c>
      <c r="Q177" s="773"/>
      <c r="T177" s="775" t="str">
        <f t="shared" si="112"/>
        <v>023801</v>
      </c>
      <c r="W177" s="739" t="s">
        <v>2032</v>
      </c>
      <c r="Y177" s="775">
        <f t="shared" si="113"/>
        <v>2017</v>
      </c>
      <c r="Z177" s="775">
        <v>12</v>
      </c>
      <c r="AA177" s="739">
        <f>'BS-NONMAJOR DEBT SERVICE(67-68)'!M25+'LedgerLoad Assist'!BD45</f>
        <v>0</v>
      </c>
      <c r="AB177" s="739">
        <f>AA177</f>
        <v>0</v>
      </c>
      <c r="AC177" s="739">
        <f t="shared" si="154"/>
        <v>0</v>
      </c>
    </row>
    <row r="178" spans="1:29">
      <c r="A178" s="739" t="s">
        <v>2025</v>
      </c>
      <c r="B178" s="739" t="s">
        <v>2025</v>
      </c>
      <c r="C178" s="739" t="s">
        <v>2026</v>
      </c>
      <c r="D178" s="739" t="s">
        <v>2026</v>
      </c>
      <c r="E178" s="791">
        <v>190000</v>
      </c>
      <c r="G178" s="739" t="str">
        <f t="shared" si="111"/>
        <v>013801</v>
      </c>
      <c r="J178" s="739">
        <v>3000</v>
      </c>
      <c r="Q178" s="773"/>
      <c r="T178" s="775" t="str">
        <f t="shared" si="112"/>
        <v>023801</v>
      </c>
      <c r="W178" s="739" t="s">
        <v>2032</v>
      </c>
      <c r="Y178" s="775">
        <f t="shared" si="113"/>
        <v>2017</v>
      </c>
      <c r="Z178" s="775">
        <v>12</v>
      </c>
      <c r="AA178" s="739">
        <f>'BS-NONMAJOR DEBT SERVICE(67-68)'!M31+'LedgerLoad Assist'!BD47</f>
        <v>0</v>
      </c>
      <c r="AB178" s="739">
        <f t="shared" ref="AB178:AC178" si="155">AA178</f>
        <v>0</v>
      </c>
      <c r="AC178" s="739">
        <f t="shared" si="155"/>
        <v>0</v>
      </c>
    </row>
    <row r="179" spans="1:29">
      <c r="A179" s="739" t="s">
        <v>2025</v>
      </c>
      <c r="B179" s="739" t="s">
        <v>2025</v>
      </c>
      <c r="C179" s="739" t="s">
        <v>2026</v>
      </c>
      <c r="D179" s="739" t="s">
        <v>2026</v>
      </c>
      <c r="E179" s="791">
        <v>200000</v>
      </c>
      <c r="G179" s="739" t="str">
        <f t="shared" si="111"/>
        <v>013801</v>
      </c>
      <c r="J179" s="739">
        <v>3000</v>
      </c>
      <c r="Q179" s="773"/>
      <c r="T179" s="775" t="str">
        <f t="shared" si="112"/>
        <v>023801</v>
      </c>
      <c r="W179" s="739" t="s">
        <v>2032</v>
      </c>
      <c r="Y179" s="775">
        <f t="shared" si="113"/>
        <v>2017</v>
      </c>
      <c r="Z179" s="775">
        <v>12</v>
      </c>
      <c r="AA179" s="739">
        <f>('BS-NONMAJOR DEBT SERVICE(67-68)'!M34+'BS-NONMAJOR DEBT SERVICE(67-68)'!M35+'BS-NONMAJOR DEBT SERVICE(67-68)'!M36+'BS-NONMAJOR DEBT SERVICE(67-68)'!M37+'BS-NONMAJOR DEBT SERVICE(67-68)'!M38+'BS-NONMAJOR DEBT SERVICE(67-68)'!M39+'LedgerLoad Assist'!BD48)*-1</f>
        <v>0</v>
      </c>
      <c r="AB179" s="739">
        <f t="shared" ref="AB179:AC179" si="156">AA179</f>
        <v>0</v>
      </c>
      <c r="AC179" s="739">
        <f t="shared" si="156"/>
        <v>0</v>
      </c>
    </row>
    <row r="180" spans="1:29">
      <c r="A180" s="739" t="s">
        <v>2025</v>
      </c>
      <c r="B180" s="739" t="s">
        <v>2025</v>
      </c>
      <c r="C180" s="739" t="s">
        <v>2026</v>
      </c>
      <c r="D180" s="739" t="s">
        <v>2026</v>
      </c>
      <c r="E180" s="791">
        <v>210000</v>
      </c>
      <c r="G180" s="739" t="str">
        <f t="shared" si="111"/>
        <v>013801</v>
      </c>
      <c r="J180" s="739">
        <v>3000</v>
      </c>
      <c r="Q180" s="773"/>
      <c r="T180" s="775" t="str">
        <f t="shared" si="112"/>
        <v>023801</v>
      </c>
      <c r="W180" s="739" t="s">
        <v>2032</v>
      </c>
      <c r="Y180" s="775">
        <f t="shared" si="113"/>
        <v>2017</v>
      </c>
      <c r="Z180" s="775">
        <v>12</v>
      </c>
      <c r="AA180" s="739">
        <f>('BS-NONMAJOR DEBT SERVICE(67-68)'!M40+'BS-NONMAJOR DEBT SERVICE(67-68)'!M41+'BS-NONMAJOR DEBT SERVICE(67-68)'!M42+'LedgerLoad Assist'!BD49+'BS-NONMAJOR DEBT SERVICE(67-68)'!M43+'LedgerLoad Assist'!BD50)*-1</f>
        <v>0</v>
      </c>
      <c r="AB180" s="739">
        <f t="shared" ref="AB180:AC180" si="157">AA180</f>
        <v>0</v>
      </c>
      <c r="AC180" s="739">
        <f t="shared" si="157"/>
        <v>0</v>
      </c>
    </row>
    <row r="181" spans="1:29">
      <c r="A181" s="739" t="s">
        <v>2025</v>
      </c>
      <c r="B181" s="739" t="s">
        <v>2025</v>
      </c>
      <c r="C181" s="739" t="s">
        <v>2026</v>
      </c>
      <c r="D181" s="739" t="s">
        <v>2026</v>
      </c>
      <c r="E181" s="791">
        <v>216000</v>
      </c>
      <c r="G181" s="739" t="str">
        <f t="shared" si="111"/>
        <v>013801</v>
      </c>
      <c r="J181" s="739">
        <v>3000</v>
      </c>
      <c r="Q181" s="773"/>
      <c r="T181" s="775" t="str">
        <f t="shared" si="112"/>
        <v>023801</v>
      </c>
      <c r="W181" s="739" t="s">
        <v>2032</v>
      </c>
      <c r="Y181" s="775">
        <f t="shared" si="113"/>
        <v>2017</v>
      </c>
      <c r="Z181" s="775">
        <v>12</v>
      </c>
      <c r="AA181" s="739">
        <v>0</v>
      </c>
    </row>
    <row r="182" spans="1:29">
      <c r="A182" s="739" t="s">
        <v>2025</v>
      </c>
      <c r="B182" s="739" t="s">
        <v>2025</v>
      </c>
      <c r="C182" s="739" t="s">
        <v>2026</v>
      </c>
      <c r="D182" s="739" t="s">
        <v>2026</v>
      </c>
      <c r="E182" s="791">
        <v>220000</v>
      </c>
      <c r="G182" s="739" t="str">
        <f t="shared" si="111"/>
        <v>013801</v>
      </c>
      <c r="J182" s="739">
        <v>3000</v>
      </c>
      <c r="Q182" s="773"/>
      <c r="T182" s="775" t="str">
        <f t="shared" si="112"/>
        <v>023801</v>
      </c>
      <c r="W182" s="739" t="s">
        <v>2032</v>
      </c>
      <c r="Y182" s="775">
        <f t="shared" si="113"/>
        <v>2017</v>
      </c>
      <c r="Z182" s="775">
        <v>12</v>
      </c>
      <c r="AA182" s="739">
        <f>('BS-NONMAJOR DEBT SERVICE(67-68)'!M50+'LedgerLoad Assist'!BD51)*-1</f>
        <v>0</v>
      </c>
      <c r="AB182" s="739">
        <f t="shared" ref="AB182:AC182" si="158">AA182</f>
        <v>0</v>
      </c>
      <c r="AC182" s="739">
        <f t="shared" si="158"/>
        <v>0</v>
      </c>
    </row>
    <row r="183" spans="1:29">
      <c r="A183" s="739" t="s">
        <v>2025</v>
      </c>
      <c r="B183" s="739" t="s">
        <v>2025</v>
      </c>
      <c r="C183" s="739" t="s">
        <v>2026</v>
      </c>
      <c r="D183" s="739" t="s">
        <v>2026</v>
      </c>
      <c r="E183" s="791">
        <v>230000</v>
      </c>
      <c r="G183" s="739" t="str">
        <f t="shared" si="111"/>
        <v>013801</v>
      </c>
      <c r="J183" s="739">
        <v>3000</v>
      </c>
      <c r="Q183" s="773"/>
      <c r="T183" s="775" t="str">
        <f t="shared" si="112"/>
        <v>023801</v>
      </c>
      <c r="W183" s="739" t="s">
        <v>2032</v>
      </c>
      <c r="Y183" s="775">
        <f t="shared" si="113"/>
        <v>2017</v>
      </c>
      <c r="Z183" s="775">
        <v>12</v>
      </c>
      <c r="AA183" s="739">
        <f>('BS-NONMAJOR DEBT SERVICE(67-68)'!M44+'LedgerLoad Assist'!BD52)*-1</f>
        <v>0</v>
      </c>
      <c r="AB183" s="739">
        <f t="shared" ref="AB183:AC183" si="159">AA183</f>
        <v>0</v>
      </c>
      <c r="AC183" s="739">
        <f t="shared" si="159"/>
        <v>0</v>
      </c>
    </row>
    <row r="184" spans="1:29">
      <c r="A184" s="739" t="s">
        <v>2025</v>
      </c>
      <c r="B184" s="739" t="s">
        <v>2025</v>
      </c>
      <c r="C184" s="739" t="s">
        <v>2026</v>
      </c>
      <c r="D184" s="739" t="s">
        <v>2026</v>
      </c>
      <c r="E184" s="791">
        <v>240000</v>
      </c>
      <c r="G184" s="739" t="str">
        <f t="shared" si="111"/>
        <v>013801</v>
      </c>
      <c r="J184" s="739">
        <v>3000</v>
      </c>
      <c r="Q184" s="773"/>
      <c r="T184" s="775" t="str">
        <f t="shared" si="112"/>
        <v>023801</v>
      </c>
      <c r="W184" s="739" t="s">
        <v>2032</v>
      </c>
      <c r="Y184" s="775">
        <f t="shared" si="113"/>
        <v>2017</v>
      </c>
      <c r="Z184" s="775">
        <v>12</v>
      </c>
      <c r="AA184" s="739">
        <v>0</v>
      </c>
      <c r="AB184" s="739">
        <f t="shared" ref="AB184:AC184" si="160">AA184</f>
        <v>0</v>
      </c>
      <c r="AC184" s="739">
        <f t="shared" si="160"/>
        <v>0</v>
      </c>
    </row>
    <row r="185" spans="1:29">
      <c r="A185" s="739" t="s">
        <v>2025</v>
      </c>
      <c r="B185" s="739" t="s">
        <v>2025</v>
      </c>
      <c r="C185" s="739" t="s">
        <v>2026</v>
      </c>
      <c r="D185" s="739" t="s">
        <v>2026</v>
      </c>
      <c r="E185" s="791">
        <v>250000</v>
      </c>
      <c r="G185" s="739" t="str">
        <f t="shared" si="111"/>
        <v>013801</v>
      </c>
      <c r="J185" s="739">
        <v>3000</v>
      </c>
      <c r="Q185" s="773"/>
      <c r="T185" s="775" t="str">
        <f t="shared" si="112"/>
        <v>023801</v>
      </c>
      <c r="W185" s="739" t="s">
        <v>2032</v>
      </c>
      <c r="Y185" s="775">
        <f t="shared" si="113"/>
        <v>2017</v>
      </c>
      <c r="Z185" s="775">
        <v>12</v>
      </c>
      <c r="AA185" s="739">
        <v>0</v>
      </c>
      <c r="AB185" s="739">
        <f t="shared" ref="AB185:AC185" si="161">AA185</f>
        <v>0</v>
      </c>
      <c r="AC185" s="739">
        <f t="shared" si="161"/>
        <v>0</v>
      </c>
    </row>
    <row r="186" spans="1:29">
      <c r="A186" s="739" t="s">
        <v>2025</v>
      </c>
      <c r="B186" s="739" t="s">
        <v>2025</v>
      </c>
      <c r="C186" s="739" t="s">
        <v>2026</v>
      </c>
      <c r="D186" s="739" t="s">
        <v>2026</v>
      </c>
      <c r="E186" s="791">
        <v>260000</v>
      </c>
      <c r="G186" s="739" t="str">
        <f t="shared" si="111"/>
        <v>013801</v>
      </c>
      <c r="J186" s="739">
        <v>3000</v>
      </c>
      <c r="Q186" s="773"/>
      <c r="T186" s="775" t="str">
        <f t="shared" si="112"/>
        <v>023801</v>
      </c>
      <c r="W186" s="739" t="s">
        <v>2032</v>
      </c>
      <c r="Y186" s="775">
        <f t="shared" si="113"/>
        <v>2017</v>
      </c>
      <c r="Z186" s="775">
        <v>12</v>
      </c>
      <c r="AA186" s="739">
        <v>0</v>
      </c>
      <c r="AB186" s="739">
        <f t="shared" ref="AB186:AC186" si="162">AA186</f>
        <v>0</v>
      </c>
      <c r="AC186" s="739">
        <f t="shared" si="162"/>
        <v>0</v>
      </c>
    </row>
    <row r="187" spans="1:29">
      <c r="A187" s="739" t="s">
        <v>2025</v>
      </c>
      <c r="B187" s="739" t="s">
        <v>2025</v>
      </c>
      <c r="C187" s="739" t="s">
        <v>2026</v>
      </c>
      <c r="D187" s="739" t="s">
        <v>2026</v>
      </c>
      <c r="E187" s="791">
        <v>270000</v>
      </c>
      <c r="G187" s="739" t="str">
        <f t="shared" si="111"/>
        <v>013801</v>
      </c>
      <c r="J187" s="739">
        <v>3000</v>
      </c>
      <c r="Q187" s="773"/>
      <c r="T187" s="775" t="str">
        <f t="shared" si="112"/>
        <v>023801</v>
      </c>
      <c r="W187" s="739" t="s">
        <v>2032</v>
      </c>
      <c r="Y187" s="775">
        <f t="shared" si="113"/>
        <v>2017</v>
      </c>
      <c r="Z187" s="775">
        <v>12</v>
      </c>
      <c r="AA187" s="739">
        <f>('BS-NONMAJOR DEBT SERVICE(67-68)'!M58+'LedgerLoad Assist'!BD56)*-1</f>
        <v>0</v>
      </c>
      <c r="AB187" s="739">
        <f t="shared" ref="AB187:AC187" si="163">AA187</f>
        <v>0</v>
      </c>
      <c r="AC187" s="739">
        <f t="shared" si="163"/>
        <v>0</v>
      </c>
    </row>
    <row r="188" spans="1:29">
      <c r="A188" s="739" t="s">
        <v>2025</v>
      </c>
      <c r="B188" s="739" t="s">
        <v>2025</v>
      </c>
      <c r="C188" s="739" t="s">
        <v>2026</v>
      </c>
      <c r="D188" s="739" t="s">
        <v>2026</v>
      </c>
      <c r="E188" s="791">
        <v>310000</v>
      </c>
      <c r="G188" s="739" t="str">
        <f t="shared" si="111"/>
        <v>013801</v>
      </c>
      <c r="J188" s="739">
        <v>3000</v>
      </c>
      <c r="Q188" s="773"/>
      <c r="T188" s="775" t="str">
        <f t="shared" si="112"/>
        <v>023801</v>
      </c>
      <c r="W188" s="739" t="s">
        <v>2032</v>
      </c>
      <c r="Y188" s="775">
        <f t="shared" si="113"/>
        <v>2017</v>
      </c>
      <c r="Z188" s="775">
        <v>12</v>
      </c>
      <c r="AA188" s="739">
        <v>0</v>
      </c>
      <c r="AB188" s="739">
        <f t="shared" ref="AB188:AC188" si="164">AA188</f>
        <v>0</v>
      </c>
      <c r="AC188" s="739">
        <f t="shared" si="164"/>
        <v>0</v>
      </c>
    </row>
    <row r="189" spans="1:29">
      <c r="A189" s="739" t="s">
        <v>2025</v>
      </c>
      <c r="B189" s="739" t="s">
        <v>2025</v>
      </c>
      <c r="C189" s="739" t="s">
        <v>2026</v>
      </c>
      <c r="D189" s="739" t="s">
        <v>2026</v>
      </c>
      <c r="E189" s="791">
        <v>311000</v>
      </c>
      <c r="G189" s="739" t="str">
        <f t="shared" si="111"/>
        <v>013801</v>
      </c>
      <c r="J189" s="739">
        <v>3000</v>
      </c>
      <c r="Q189" s="773"/>
      <c r="T189" s="775" t="str">
        <f t="shared" si="112"/>
        <v>023801</v>
      </c>
      <c r="W189" s="739" t="s">
        <v>2032</v>
      </c>
      <c r="Y189" s="775">
        <f t="shared" si="113"/>
        <v>2017</v>
      </c>
      <c r="Z189" s="775">
        <v>12</v>
      </c>
      <c r="AA189" s="739">
        <f>('OPER.-NONMAJOR DEBT SER.(69-70)'!AS10+'LedgerLoad Assist'!BD59)*-1</f>
        <v>0</v>
      </c>
      <c r="AB189" s="739">
        <f t="shared" ref="AB189:AC189" si="165">AA189</f>
        <v>0</v>
      </c>
      <c r="AC189" s="739">
        <f t="shared" si="165"/>
        <v>0</v>
      </c>
    </row>
    <row r="190" spans="1:29">
      <c r="A190" s="739" t="s">
        <v>2025</v>
      </c>
      <c r="B190" s="739" t="s">
        <v>2025</v>
      </c>
      <c r="C190" s="739" t="s">
        <v>2026</v>
      </c>
      <c r="D190" s="739" t="s">
        <v>2026</v>
      </c>
      <c r="E190" s="791">
        <v>312000</v>
      </c>
      <c r="G190" s="739" t="str">
        <f t="shared" si="111"/>
        <v>013801</v>
      </c>
      <c r="J190" s="739">
        <v>3000</v>
      </c>
      <c r="Q190" s="773"/>
      <c r="T190" s="775" t="str">
        <f t="shared" si="112"/>
        <v>023801</v>
      </c>
      <c r="W190" s="739" t="s">
        <v>2032</v>
      </c>
      <c r="Y190" s="775">
        <f t="shared" si="113"/>
        <v>2017</v>
      </c>
      <c r="Z190" s="775">
        <v>12</v>
      </c>
      <c r="AA190" s="739">
        <v>0</v>
      </c>
      <c r="AB190" s="739">
        <f t="shared" ref="AB190:AC190" si="166">AA190</f>
        <v>0</v>
      </c>
      <c r="AC190" s="739">
        <f t="shared" si="166"/>
        <v>0</v>
      </c>
    </row>
    <row r="191" spans="1:29">
      <c r="A191" s="739" t="s">
        <v>2025</v>
      </c>
      <c r="B191" s="739" t="s">
        <v>2025</v>
      </c>
      <c r="C191" s="739" t="s">
        <v>2026</v>
      </c>
      <c r="D191" s="739" t="s">
        <v>2026</v>
      </c>
      <c r="E191" s="791">
        <v>313000</v>
      </c>
      <c r="G191" s="739" t="str">
        <f t="shared" si="111"/>
        <v>013801</v>
      </c>
      <c r="J191" s="739">
        <v>3000</v>
      </c>
      <c r="Q191" s="773"/>
      <c r="T191" s="775" t="str">
        <f t="shared" si="112"/>
        <v>023801</v>
      </c>
      <c r="W191" s="739" t="s">
        <v>2032</v>
      </c>
      <c r="Y191" s="775">
        <f t="shared" si="113"/>
        <v>2017</v>
      </c>
      <c r="Z191" s="775">
        <v>12</v>
      </c>
      <c r="AA191" s="739">
        <v>0</v>
      </c>
      <c r="AB191" s="739">
        <f t="shared" ref="AB191:AC191" si="167">AA191</f>
        <v>0</v>
      </c>
      <c r="AC191" s="739">
        <f t="shared" si="167"/>
        <v>0</v>
      </c>
    </row>
    <row r="192" spans="1:29">
      <c r="A192" s="739" t="s">
        <v>2025</v>
      </c>
      <c r="B192" s="739" t="s">
        <v>2025</v>
      </c>
      <c r="C192" s="739" t="s">
        <v>2026</v>
      </c>
      <c r="D192" s="739" t="s">
        <v>2026</v>
      </c>
      <c r="E192" s="791">
        <v>314000</v>
      </c>
      <c r="G192" s="739" t="str">
        <f t="shared" si="111"/>
        <v>013801</v>
      </c>
      <c r="J192" s="739">
        <v>3000</v>
      </c>
      <c r="Q192" s="773"/>
      <c r="T192" s="775" t="str">
        <f t="shared" si="112"/>
        <v>023801</v>
      </c>
      <c r="W192" s="739" t="s">
        <v>2032</v>
      </c>
      <c r="Y192" s="775">
        <f t="shared" si="113"/>
        <v>2017</v>
      </c>
      <c r="Z192" s="775">
        <v>12</v>
      </c>
      <c r="AA192" s="739">
        <f>('OPER.-NONMAJOR DEBT SER.(69-70)'!AS11+'LedgerLoad Assist'!BD62)*-1</f>
        <v>0</v>
      </c>
      <c r="AB192" s="739">
        <f t="shared" ref="AB192:AC192" si="168">AA192</f>
        <v>0</v>
      </c>
      <c r="AC192" s="739">
        <f t="shared" si="168"/>
        <v>0</v>
      </c>
    </row>
    <row r="193" spans="1:29">
      <c r="A193" s="739" t="s">
        <v>2025</v>
      </c>
      <c r="B193" s="739" t="s">
        <v>2025</v>
      </c>
      <c r="C193" s="739" t="s">
        <v>2026</v>
      </c>
      <c r="D193" s="739" t="s">
        <v>2026</v>
      </c>
      <c r="E193" s="791">
        <v>315000</v>
      </c>
      <c r="G193" s="739" t="str">
        <f t="shared" si="111"/>
        <v>013801</v>
      </c>
      <c r="J193" s="739">
        <v>3000</v>
      </c>
      <c r="Q193" s="773"/>
      <c r="T193" s="775" t="str">
        <f t="shared" si="112"/>
        <v>023801</v>
      </c>
      <c r="W193" s="739" t="s">
        <v>2032</v>
      </c>
      <c r="Y193" s="775">
        <f t="shared" si="113"/>
        <v>2017</v>
      </c>
      <c r="Z193" s="775">
        <v>12</v>
      </c>
      <c r="AA193" s="739">
        <f>('LedgerLoad Assist'!BD63)*-1</f>
        <v>0</v>
      </c>
      <c r="AB193" s="739">
        <f t="shared" ref="AB193:AC193" si="169">AA193</f>
        <v>0</v>
      </c>
      <c r="AC193" s="739">
        <f t="shared" si="169"/>
        <v>0</v>
      </c>
    </row>
    <row r="194" spans="1:29">
      <c r="A194" s="739" t="s">
        <v>2025</v>
      </c>
      <c r="B194" s="739" t="s">
        <v>2025</v>
      </c>
      <c r="C194" s="739" t="s">
        <v>2026</v>
      </c>
      <c r="D194" s="739" t="s">
        <v>2026</v>
      </c>
      <c r="E194" s="791">
        <v>316000</v>
      </c>
      <c r="G194" s="739" t="str">
        <f t="shared" si="111"/>
        <v>013801</v>
      </c>
      <c r="J194" s="739">
        <v>3000</v>
      </c>
      <c r="Q194" s="773"/>
      <c r="T194" s="775" t="str">
        <f t="shared" si="112"/>
        <v>023801</v>
      </c>
      <c r="W194" s="739" t="s">
        <v>2032</v>
      </c>
      <c r="Y194" s="775">
        <f t="shared" si="113"/>
        <v>2017</v>
      </c>
      <c r="Z194" s="775">
        <v>12</v>
      </c>
      <c r="AA194" s="739">
        <f>('LedgerLoad Assist'!BD64)*-1</f>
        <v>0</v>
      </c>
      <c r="AB194" s="739">
        <f t="shared" ref="AB194:AC194" si="170">AA194</f>
        <v>0</v>
      </c>
      <c r="AC194" s="739">
        <f t="shared" si="170"/>
        <v>0</v>
      </c>
    </row>
    <row r="195" spans="1:29">
      <c r="A195" s="739" t="s">
        <v>2025</v>
      </c>
      <c r="B195" s="739" t="s">
        <v>2025</v>
      </c>
      <c r="C195" s="739" t="s">
        <v>2026</v>
      </c>
      <c r="D195" s="739" t="s">
        <v>2026</v>
      </c>
      <c r="E195" s="791">
        <v>320000</v>
      </c>
      <c r="G195" s="739" t="str">
        <f t="shared" si="111"/>
        <v>013801</v>
      </c>
      <c r="J195" s="739">
        <v>3000</v>
      </c>
      <c r="Q195" s="773"/>
      <c r="T195" s="775" t="str">
        <f t="shared" si="112"/>
        <v>023801</v>
      </c>
      <c r="W195" s="739" t="s">
        <v>2032</v>
      </c>
      <c r="Y195" s="775">
        <f t="shared" si="113"/>
        <v>2017</v>
      </c>
      <c r="Z195" s="775">
        <v>12</v>
      </c>
      <c r="AA195" s="739">
        <f>('LedgerLoad Assist'!BD65)*-1</f>
        <v>0</v>
      </c>
      <c r="AB195" s="739">
        <f t="shared" ref="AB195:AC195" si="171">AA195</f>
        <v>0</v>
      </c>
      <c r="AC195" s="739">
        <f t="shared" si="171"/>
        <v>0</v>
      </c>
    </row>
    <row r="196" spans="1:29">
      <c r="A196" s="739" t="s">
        <v>2025</v>
      </c>
      <c r="B196" s="739" t="s">
        <v>2025</v>
      </c>
      <c r="C196" s="739" t="s">
        <v>2026</v>
      </c>
      <c r="D196" s="739" t="s">
        <v>2026</v>
      </c>
      <c r="E196" s="791">
        <v>322000</v>
      </c>
      <c r="G196" s="739" t="str">
        <f t="shared" si="111"/>
        <v>013801</v>
      </c>
      <c r="J196" s="739">
        <v>3000</v>
      </c>
      <c r="Q196" s="773"/>
      <c r="T196" s="775" t="str">
        <f t="shared" si="112"/>
        <v>023801</v>
      </c>
      <c r="W196" s="739" t="s">
        <v>2032</v>
      </c>
      <c r="Y196" s="775">
        <f t="shared" si="113"/>
        <v>2017</v>
      </c>
      <c r="Z196" s="775">
        <v>12</v>
      </c>
      <c r="AA196" s="739">
        <f>('LedgerLoad Assist'!BD66)*-1</f>
        <v>0</v>
      </c>
      <c r="AB196" s="739">
        <f t="shared" ref="AB196:AC196" si="172">AA196</f>
        <v>0</v>
      </c>
      <c r="AC196" s="739">
        <f t="shared" si="172"/>
        <v>0</v>
      </c>
    </row>
    <row r="197" spans="1:29">
      <c r="A197" s="739" t="s">
        <v>2025</v>
      </c>
      <c r="B197" s="739" t="s">
        <v>2025</v>
      </c>
      <c r="C197" s="739" t="s">
        <v>2026</v>
      </c>
      <c r="D197" s="739" t="s">
        <v>2026</v>
      </c>
      <c r="E197" s="791">
        <v>323000</v>
      </c>
      <c r="G197" s="739" t="str">
        <f t="shared" si="111"/>
        <v>013801</v>
      </c>
      <c r="J197" s="739">
        <v>3000</v>
      </c>
      <c r="Q197" s="773"/>
      <c r="T197" s="775" t="str">
        <f t="shared" si="112"/>
        <v>023801</v>
      </c>
      <c r="W197" s="739" t="s">
        <v>2032</v>
      </c>
      <c r="Y197" s="775">
        <f t="shared" si="113"/>
        <v>2017</v>
      </c>
      <c r="Z197" s="775">
        <v>12</v>
      </c>
      <c r="AA197" s="739">
        <f>('LedgerLoad Assist'!BD67)*-1</f>
        <v>0</v>
      </c>
      <c r="AB197" s="739">
        <f t="shared" ref="AB197:AC197" si="173">AA197</f>
        <v>0</v>
      </c>
      <c r="AC197" s="739">
        <f t="shared" si="173"/>
        <v>0</v>
      </c>
    </row>
    <row r="198" spans="1:29">
      <c r="A198" s="739" t="s">
        <v>2025</v>
      </c>
      <c r="B198" s="739" t="s">
        <v>2025</v>
      </c>
      <c r="C198" s="739" t="s">
        <v>2026</v>
      </c>
      <c r="D198" s="739" t="s">
        <v>2026</v>
      </c>
      <c r="E198" s="791">
        <v>330000</v>
      </c>
      <c r="G198" s="739" t="str">
        <f t="shared" si="111"/>
        <v>013801</v>
      </c>
      <c r="J198" s="739">
        <v>3000</v>
      </c>
      <c r="Q198" s="773"/>
      <c r="T198" s="775" t="str">
        <f t="shared" si="112"/>
        <v>023801</v>
      </c>
      <c r="W198" s="739" t="s">
        <v>2032</v>
      </c>
      <c r="Y198" s="775">
        <f t="shared" si="113"/>
        <v>2017</v>
      </c>
      <c r="Z198" s="775">
        <v>12</v>
      </c>
      <c r="AA198" s="739">
        <f>('LedgerLoad Assist'!BD68)*-1</f>
        <v>0</v>
      </c>
      <c r="AB198" s="739">
        <f t="shared" ref="AB198:AC198" si="174">AA198</f>
        <v>0</v>
      </c>
      <c r="AC198" s="739">
        <f t="shared" si="174"/>
        <v>0</v>
      </c>
    </row>
    <row r="199" spans="1:29">
      <c r="A199" s="739" t="s">
        <v>2025</v>
      </c>
      <c r="B199" s="739" t="s">
        <v>2025</v>
      </c>
      <c r="C199" s="739" t="s">
        <v>2026</v>
      </c>
      <c r="D199" s="739" t="s">
        <v>2026</v>
      </c>
      <c r="E199" s="791">
        <v>331000</v>
      </c>
      <c r="G199" s="739" t="str">
        <f t="shared" si="111"/>
        <v>013801</v>
      </c>
      <c r="J199" s="739">
        <v>3000</v>
      </c>
      <c r="Q199" s="773"/>
      <c r="T199" s="775" t="str">
        <f t="shared" si="112"/>
        <v>023801</v>
      </c>
      <c r="W199" s="739" t="s">
        <v>2032</v>
      </c>
      <c r="Y199" s="775">
        <f t="shared" si="113"/>
        <v>2017</v>
      </c>
      <c r="Z199" s="775">
        <v>12</v>
      </c>
      <c r="AA199" s="739">
        <f>('OPER.-NONMAJOR DEBT SER.(69-70)'!AS16+'LedgerLoad Assist'!BD69)*-1</f>
        <v>0</v>
      </c>
      <c r="AB199" s="739">
        <f t="shared" ref="AB199:AC199" si="175">AA199</f>
        <v>0</v>
      </c>
      <c r="AC199" s="739">
        <f t="shared" si="175"/>
        <v>0</v>
      </c>
    </row>
    <row r="200" spans="1:29">
      <c r="A200" s="739" t="s">
        <v>2025</v>
      </c>
      <c r="B200" s="739" t="s">
        <v>2025</v>
      </c>
      <c r="C200" s="739" t="s">
        <v>2026</v>
      </c>
      <c r="D200" s="739" t="s">
        <v>2026</v>
      </c>
      <c r="E200" s="791">
        <v>332000</v>
      </c>
      <c r="G200" s="739" t="str">
        <f t="shared" ref="G200:G263" si="176">$G$6</f>
        <v>013801</v>
      </c>
      <c r="J200" s="739">
        <v>3000</v>
      </c>
      <c r="Q200" s="773"/>
      <c r="T200" s="775" t="str">
        <f t="shared" ref="T200:T263" si="177">$T$6</f>
        <v>023801</v>
      </c>
      <c r="W200" s="739" t="s">
        <v>2032</v>
      </c>
      <c r="Y200" s="775">
        <f t="shared" ref="Y200:Y263" si="178">$Y$6</f>
        <v>2017</v>
      </c>
      <c r="Z200" s="775">
        <v>12</v>
      </c>
      <c r="AA200" s="739">
        <f>('OPER.-NONMAJOR DEBT SER.(69-70)'!AS17+'LedgerLoad Assist'!BD70)*-1</f>
        <v>0</v>
      </c>
      <c r="AB200" s="739">
        <f t="shared" ref="AB200:AC200" si="179">AA200</f>
        <v>0</v>
      </c>
      <c r="AC200" s="739">
        <f t="shared" si="179"/>
        <v>0</v>
      </c>
    </row>
    <row r="201" spans="1:29">
      <c r="A201" s="739" t="s">
        <v>2025</v>
      </c>
      <c r="B201" s="739" t="s">
        <v>2025</v>
      </c>
      <c r="C201" s="739" t="s">
        <v>2026</v>
      </c>
      <c r="D201" s="739" t="s">
        <v>2026</v>
      </c>
      <c r="E201" s="791">
        <v>333000</v>
      </c>
      <c r="G201" s="739" t="str">
        <f t="shared" si="176"/>
        <v>013801</v>
      </c>
      <c r="J201" s="739">
        <v>3000</v>
      </c>
      <c r="Q201" s="773"/>
      <c r="T201" s="775" t="str">
        <f t="shared" si="177"/>
        <v>023801</v>
      </c>
      <c r="W201" s="739" t="s">
        <v>2032</v>
      </c>
      <c r="Y201" s="775">
        <f t="shared" si="178"/>
        <v>2017</v>
      </c>
      <c r="Z201" s="775">
        <v>12</v>
      </c>
      <c r="AA201" s="739">
        <f>('LedgerLoad Assist'!BD68)*-1</f>
        <v>0</v>
      </c>
      <c r="AB201" s="739">
        <f t="shared" ref="AB201:AC201" si="180">AA201</f>
        <v>0</v>
      </c>
      <c r="AC201" s="739">
        <f t="shared" si="180"/>
        <v>0</v>
      </c>
    </row>
    <row r="202" spans="1:29">
      <c r="A202" s="739" t="s">
        <v>2025</v>
      </c>
      <c r="B202" s="739" t="s">
        <v>2025</v>
      </c>
      <c r="C202" s="739" t="s">
        <v>2026</v>
      </c>
      <c r="D202" s="739" t="s">
        <v>2026</v>
      </c>
      <c r="E202" s="791">
        <v>334000</v>
      </c>
      <c r="G202" s="739" t="str">
        <f t="shared" si="176"/>
        <v>013801</v>
      </c>
      <c r="J202" s="739">
        <v>3000</v>
      </c>
      <c r="Q202" s="773"/>
      <c r="T202" s="775" t="str">
        <f t="shared" si="177"/>
        <v>023801</v>
      </c>
      <c r="W202" s="739" t="s">
        <v>2032</v>
      </c>
      <c r="Y202" s="775">
        <f t="shared" si="178"/>
        <v>2017</v>
      </c>
      <c r="Z202" s="775">
        <v>12</v>
      </c>
      <c r="AA202" s="739">
        <f>('OPER.-NONMAJOR DEBT SER.(69-70)'!AS18+'LedgerLoad Assist'!BD72)*-1</f>
        <v>0</v>
      </c>
      <c r="AB202" s="739">
        <f t="shared" ref="AB202:AC202" si="181">AA202</f>
        <v>0</v>
      </c>
      <c r="AC202" s="739">
        <f t="shared" si="181"/>
        <v>0</v>
      </c>
    </row>
    <row r="203" spans="1:29">
      <c r="A203" s="739" t="s">
        <v>2025</v>
      </c>
      <c r="B203" s="739" t="s">
        <v>2025</v>
      </c>
      <c r="C203" s="739" t="s">
        <v>2026</v>
      </c>
      <c r="D203" s="739" t="s">
        <v>2026</v>
      </c>
      <c r="E203" s="791">
        <v>335000</v>
      </c>
      <c r="G203" s="739" t="str">
        <f t="shared" si="176"/>
        <v>013801</v>
      </c>
      <c r="J203" s="739">
        <v>3000</v>
      </c>
      <c r="Q203" s="773"/>
      <c r="T203" s="775" t="str">
        <f t="shared" si="177"/>
        <v>023801</v>
      </c>
      <c r="W203" s="739" t="s">
        <v>2032</v>
      </c>
      <c r="Y203" s="775">
        <f t="shared" si="178"/>
        <v>2017</v>
      </c>
      <c r="Z203" s="775">
        <v>12</v>
      </c>
      <c r="AA203" s="739">
        <f>('OPER.-NONMAJOR DEBT SER.(69-70)'!AS19+'LedgerLoad Assist'!BD73)*-1</f>
        <v>0</v>
      </c>
      <c r="AB203" s="739">
        <f t="shared" ref="AB203:AC203" si="182">AA203</f>
        <v>0</v>
      </c>
      <c r="AC203" s="739">
        <f t="shared" si="182"/>
        <v>0</v>
      </c>
    </row>
    <row r="204" spans="1:29">
      <c r="A204" s="739" t="s">
        <v>2025</v>
      </c>
      <c r="B204" s="739" t="s">
        <v>2025</v>
      </c>
      <c r="C204" s="739" t="s">
        <v>2026</v>
      </c>
      <c r="D204" s="739" t="s">
        <v>2026</v>
      </c>
      <c r="E204" s="791">
        <v>336000</v>
      </c>
      <c r="G204" s="739" t="str">
        <f t="shared" si="176"/>
        <v>013801</v>
      </c>
      <c r="J204" s="739">
        <v>3000</v>
      </c>
      <c r="Q204" s="773"/>
      <c r="T204" s="775" t="str">
        <f t="shared" si="177"/>
        <v>023801</v>
      </c>
      <c r="W204" s="739" t="s">
        <v>2032</v>
      </c>
      <c r="Y204" s="775">
        <f t="shared" si="178"/>
        <v>2017</v>
      </c>
      <c r="Z204" s="775">
        <v>12</v>
      </c>
      <c r="AA204" s="739">
        <f>('LedgerLoad Assist'!BD74)*-1</f>
        <v>0</v>
      </c>
      <c r="AB204" s="739">
        <f t="shared" ref="AB204:AC204" si="183">AA204</f>
        <v>0</v>
      </c>
      <c r="AC204" s="739">
        <f t="shared" si="183"/>
        <v>0</v>
      </c>
    </row>
    <row r="205" spans="1:29">
      <c r="A205" s="739" t="s">
        <v>2025</v>
      </c>
      <c r="B205" s="739" t="s">
        <v>2025</v>
      </c>
      <c r="C205" s="739" t="s">
        <v>2026</v>
      </c>
      <c r="D205" s="739" t="s">
        <v>2026</v>
      </c>
      <c r="E205" s="791">
        <v>337000</v>
      </c>
      <c r="G205" s="739" t="str">
        <f t="shared" si="176"/>
        <v>013801</v>
      </c>
      <c r="J205" s="739">
        <v>3000</v>
      </c>
      <c r="Q205" s="773"/>
      <c r="T205" s="775" t="str">
        <f t="shared" si="177"/>
        <v>023801</v>
      </c>
      <c r="W205" s="739" t="s">
        <v>2032</v>
      </c>
      <c r="Y205" s="775">
        <f t="shared" si="178"/>
        <v>2017</v>
      </c>
      <c r="Z205" s="775">
        <v>12</v>
      </c>
      <c r="AA205" s="739">
        <f>('LedgerLoad Assist'!BD75)*-1</f>
        <v>0</v>
      </c>
      <c r="AB205" s="739">
        <f t="shared" ref="AB205:AC205" si="184">AA205</f>
        <v>0</v>
      </c>
      <c r="AC205" s="739">
        <f t="shared" si="184"/>
        <v>0</v>
      </c>
    </row>
    <row r="206" spans="1:29">
      <c r="A206" s="739" t="s">
        <v>2025</v>
      </c>
      <c r="B206" s="739" t="s">
        <v>2025</v>
      </c>
      <c r="C206" s="739" t="s">
        <v>2026</v>
      </c>
      <c r="D206" s="739" t="s">
        <v>2026</v>
      </c>
      <c r="E206" s="791">
        <v>338000</v>
      </c>
      <c r="G206" s="739" t="str">
        <f t="shared" si="176"/>
        <v>013801</v>
      </c>
      <c r="J206" s="739">
        <v>3000</v>
      </c>
      <c r="Q206" s="773"/>
      <c r="T206" s="775" t="str">
        <f t="shared" si="177"/>
        <v>023801</v>
      </c>
      <c r="W206" s="739" t="s">
        <v>2032</v>
      </c>
      <c r="Y206" s="775">
        <f t="shared" si="178"/>
        <v>2017</v>
      </c>
      <c r="Z206" s="775">
        <v>12</v>
      </c>
      <c r="AA206" s="739">
        <f>('LedgerLoad Assist'!BD76)*-1</f>
        <v>0</v>
      </c>
      <c r="AB206" s="739">
        <f t="shared" ref="AB206:AC206" si="185">AA206</f>
        <v>0</v>
      </c>
      <c r="AC206" s="739">
        <f t="shared" si="185"/>
        <v>0</v>
      </c>
    </row>
    <row r="207" spans="1:29">
      <c r="A207" s="739" t="s">
        <v>2025</v>
      </c>
      <c r="B207" s="739" t="s">
        <v>2025</v>
      </c>
      <c r="C207" s="739" t="s">
        <v>2026</v>
      </c>
      <c r="D207" s="739" t="s">
        <v>2026</v>
      </c>
      <c r="E207" s="791">
        <v>339000</v>
      </c>
      <c r="G207" s="739" t="str">
        <f t="shared" si="176"/>
        <v>013801</v>
      </c>
      <c r="J207" s="739">
        <v>3000</v>
      </c>
      <c r="Q207" s="773"/>
      <c r="T207" s="775" t="str">
        <f t="shared" si="177"/>
        <v>023801</v>
      </c>
      <c r="W207" s="739" t="s">
        <v>2032</v>
      </c>
      <c r="Y207" s="775">
        <f t="shared" si="178"/>
        <v>2017</v>
      </c>
      <c r="Z207" s="775">
        <v>12</v>
      </c>
      <c r="AA207" s="739">
        <f>('LedgerLoad Assist'!BD77)*-1</f>
        <v>0</v>
      </c>
      <c r="AB207" s="739">
        <f t="shared" ref="AB207:AC207" si="186">AA207</f>
        <v>0</v>
      </c>
      <c r="AC207" s="739">
        <f t="shared" si="186"/>
        <v>0</v>
      </c>
    </row>
    <row r="208" spans="1:29">
      <c r="A208" s="739" t="s">
        <v>2025</v>
      </c>
      <c r="B208" s="739" t="s">
        <v>2025</v>
      </c>
      <c r="C208" s="739" t="s">
        <v>2026</v>
      </c>
      <c r="D208" s="739" t="s">
        <v>2026</v>
      </c>
      <c r="E208" s="791">
        <v>340000</v>
      </c>
      <c r="G208" s="739" t="str">
        <f t="shared" si="176"/>
        <v>013801</v>
      </c>
      <c r="J208" s="739">
        <v>3000</v>
      </c>
      <c r="Q208" s="773"/>
      <c r="T208" s="775" t="str">
        <f t="shared" si="177"/>
        <v>023801</v>
      </c>
      <c r="W208" s="739" t="s">
        <v>2032</v>
      </c>
      <c r="Y208" s="775">
        <f t="shared" si="178"/>
        <v>2017</v>
      </c>
      <c r="Z208" s="775">
        <v>12</v>
      </c>
      <c r="AA208" s="739">
        <f>('OPER.-NONMAJOR DEBT SER.(69-70)'!AS21+'LedgerLoad Assist'!BD78)*-1</f>
        <v>0</v>
      </c>
      <c r="AB208" s="739">
        <f t="shared" ref="AB208:AC208" si="187">AA208</f>
        <v>0</v>
      </c>
      <c r="AC208" s="739">
        <f t="shared" si="187"/>
        <v>0</v>
      </c>
    </row>
    <row r="209" spans="1:29">
      <c r="A209" s="739" t="s">
        <v>2025</v>
      </c>
      <c r="B209" s="739" t="s">
        <v>2025</v>
      </c>
      <c r="C209" s="739" t="s">
        <v>2026</v>
      </c>
      <c r="D209" s="739" t="s">
        <v>2026</v>
      </c>
      <c r="E209" s="791">
        <v>341000</v>
      </c>
      <c r="G209" s="739" t="str">
        <f t="shared" si="176"/>
        <v>013801</v>
      </c>
      <c r="J209" s="739">
        <v>3000</v>
      </c>
      <c r="Q209" s="773"/>
      <c r="T209" s="775" t="str">
        <f t="shared" si="177"/>
        <v>023801</v>
      </c>
      <c r="W209" s="739" t="s">
        <v>2032</v>
      </c>
      <c r="Y209" s="775">
        <f t="shared" si="178"/>
        <v>2017</v>
      </c>
      <c r="Z209" s="775">
        <v>12</v>
      </c>
      <c r="AA209" s="739">
        <f>('LedgerLoad Assist'!BD79)*-1</f>
        <v>0</v>
      </c>
      <c r="AB209" s="739">
        <f t="shared" ref="AB209:AC209" si="188">AA209</f>
        <v>0</v>
      </c>
      <c r="AC209" s="739">
        <f t="shared" si="188"/>
        <v>0</v>
      </c>
    </row>
    <row r="210" spans="1:29">
      <c r="A210" s="739" t="s">
        <v>2025</v>
      </c>
      <c r="B210" s="739" t="s">
        <v>2025</v>
      </c>
      <c r="C210" s="739" t="s">
        <v>2026</v>
      </c>
      <c r="D210" s="739" t="s">
        <v>2026</v>
      </c>
      <c r="E210" s="791">
        <v>342000</v>
      </c>
      <c r="G210" s="739" t="str">
        <f t="shared" si="176"/>
        <v>013801</v>
      </c>
      <c r="J210" s="739">
        <v>3000</v>
      </c>
      <c r="Q210" s="773"/>
      <c r="T210" s="775" t="str">
        <f t="shared" si="177"/>
        <v>023801</v>
      </c>
      <c r="W210" s="739" t="s">
        <v>2032</v>
      </c>
      <c r="Y210" s="775">
        <f t="shared" si="178"/>
        <v>2017</v>
      </c>
      <c r="Z210" s="775">
        <v>12</v>
      </c>
      <c r="AA210" s="739">
        <f>('LedgerLoad Assist'!BD80)*-1</f>
        <v>0</v>
      </c>
      <c r="AB210" s="739">
        <f t="shared" ref="AB210:AC210" si="189">AA210</f>
        <v>0</v>
      </c>
      <c r="AC210" s="739">
        <f t="shared" si="189"/>
        <v>0</v>
      </c>
    </row>
    <row r="211" spans="1:29">
      <c r="A211" s="739" t="s">
        <v>2025</v>
      </c>
      <c r="B211" s="739" t="s">
        <v>2025</v>
      </c>
      <c r="C211" s="739" t="s">
        <v>2026</v>
      </c>
      <c r="D211" s="739" t="s">
        <v>2026</v>
      </c>
      <c r="E211" s="791">
        <v>343000</v>
      </c>
      <c r="G211" s="739" t="str">
        <f t="shared" si="176"/>
        <v>013801</v>
      </c>
      <c r="J211" s="739">
        <v>3000</v>
      </c>
      <c r="Q211" s="773"/>
      <c r="T211" s="775" t="str">
        <f t="shared" si="177"/>
        <v>023801</v>
      </c>
      <c r="W211" s="739" t="s">
        <v>2032</v>
      </c>
      <c r="Y211" s="775">
        <f t="shared" si="178"/>
        <v>2017</v>
      </c>
      <c r="Z211" s="775">
        <v>12</v>
      </c>
      <c r="AA211" s="739">
        <f>('LedgerLoad Assist'!BD81)*-1</f>
        <v>0</v>
      </c>
      <c r="AB211" s="739">
        <f t="shared" ref="AB211:AC211" si="190">AA211</f>
        <v>0</v>
      </c>
      <c r="AC211" s="739">
        <f t="shared" si="190"/>
        <v>0</v>
      </c>
    </row>
    <row r="212" spans="1:29">
      <c r="A212" s="739" t="s">
        <v>2025</v>
      </c>
      <c r="B212" s="739" t="s">
        <v>2025</v>
      </c>
      <c r="C212" s="739" t="s">
        <v>2026</v>
      </c>
      <c r="D212" s="739" t="s">
        <v>2026</v>
      </c>
      <c r="E212" s="791">
        <v>344000</v>
      </c>
      <c r="G212" s="739" t="str">
        <f t="shared" si="176"/>
        <v>013801</v>
      </c>
      <c r="J212" s="739">
        <v>3000</v>
      </c>
      <c r="Q212" s="773"/>
      <c r="T212" s="775" t="str">
        <f t="shared" si="177"/>
        <v>023801</v>
      </c>
      <c r="W212" s="739" t="s">
        <v>2032</v>
      </c>
      <c r="Y212" s="775">
        <f t="shared" si="178"/>
        <v>2017</v>
      </c>
      <c r="Z212" s="775">
        <v>12</v>
      </c>
      <c r="AA212" s="739">
        <f>('LedgerLoad Assist'!BD82)*-1</f>
        <v>0</v>
      </c>
      <c r="AB212" s="739">
        <f t="shared" ref="AB212:AC212" si="191">AA212</f>
        <v>0</v>
      </c>
      <c r="AC212" s="739">
        <f t="shared" si="191"/>
        <v>0</v>
      </c>
    </row>
    <row r="213" spans="1:29">
      <c r="A213" s="739" t="s">
        <v>2025</v>
      </c>
      <c r="B213" s="739" t="s">
        <v>2025</v>
      </c>
      <c r="C213" s="739" t="s">
        <v>2026</v>
      </c>
      <c r="D213" s="739" t="s">
        <v>2026</v>
      </c>
      <c r="E213" s="791">
        <v>345000</v>
      </c>
      <c r="G213" s="739" t="str">
        <f t="shared" si="176"/>
        <v>013801</v>
      </c>
      <c r="J213" s="739">
        <v>3000</v>
      </c>
      <c r="Q213" s="773"/>
      <c r="T213" s="775" t="str">
        <f t="shared" si="177"/>
        <v>023801</v>
      </c>
      <c r="W213" s="739" t="s">
        <v>2032</v>
      </c>
      <c r="Y213" s="775">
        <f t="shared" si="178"/>
        <v>2017</v>
      </c>
      <c r="Z213" s="775">
        <v>12</v>
      </c>
      <c r="AA213" s="739">
        <f>('LedgerLoad Assist'!BD83)*-1</f>
        <v>0</v>
      </c>
      <c r="AB213" s="739">
        <f t="shared" ref="AB213:AC213" si="192">AA213</f>
        <v>0</v>
      </c>
      <c r="AC213" s="739">
        <f t="shared" si="192"/>
        <v>0</v>
      </c>
    </row>
    <row r="214" spans="1:29">
      <c r="A214" s="739" t="s">
        <v>2025</v>
      </c>
      <c r="B214" s="739" t="s">
        <v>2025</v>
      </c>
      <c r="C214" s="739" t="s">
        <v>2026</v>
      </c>
      <c r="D214" s="739" t="s">
        <v>2026</v>
      </c>
      <c r="E214" s="791">
        <v>346000</v>
      </c>
      <c r="G214" s="739" t="str">
        <f t="shared" si="176"/>
        <v>013801</v>
      </c>
      <c r="J214" s="739">
        <v>3000</v>
      </c>
      <c r="Q214" s="773"/>
      <c r="T214" s="775" t="str">
        <f t="shared" si="177"/>
        <v>023801</v>
      </c>
      <c r="W214" s="739" t="s">
        <v>2032</v>
      </c>
      <c r="Y214" s="775">
        <f t="shared" si="178"/>
        <v>2017</v>
      </c>
      <c r="Z214" s="775">
        <v>12</v>
      </c>
      <c r="AA214" s="739">
        <f>('LedgerLoad Assist'!BD84)*-1</f>
        <v>0</v>
      </c>
      <c r="AB214" s="739">
        <f t="shared" ref="AB214:AC214" si="193">AA214</f>
        <v>0</v>
      </c>
      <c r="AC214" s="739">
        <f t="shared" si="193"/>
        <v>0</v>
      </c>
    </row>
    <row r="215" spans="1:29">
      <c r="A215" s="739" t="s">
        <v>2025</v>
      </c>
      <c r="B215" s="739" t="s">
        <v>2025</v>
      </c>
      <c r="C215" s="739" t="s">
        <v>2026</v>
      </c>
      <c r="D215" s="739" t="s">
        <v>2026</v>
      </c>
      <c r="E215" s="791">
        <v>350000</v>
      </c>
      <c r="G215" s="739" t="str">
        <f t="shared" si="176"/>
        <v>013801</v>
      </c>
      <c r="J215" s="739">
        <v>3000</v>
      </c>
      <c r="Q215" s="773"/>
      <c r="T215" s="775" t="str">
        <f t="shared" si="177"/>
        <v>023801</v>
      </c>
      <c r="W215" s="739" t="s">
        <v>2032</v>
      </c>
      <c r="Y215" s="775">
        <f t="shared" si="178"/>
        <v>2017</v>
      </c>
      <c r="Z215" s="775">
        <v>12</v>
      </c>
      <c r="AA215" s="739">
        <f>('LedgerLoad Assist'!BD85)*-1</f>
        <v>0</v>
      </c>
      <c r="AB215" s="739">
        <f t="shared" ref="AB215:AC215" si="194">AA215</f>
        <v>0</v>
      </c>
      <c r="AC215" s="739">
        <f t="shared" si="194"/>
        <v>0</v>
      </c>
    </row>
    <row r="216" spans="1:29">
      <c r="A216" s="739" t="s">
        <v>2025</v>
      </c>
      <c r="B216" s="739" t="s">
        <v>2025</v>
      </c>
      <c r="C216" s="739" t="s">
        <v>2026</v>
      </c>
      <c r="D216" s="739" t="s">
        <v>2026</v>
      </c>
      <c r="E216" s="791">
        <v>351000</v>
      </c>
      <c r="G216" s="739" t="str">
        <f t="shared" si="176"/>
        <v>013801</v>
      </c>
      <c r="J216" s="739">
        <v>3000</v>
      </c>
      <c r="Q216" s="773"/>
      <c r="T216" s="775" t="str">
        <f t="shared" si="177"/>
        <v>023801</v>
      </c>
      <c r="W216" s="739" t="s">
        <v>2032</v>
      </c>
      <c r="Y216" s="775">
        <f t="shared" si="178"/>
        <v>2017</v>
      </c>
      <c r="Z216" s="775">
        <v>12</v>
      </c>
      <c r="AA216" s="739">
        <f>('LedgerLoad Assist'!BD86)*-1</f>
        <v>0</v>
      </c>
      <c r="AB216" s="739">
        <f t="shared" ref="AB216:AC216" si="195">AA216</f>
        <v>0</v>
      </c>
      <c r="AC216" s="739">
        <f t="shared" si="195"/>
        <v>0</v>
      </c>
    </row>
    <row r="217" spans="1:29">
      <c r="A217" s="739" t="s">
        <v>2025</v>
      </c>
      <c r="B217" s="739" t="s">
        <v>2025</v>
      </c>
      <c r="C217" s="739" t="s">
        <v>2026</v>
      </c>
      <c r="D217" s="739" t="s">
        <v>2026</v>
      </c>
      <c r="E217" s="792">
        <v>362000</v>
      </c>
      <c r="G217" s="739" t="str">
        <f t="shared" si="176"/>
        <v>013801</v>
      </c>
      <c r="J217" s="739">
        <v>3000</v>
      </c>
      <c r="Q217" s="773"/>
      <c r="T217" s="775" t="str">
        <f t="shared" si="177"/>
        <v>023801</v>
      </c>
      <c r="W217" s="739" t="s">
        <v>2032</v>
      </c>
      <c r="Y217" s="775">
        <f t="shared" si="178"/>
        <v>2017</v>
      </c>
      <c r="Z217" s="775">
        <v>12</v>
      </c>
      <c r="AA217" s="739">
        <f>('LedgerLoad Assist'!BD87)*-1</f>
        <v>0</v>
      </c>
      <c r="AB217" s="739">
        <f t="shared" ref="AB217:AC217" si="196">AA217</f>
        <v>0</v>
      </c>
      <c r="AC217" s="739">
        <f t="shared" si="196"/>
        <v>0</v>
      </c>
    </row>
    <row r="218" spans="1:29">
      <c r="A218" s="739" t="s">
        <v>2025</v>
      </c>
      <c r="B218" s="739" t="s">
        <v>2025</v>
      </c>
      <c r="C218" s="739" t="s">
        <v>2026</v>
      </c>
      <c r="D218" s="739" t="s">
        <v>2026</v>
      </c>
      <c r="E218" s="791">
        <v>361000</v>
      </c>
      <c r="G218" s="739" t="str">
        <f t="shared" si="176"/>
        <v>013801</v>
      </c>
      <c r="J218" s="739">
        <v>3000</v>
      </c>
      <c r="Q218" s="773"/>
      <c r="T218" s="775" t="str">
        <f t="shared" si="177"/>
        <v>023801</v>
      </c>
      <c r="W218" s="739" t="s">
        <v>2032</v>
      </c>
      <c r="Y218" s="775">
        <f t="shared" si="178"/>
        <v>2017</v>
      </c>
      <c r="Z218" s="775">
        <v>12</v>
      </c>
      <c r="AA218" s="739">
        <f>('LedgerLoad Assist'!BD88)*-1</f>
        <v>0</v>
      </c>
      <c r="AB218" s="739">
        <f t="shared" ref="AB218:AC218" si="197">AA218</f>
        <v>0</v>
      </c>
      <c r="AC218" s="739">
        <f t="shared" si="197"/>
        <v>0</v>
      </c>
    </row>
    <row r="219" spans="1:29">
      <c r="A219" s="739" t="s">
        <v>2025</v>
      </c>
      <c r="B219" s="739" t="s">
        <v>2025</v>
      </c>
      <c r="C219" s="739" t="s">
        <v>2026</v>
      </c>
      <c r="D219" s="739" t="s">
        <v>2026</v>
      </c>
      <c r="E219" s="792">
        <v>360000</v>
      </c>
      <c r="G219" s="739" t="str">
        <f t="shared" si="176"/>
        <v>013801</v>
      </c>
      <c r="J219" s="739">
        <v>3000</v>
      </c>
      <c r="Q219" s="773"/>
      <c r="T219" s="775" t="str">
        <f t="shared" si="177"/>
        <v>023801</v>
      </c>
      <c r="W219" s="739" t="s">
        <v>2032</v>
      </c>
      <c r="Y219" s="775">
        <f t="shared" si="178"/>
        <v>2017</v>
      </c>
      <c r="Z219" s="775">
        <v>12</v>
      </c>
      <c r="AA219" s="739">
        <f>('LedgerLoad Assist'!BD89+'OPER.-NONMAJOR DEBT SER.(69-70)'!AS24)*-1</f>
        <v>0</v>
      </c>
      <c r="AB219" s="739">
        <f t="shared" ref="AB219:AC219" si="198">AA219</f>
        <v>0</v>
      </c>
      <c r="AC219" s="739">
        <f t="shared" si="198"/>
        <v>0</v>
      </c>
    </row>
    <row r="220" spans="1:29">
      <c r="A220" s="739" t="s">
        <v>2025</v>
      </c>
      <c r="B220" s="739" t="s">
        <v>2025</v>
      </c>
      <c r="C220" s="739" t="s">
        <v>2026</v>
      </c>
      <c r="D220" s="739" t="s">
        <v>2026</v>
      </c>
      <c r="E220" s="791">
        <v>363000</v>
      </c>
      <c r="G220" s="739" t="str">
        <f t="shared" si="176"/>
        <v>013801</v>
      </c>
      <c r="J220" s="739">
        <v>3000</v>
      </c>
      <c r="Q220" s="773"/>
      <c r="T220" s="775" t="str">
        <f t="shared" si="177"/>
        <v>023801</v>
      </c>
      <c r="W220" s="739" t="s">
        <v>2032</v>
      </c>
      <c r="Y220" s="775">
        <f t="shared" si="178"/>
        <v>2017</v>
      </c>
      <c r="Z220" s="775">
        <v>12</v>
      </c>
      <c r="AA220" s="739">
        <f>('LedgerLoad Assist'!BD90)*-1</f>
        <v>0</v>
      </c>
      <c r="AB220" s="739">
        <f t="shared" ref="AB220:AC220" si="199">AA220</f>
        <v>0</v>
      </c>
      <c r="AC220" s="739">
        <f t="shared" si="199"/>
        <v>0</v>
      </c>
    </row>
    <row r="221" spans="1:29">
      <c r="A221" s="739" t="s">
        <v>2025</v>
      </c>
      <c r="B221" s="739" t="s">
        <v>2025</v>
      </c>
      <c r="C221" s="739" t="s">
        <v>2026</v>
      </c>
      <c r="D221" s="739" t="s">
        <v>2026</v>
      </c>
      <c r="E221" s="791">
        <v>365000</v>
      </c>
      <c r="G221" s="739" t="str">
        <f t="shared" si="176"/>
        <v>013801</v>
      </c>
      <c r="J221" s="739">
        <v>3000</v>
      </c>
      <c r="Q221" s="773"/>
      <c r="T221" s="775" t="str">
        <f t="shared" si="177"/>
        <v>023801</v>
      </c>
      <c r="W221" s="739" t="s">
        <v>2032</v>
      </c>
      <c r="Y221" s="775">
        <f t="shared" si="178"/>
        <v>2017</v>
      </c>
      <c r="Z221" s="775">
        <v>12</v>
      </c>
      <c r="AA221" s="739">
        <f>('LedgerLoad Assist'!BD91)*-1</f>
        <v>0</v>
      </c>
      <c r="AB221" s="739">
        <f t="shared" ref="AB221:AC221" si="200">AA221</f>
        <v>0</v>
      </c>
      <c r="AC221" s="739">
        <f t="shared" si="200"/>
        <v>0</v>
      </c>
    </row>
    <row r="222" spans="1:29">
      <c r="A222" s="739" t="s">
        <v>2025</v>
      </c>
      <c r="B222" s="739" t="s">
        <v>2025</v>
      </c>
      <c r="C222" s="739" t="s">
        <v>2026</v>
      </c>
      <c r="D222" s="739" t="s">
        <v>2026</v>
      </c>
      <c r="E222" s="791">
        <v>366000</v>
      </c>
      <c r="G222" s="739" t="str">
        <f t="shared" si="176"/>
        <v>013801</v>
      </c>
      <c r="J222" s="739">
        <v>3000</v>
      </c>
      <c r="Q222" s="773"/>
      <c r="T222" s="775" t="str">
        <f t="shared" si="177"/>
        <v>023801</v>
      </c>
      <c r="W222" s="739" t="s">
        <v>2032</v>
      </c>
      <c r="Y222" s="775">
        <f t="shared" si="178"/>
        <v>2017</v>
      </c>
      <c r="Z222" s="775">
        <v>12</v>
      </c>
      <c r="AA222" s="739">
        <f>('LedgerLoad Assist'!BD92)*-1</f>
        <v>0</v>
      </c>
      <c r="AB222" s="739">
        <f t="shared" ref="AB222:AC222" si="201">AA222</f>
        <v>0</v>
      </c>
      <c r="AC222" s="739">
        <f t="shared" si="201"/>
        <v>0</v>
      </c>
    </row>
    <row r="223" spans="1:29">
      <c r="A223" s="739" t="s">
        <v>2025</v>
      </c>
      <c r="B223" s="739" t="s">
        <v>2025</v>
      </c>
      <c r="C223" s="739" t="s">
        <v>2026</v>
      </c>
      <c r="D223" s="739" t="s">
        <v>2026</v>
      </c>
      <c r="E223" s="791">
        <v>367000</v>
      </c>
      <c r="G223" s="739" t="str">
        <f t="shared" si="176"/>
        <v>013801</v>
      </c>
      <c r="J223" s="739">
        <v>3000</v>
      </c>
      <c r="Q223" s="773"/>
      <c r="T223" s="775" t="str">
        <f t="shared" si="177"/>
        <v>023801</v>
      </c>
      <c r="W223" s="739" t="s">
        <v>2032</v>
      </c>
      <c r="Y223" s="775">
        <f t="shared" si="178"/>
        <v>2017</v>
      </c>
      <c r="Z223" s="775">
        <v>12</v>
      </c>
      <c r="AA223" s="739">
        <f>('LedgerLoad Assist'!BD93)*-1</f>
        <v>0</v>
      </c>
      <c r="AB223" s="739">
        <f t="shared" ref="AB223:AC223" si="202">AA223</f>
        <v>0</v>
      </c>
      <c r="AC223" s="739">
        <f t="shared" si="202"/>
        <v>0</v>
      </c>
    </row>
    <row r="224" spans="1:29">
      <c r="A224" s="739" t="s">
        <v>2025</v>
      </c>
      <c r="B224" s="739" t="s">
        <v>2025</v>
      </c>
      <c r="C224" s="739" t="s">
        <v>2026</v>
      </c>
      <c r="D224" s="739" t="s">
        <v>2026</v>
      </c>
      <c r="E224" s="791">
        <v>368000</v>
      </c>
      <c r="G224" s="739" t="str">
        <f t="shared" si="176"/>
        <v>013801</v>
      </c>
      <c r="J224" s="739">
        <v>3000</v>
      </c>
      <c r="Q224" s="773"/>
      <c r="T224" s="775" t="str">
        <f t="shared" si="177"/>
        <v>023801</v>
      </c>
      <c r="W224" s="739" t="s">
        <v>2032</v>
      </c>
      <c r="Y224" s="775">
        <f t="shared" si="178"/>
        <v>2017</v>
      </c>
      <c r="Z224" s="775">
        <v>12</v>
      </c>
      <c r="AA224" s="739">
        <f>('LedgerLoad Assist'!BD94)*-1</f>
        <v>0</v>
      </c>
      <c r="AB224" s="739">
        <f t="shared" ref="AB224:AC224" si="203">AA224</f>
        <v>0</v>
      </c>
      <c r="AC224" s="739">
        <f t="shared" si="203"/>
        <v>0</v>
      </c>
    </row>
    <row r="225" spans="1:29">
      <c r="A225" s="739" t="s">
        <v>2025</v>
      </c>
      <c r="B225" s="739" t="s">
        <v>2025</v>
      </c>
      <c r="C225" s="739" t="s">
        <v>2026</v>
      </c>
      <c r="D225" s="739" t="s">
        <v>2026</v>
      </c>
      <c r="E225" s="791">
        <v>370000</v>
      </c>
      <c r="G225" s="739" t="str">
        <f t="shared" si="176"/>
        <v>013801</v>
      </c>
      <c r="J225" s="739">
        <v>3000</v>
      </c>
      <c r="Q225" s="773"/>
      <c r="T225" s="775" t="str">
        <f t="shared" si="177"/>
        <v>023801</v>
      </c>
      <c r="W225" s="739" t="s">
        <v>2032</v>
      </c>
      <c r="Y225" s="775">
        <f t="shared" si="178"/>
        <v>2017</v>
      </c>
      <c r="Z225" s="775">
        <v>12</v>
      </c>
      <c r="AA225" s="739">
        <f>('LedgerLoad Assist'!BD95)*-1</f>
        <v>0</v>
      </c>
      <c r="AB225" s="739">
        <f t="shared" ref="AB225:AC225" si="204">AA225</f>
        <v>0</v>
      </c>
      <c r="AC225" s="739">
        <f t="shared" si="204"/>
        <v>0</v>
      </c>
    </row>
    <row r="226" spans="1:29">
      <c r="A226" s="739" t="s">
        <v>2025</v>
      </c>
      <c r="B226" s="739" t="s">
        <v>2025</v>
      </c>
      <c r="C226" s="739" t="s">
        <v>2026</v>
      </c>
      <c r="D226" s="739" t="s">
        <v>2026</v>
      </c>
      <c r="E226" s="791">
        <v>371000</v>
      </c>
      <c r="G226" s="739" t="str">
        <f t="shared" si="176"/>
        <v>013801</v>
      </c>
      <c r="J226" s="739">
        <v>3000</v>
      </c>
      <c r="Q226" s="773"/>
      <c r="T226" s="775" t="str">
        <f t="shared" si="177"/>
        <v>023801</v>
      </c>
      <c r="W226" s="739" t="s">
        <v>2032</v>
      </c>
      <c r="Y226" s="775">
        <f t="shared" si="178"/>
        <v>2017</v>
      </c>
      <c r="Z226" s="775">
        <v>12</v>
      </c>
      <c r="AA226" s="739">
        <f>('LedgerLoad Assist'!BD96)*-1</f>
        <v>0</v>
      </c>
      <c r="AB226" s="739">
        <f t="shared" ref="AB226:AC226" si="205">AA226</f>
        <v>0</v>
      </c>
      <c r="AC226" s="739">
        <f t="shared" si="205"/>
        <v>0</v>
      </c>
    </row>
    <row r="227" spans="1:29">
      <c r="A227" s="739" t="s">
        <v>2025</v>
      </c>
      <c r="B227" s="739" t="s">
        <v>2025</v>
      </c>
      <c r="C227" s="739" t="s">
        <v>2026</v>
      </c>
      <c r="D227" s="739" t="s">
        <v>2026</v>
      </c>
      <c r="E227" s="791">
        <v>372000</v>
      </c>
      <c r="G227" s="739" t="str">
        <f t="shared" si="176"/>
        <v>013801</v>
      </c>
      <c r="J227" s="739">
        <v>3000</v>
      </c>
      <c r="Q227" s="773"/>
      <c r="T227" s="775" t="str">
        <f t="shared" si="177"/>
        <v>023801</v>
      </c>
      <c r="W227" s="739" t="s">
        <v>2032</v>
      </c>
      <c r="Y227" s="775">
        <f t="shared" si="178"/>
        <v>2017</v>
      </c>
      <c r="Z227" s="775">
        <v>12</v>
      </c>
      <c r="AA227" s="739">
        <f>('LedgerLoad Assist'!BD97)*-1</f>
        <v>0</v>
      </c>
      <c r="AB227" s="739">
        <f t="shared" ref="AB227:AC227" si="206">AA227</f>
        <v>0</v>
      </c>
      <c r="AC227" s="739">
        <f t="shared" si="206"/>
        <v>0</v>
      </c>
    </row>
    <row r="228" spans="1:29">
      <c r="A228" s="739" t="s">
        <v>2025</v>
      </c>
      <c r="B228" s="739" t="s">
        <v>2025</v>
      </c>
      <c r="C228" s="739" t="s">
        <v>2026</v>
      </c>
      <c r="D228" s="739" t="s">
        <v>2026</v>
      </c>
      <c r="E228" s="791">
        <v>373000</v>
      </c>
      <c r="G228" s="739" t="str">
        <f t="shared" si="176"/>
        <v>013801</v>
      </c>
      <c r="J228" s="739">
        <v>3000</v>
      </c>
      <c r="Q228" s="773"/>
      <c r="T228" s="775" t="str">
        <f t="shared" si="177"/>
        <v>023801</v>
      </c>
      <c r="W228" s="739" t="s">
        <v>2032</v>
      </c>
      <c r="Y228" s="775">
        <f t="shared" si="178"/>
        <v>2017</v>
      </c>
      <c r="Z228" s="775">
        <v>12</v>
      </c>
      <c r="AA228" s="739">
        <f>('LedgerLoad Assist'!BD98)*-1</f>
        <v>0</v>
      </c>
      <c r="AB228" s="739">
        <f t="shared" ref="AB228:AC228" si="207">AA228</f>
        <v>0</v>
      </c>
      <c r="AC228" s="739">
        <f t="shared" si="207"/>
        <v>0</v>
      </c>
    </row>
    <row r="229" spans="1:29">
      <c r="A229" s="739" t="s">
        <v>2025</v>
      </c>
      <c r="B229" s="739" t="s">
        <v>2025</v>
      </c>
      <c r="C229" s="739" t="s">
        <v>2026</v>
      </c>
      <c r="D229" s="739" t="s">
        <v>2026</v>
      </c>
      <c r="E229" s="791">
        <v>380000</v>
      </c>
      <c r="G229" s="739" t="str">
        <f t="shared" si="176"/>
        <v>013801</v>
      </c>
      <c r="J229" s="739">
        <v>3000</v>
      </c>
      <c r="Q229" s="773"/>
      <c r="T229" s="775" t="str">
        <f t="shared" si="177"/>
        <v>023801</v>
      </c>
      <c r="W229" s="739" t="s">
        <v>2032</v>
      </c>
      <c r="Y229" s="775">
        <f t="shared" si="178"/>
        <v>2017</v>
      </c>
      <c r="Z229" s="775">
        <v>12</v>
      </c>
      <c r="AA229" s="739">
        <f>('LedgerLoad Assist'!BD99)*-1</f>
        <v>0</v>
      </c>
      <c r="AB229" s="739">
        <f t="shared" ref="AB229:AC229" si="208">AA229</f>
        <v>0</v>
      </c>
      <c r="AC229" s="739">
        <f t="shared" si="208"/>
        <v>0</v>
      </c>
    </row>
    <row r="230" spans="1:29">
      <c r="A230" s="739" t="s">
        <v>2025</v>
      </c>
      <c r="B230" s="739" t="s">
        <v>2025</v>
      </c>
      <c r="C230" s="739" t="s">
        <v>2026</v>
      </c>
      <c r="D230" s="739" t="s">
        <v>2026</v>
      </c>
      <c r="E230" s="791">
        <v>381000</v>
      </c>
      <c r="G230" s="739" t="str">
        <f t="shared" si="176"/>
        <v>013801</v>
      </c>
      <c r="J230" s="739">
        <v>3000</v>
      </c>
      <c r="Q230" s="773"/>
      <c r="T230" s="775" t="str">
        <f t="shared" si="177"/>
        <v>023801</v>
      </c>
      <c r="W230" s="739" t="s">
        <v>2032</v>
      </c>
      <c r="Y230" s="775">
        <f t="shared" si="178"/>
        <v>2017</v>
      </c>
      <c r="Z230" s="775">
        <v>12</v>
      </c>
      <c r="AA230" s="739">
        <f>('LedgerLoad Assist'!BD100)*-1</f>
        <v>0</v>
      </c>
      <c r="AB230" s="739">
        <f t="shared" ref="AB230:AC230" si="209">AA230</f>
        <v>0</v>
      </c>
      <c r="AC230" s="739">
        <f t="shared" si="209"/>
        <v>0</v>
      </c>
    </row>
    <row r="231" spans="1:29">
      <c r="A231" s="739" t="s">
        <v>2025</v>
      </c>
      <c r="B231" s="739" t="s">
        <v>2025</v>
      </c>
      <c r="C231" s="739" t="s">
        <v>2026</v>
      </c>
      <c r="D231" s="739" t="s">
        <v>2026</v>
      </c>
      <c r="E231" s="791">
        <v>382000</v>
      </c>
      <c r="G231" s="739" t="str">
        <f t="shared" si="176"/>
        <v>013801</v>
      </c>
      <c r="J231" s="739">
        <v>3000</v>
      </c>
      <c r="Q231" s="773"/>
      <c r="T231" s="775" t="str">
        <f t="shared" si="177"/>
        <v>023801</v>
      </c>
      <c r="W231" s="739" t="s">
        <v>2032</v>
      </c>
      <c r="Y231" s="775">
        <f t="shared" si="178"/>
        <v>2017</v>
      </c>
      <c r="Z231" s="775">
        <v>12</v>
      </c>
      <c r="AA231" s="739">
        <f>('OPER.-NONMAJOR DEBT SER.(69-70)'!AS37+'LedgerLoad Assist'!BD101)*-1</f>
        <v>0</v>
      </c>
      <c r="AB231" s="739">
        <f t="shared" ref="AB231:AC231" si="210">AA231</f>
        <v>0</v>
      </c>
      <c r="AC231" s="739">
        <f t="shared" si="210"/>
        <v>0</v>
      </c>
    </row>
    <row r="232" spans="1:29">
      <c r="A232" s="739" t="s">
        <v>2025</v>
      </c>
      <c r="B232" s="739" t="s">
        <v>2025</v>
      </c>
      <c r="C232" s="739" t="s">
        <v>2026</v>
      </c>
      <c r="D232" s="739" t="s">
        <v>2026</v>
      </c>
      <c r="E232" s="791">
        <v>383000</v>
      </c>
      <c r="G232" s="739" t="str">
        <f t="shared" si="176"/>
        <v>013801</v>
      </c>
      <c r="J232" s="739">
        <v>3000</v>
      </c>
      <c r="Q232" s="773"/>
      <c r="T232" s="775" t="str">
        <f t="shared" si="177"/>
        <v>023801</v>
      </c>
      <c r="W232" s="739" t="s">
        <v>2032</v>
      </c>
      <c r="Y232" s="775">
        <f t="shared" si="178"/>
        <v>2017</v>
      </c>
      <c r="Z232" s="775">
        <v>12</v>
      </c>
      <c r="AA232" s="739">
        <f>('OPER.-NONMAJOR DEBT SER.(69-70)'!AS38+'LedgerLoad Assist'!BD102)*-1</f>
        <v>0</v>
      </c>
      <c r="AB232" s="739">
        <f t="shared" ref="AB232:AC232" si="211">AA232</f>
        <v>0</v>
      </c>
      <c r="AC232" s="739">
        <f t="shared" si="211"/>
        <v>0</v>
      </c>
    </row>
    <row r="233" spans="1:29">
      <c r="A233" s="739" t="s">
        <v>2025</v>
      </c>
      <c r="B233" s="739" t="s">
        <v>2025</v>
      </c>
      <c r="C233" s="739" t="s">
        <v>2026</v>
      </c>
      <c r="D233" s="739" t="s">
        <v>2026</v>
      </c>
      <c r="E233" s="791">
        <v>384000</v>
      </c>
      <c r="G233" s="739" t="str">
        <f t="shared" si="176"/>
        <v>013801</v>
      </c>
      <c r="J233" s="739">
        <v>3000</v>
      </c>
      <c r="Q233" s="773"/>
      <c r="T233" s="775" t="str">
        <f t="shared" si="177"/>
        <v>023801</v>
      </c>
      <c r="W233" s="739" t="s">
        <v>2032</v>
      </c>
      <c r="Y233" s="775">
        <f t="shared" si="178"/>
        <v>2017</v>
      </c>
      <c r="Z233" s="775">
        <v>12</v>
      </c>
      <c r="AA233" s="739">
        <f>('OPER.-NONMAJOR DEBT SER.(69-70)'!AS40+'LedgerLoad Assist'!BD103)*-1</f>
        <v>0</v>
      </c>
      <c r="AB233" s="739">
        <f t="shared" ref="AB233:AC233" si="212">AA233</f>
        <v>0</v>
      </c>
      <c r="AC233" s="739">
        <f t="shared" si="212"/>
        <v>0</v>
      </c>
    </row>
    <row r="234" spans="1:29">
      <c r="A234" s="739" t="s">
        <v>2025</v>
      </c>
      <c r="B234" s="739" t="s">
        <v>2025</v>
      </c>
      <c r="C234" s="739" t="s">
        <v>2026</v>
      </c>
      <c r="D234" s="739" t="s">
        <v>2026</v>
      </c>
      <c r="E234" s="791">
        <v>385000</v>
      </c>
      <c r="G234" s="739" t="str">
        <f t="shared" si="176"/>
        <v>013801</v>
      </c>
      <c r="J234" s="739">
        <v>3000</v>
      </c>
      <c r="Q234" s="773"/>
      <c r="T234" s="775" t="str">
        <f t="shared" si="177"/>
        <v>023801</v>
      </c>
      <c r="W234" s="739" t="s">
        <v>2032</v>
      </c>
      <c r="Y234" s="775">
        <f t="shared" si="178"/>
        <v>2017</v>
      </c>
      <c r="Z234" s="775">
        <v>12</v>
      </c>
      <c r="AA234" s="739">
        <f>('OPER.-NONMAJOR DEBT SER.(69-70)'!AS41+'LedgerLoad Assist'!BD104)*-1</f>
        <v>0</v>
      </c>
      <c r="AB234" s="739">
        <f t="shared" ref="AB234:AC234" si="213">AA234</f>
        <v>0</v>
      </c>
      <c r="AC234" s="739">
        <f t="shared" si="213"/>
        <v>0</v>
      </c>
    </row>
    <row r="235" spans="1:29">
      <c r="A235" s="739" t="s">
        <v>2025</v>
      </c>
      <c r="B235" s="739" t="s">
        <v>2025</v>
      </c>
      <c r="C235" s="739" t="s">
        <v>2026</v>
      </c>
      <c r="D235" s="739" t="s">
        <v>2026</v>
      </c>
      <c r="E235" s="791">
        <v>390000</v>
      </c>
      <c r="G235" s="739" t="str">
        <f t="shared" si="176"/>
        <v>013801</v>
      </c>
      <c r="J235" s="739">
        <v>3000</v>
      </c>
      <c r="Q235" s="773"/>
      <c r="T235" s="775" t="str">
        <f t="shared" si="177"/>
        <v>023801</v>
      </c>
      <c r="W235" s="739" t="s">
        <v>2032</v>
      </c>
      <c r="Y235" s="775">
        <f t="shared" si="178"/>
        <v>2017</v>
      </c>
      <c r="Z235" s="775">
        <v>12</v>
      </c>
      <c r="AA235" s="739">
        <f>('LedgerLoad Assist'!BD105)*-1</f>
        <v>0</v>
      </c>
      <c r="AB235" s="739">
        <f t="shared" ref="AB235:AC235" si="214">AA235</f>
        <v>0</v>
      </c>
      <c r="AC235" s="739">
        <f t="shared" si="214"/>
        <v>0</v>
      </c>
    </row>
    <row r="236" spans="1:29">
      <c r="A236" s="739" t="s">
        <v>2025</v>
      </c>
      <c r="B236" s="739" t="s">
        <v>2025</v>
      </c>
      <c r="C236" s="739" t="s">
        <v>2026</v>
      </c>
      <c r="D236" s="739" t="s">
        <v>2026</v>
      </c>
      <c r="E236" s="791">
        <v>391000</v>
      </c>
      <c r="G236" s="739" t="str">
        <f t="shared" si="176"/>
        <v>013801</v>
      </c>
      <c r="J236" s="739">
        <v>3000</v>
      </c>
      <c r="Q236" s="773"/>
      <c r="T236" s="775" t="str">
        <f t="shared" si="177"/>
        <v>023801</v>
      </c>
      <c r="W236" s="739" t="s">
        <v>2032</v>
      </c>
      <c r="Y236" s="775">
        <f t="shared" si="178"/>
        <v>2017</v>
      </c>
      <c r="Z236" s="775">
        <v>12</v>
      </c>
      <c r="AA236" s="739">
        <f>('LedgerLoad Assist'!BD106)*-1</f>
        <v>0</v>
      </c>
      <c r="AB236" s="739">
        <f t="shared" ref="AB236:AC236" si="215">AA236</f>
        <v>0</v>
      </c>
      <c r="AC236" s="739">
        <f t="shared" si="215"/>
        <v>0</v>
      </c>
    </row>
    <row r="237" spans="1:29">
      <c r="A237" s="739" t="s">
        <v>2025</v>
      </c>
      <c r="B237" s="739" t="s">
        <v>2025</v>
      </c>
      <c r="C237" s="739" t="s">
        <v>2026</v>
      </c>
      <c r="D237" s="739" t="s">
        <v>2026</v>
      </c>
      <c r="E237" s="791">
        <v>392000</v>
      </c>
      <c r="G237" s="739" t="str">
        <f t="shared" si="176"/>
        <v>013801</v>
      </c>
      <c r="J237" s="739">
        <v>3000</v>
      </c>
      <c r="Q237" s="773"/>
      <c r="T237" s="775" t="str">
        <f t="shared" si="177"/>
        <v>023801</v>
      </c>
      <c r="W237" s="739" t="s">
        <v>2032</v>
      </c>
      <c r="Y237" s="775">
        <f t="shared" si="178"/>
        <v>2017</v>
      </c>
      <c r="Z237" s="775">
        <v>12</v>
      </c>
      <c r="AA237" s="739">
        <f>('LedgerLoad Assist'!BD107)*-1</f>
        <v>0</v>
      </c>
      <c r="AB237" s="739">
        <f t="shared" ref="AB237:AC237" si="216">AA237</f>
        <v>0</v>
      </c>
      <c r="AC237" s="739">
        <f t="shared" si="216"/>
        <v>0</v>
      </c>
    </row>
    <row r="238" spans="1:29">
      <c r="A238" s="739" t="s">
        <v>2025</v>
      </c>
      <c r="B238" s="739" t="s">
        <v>2025</v>
      </c>
      <c r="C238" s="739" t="s">
        <v>2026</v>
      </c>
      <c r="D238" s="739" t="s">
        <v>2026</v>
      </c>
      <c r="E238" s="791">
        <v>393000</v>
      </c>
      <c r="G238" s="739" t="str">
        <f t="shared" si="176"/>
        <v>013801</v>
      </c>
      <c r="J238" s="739">
        <v>3000</v>
      </c>
      <c r="Q238" s="773"/>
      <c r="T238" s="775" t="str">
        <f t="shared" si="177"/>
        <v>023801</v>
      </c>
      <c r="W238" s="739" t="s">
        <v>2032</v>
      </c>
      <c r="Y238" s="775">
        <f t="shared" si="178"/>
        <v>2017</v>
      </c>
      <c r="Z238" s="775">
        <v>12</v>
      </c>
      <c r="AA238" s="739">
        <f>('LedgerLoad Assist'!BD108)*-1</f>
        <v>0</v>
      </c>
      <c r="AB238" s="739">
        <f t="shared" ref="AB238:AC238" si="217">AA238</f>
        <v>0</v>
      </c>
      <c r="AC238" s="739">
        <f t="shared" si="217"/>
        <v>0</v>
      </c>
    </row>
    <row r="239" spans="1:29">
      <c r="A239" s="739" t="s">
        <v>2025</v>
      </c>
      <c r="B239" s="739" t="s">
        <v>2025</v>
      </c>
      <c r="C239" s="739" t="s">
        <v>2026</v>
      </c>
      <c r="D239" s="739" t="s">
        <v>2026</v>
      </c>
      <c r="E239" s="791">
        <v>394000</v>
      </c>
      <c r="G239" s="739" t="str">
        <f t="shared" si="176"/>
        <v>013801</v>
      </c>
      <c r="J239" s="739">
        <v>3000</v>
      </c>
      <c r="Q239" s="773"/>
      <c r="T239" s="775" t="str">
        <f t="shared" si="177"/>
        <v>023801</v>
      </c>
      <c r="W239" s="739" t="s">
        <v>2032</v>
      </c>
      <c r="Y239" s="775">
        <f t="shared" si="178"/>
        <v>2017</v>
      </c>
      <c r="Z239" s="775">
        <v>12</v>
      </c>
      <c r="AA239" s="739">
        <f>('LedgerLoad Assist'!BD109)*-1</f>
        <v>0</v>
      </c>
      <c r="AB239" s="739">
        <f t="shared" ref="AB239:AC239" si="218">AA239</f>
        <v>0</v>
      </c>
      <c r="AC239" s="739">
        <f t="shared" si="218"/>
        <v>0</v>
      </c>
    </row>
    <row r="240" spans="1:29">
      <c r="A240" s="739" t="s">
        <v>2025</v>
      </c>
      <c r="B240" s="739" t="s">
        <v>2025</v>
      </c>
      <c r="C240" s="739" t="s">
        <v>2026</v>
      </c>
      <c r="D240" s="739" t="s">
        <v>2026</v>
      </c>
      <c r="E240" s="791">
        <v>395000</v>
      </c>
      <c r="G240" s="739" t="str">
        <f t="shared" si="176"/>
        <v>013801</v>
      </c>
      <c r="J240" s="739">
        <v>3000</v>
      </c>
      <c r="Q240" s="773"/>
      <c r="T240" s="775" t="str">
        <f t="shared" si="177"/>
        <v>023801</v>
      </c>
      <c r="W240" s="739" t="s">
        <v>2032</v>
      </c>
      <c r="Y240" s="775">
        <f t="shared" si="178"/>
        <v>2017</v>
      </c>
      <c r="Z240" s="775">
        <v>12</v>
      </c>
      <c r="AA240" s="739">
        <f>('LedgerLoad Assist'!BD110)*-1</f>
        <v>0</v>
      </c>
      <c r="AB240" s="739">
        <f t="shared" ref="AB240:AC240" si="219">AA240</f>
        <v>0</v>
      </c>
      <c r="AC240" s="739">
        <f t="shared" si="219"/>
        <v>0</v>
      </c>
    </row>
    <row r="241" spans="1:29">
      <c r="A241" s="739" t="s">
        <v>2025</v>
      </c>
      <c r="B241" s="739" t="s">
        <v>2025</v>
      </c>
      <c r="C241" s="739" t="s">
        <v>2026</v>
      </c>
      <c r="D241" s="739" t="s">
        <v>2026</v>
      </c>
      <c r="E241" s="791">
        <v>396000</v>
      </c>
      <c r="G241" s="739" t="str">
        <f t="shared" si="176"/>
        <v>013801</v>
      </c>
      <c r="J241" s="739">
        <v>3000</v>
      </c>
      <c r="Q241" s="773"/>
      <c r="T241" s="775" t="str">
        <f t="shared" si="177"/>
        <v>023801</v>
      </c>
      <c r="W241" s="739" t="s">
        <v>2032</v>
      </c>
      <c r="Y241" s="775">
        <f t="shared" si="178"/>
        <v>2017</v>
      </c>
      <c r="Z241" s="775">
        <v>12</v>
      </c>
      <c r="AA241" s="739">
        <f>('LedgerLoad Assist'!BD111)*-1</f>
        <v>0</v>
      </c>
      <c r="AB241" s="739">
        <f t="shared" ref="AB241:AC241" si="220">AA241</f>
        <v>0</v>
      </c>
      <c r="AC241" s="739">
        <f t="shared" si="220"/>
        <v>0</v>
      </c>
    </row>
    <row r="242" spans="1:29">
      <c r="A242" s="739" t="s">
        <v>2025</v>
      </c>
      <c r="B242" s="739" t="s">
        <v>2025</v>
      </c>
      <c r="C242" s="739" t="s">
        <v>2026</v>
      </c>
      <c r="D242" s="739" t="s">
        <v>2026</v>
      </c>
      <c r="E242" s="791">
        <v>397000</v>
      </c>
      <c r="G242" s="739" t="str">
        <f t="shared" si="176"/>
        <v>013801</v>
      </c>
      <c r="J242" s="739">
        <v>3000</v>
      </c>
      <c r="Q242" s="773"/>
      <c r="T242" s="775" t="str">
        <f t="shared" si="177"/>
        <v>023801</v>
      </c>
      <c r="W242" s="739" t="s">
        <v>2032</v>
      </c>
      <c r="Y242" s="775">
        <f t="shared" si="178"/>
        <v>2017</v>
      </c>
      <c r="Z242" s="775">
        <v>12</v>
      </c>
      <c r="AA242" s="739">
        <f>('LedgerLoad Assist'!BD112)*-1</f>
        <v>0</v>
      </c>
      <c r="AB242" s="739">
        <f t="shared" ref="AB242:AC242" si="221">AA242</f>
        <v>0</v>
      </c>
      <c r="AC242" s="739">
        <f t="shared" si="221"/>
        <v>0</v>
      </c>
    </row>
    <row r="243" spans="1:29">
      <c r="A243" s="739" t="s">
        <v>2025</v>
      </c>
      <c r="B243" s="739" t="s">
        <v>2025</v>
      </c>
      <c r="C243" s="739" t="s">
        <v>2026</v>
      </c>
      <c r="D243" s="739" t="s">
        <v>2026</v>
      </c>
      <c r="E243" s="791">
        <v>410000</v>
      </c>
      <c r="G243" s="739" t="str">
        <f t="shared" si="176"/>
        <v>013801</v>
      </c>
      <c r="J243" s="739">
        <v>3000</v>
      </c>
      <c r="Q243" s="773">
        <v>100</v>
      </c>
      <c r="T243" s="775" t="str">
        <f t="shared" si="177"/>
        <v>023801</v>
      </c>
      <c r="W243" s="739" t="s">
        <v>2032</v>
      </c>
      <c r="Y243" s="775">
        <f t="shared" si="178"/>
        <v>2017</v>
      </c>
      <c r="Z243" s="775">
        <v>12</v>
      </c>
      <c r="AA243" s="739">
        <f>'LedgerLoad Assist'!BD113</f>
        <v>0</v>
      </c>
      <c r="AB243" s="739">
        <f t="shared" ref="AB243:AC243" si="222">AA243</f>
        <v>0</v>
      </c>
      <c r="AC243" s="739">
        <f t="shared" si="222"/>
        <v>0</v>
      </c>
    </row>
    <row r="244" spans="1:29">
      <c r="A244" s="739" t="s">
        <v>2025</v>
      </c>
      <c r="B244" s="739" t="s">
        <v>2025</v>
      </c>
      <c r="C244" s="739" t="s">
        <v>2026</v>
      </c>
      <c r="D244" s="739" t="s">
        <v>2026</v>
      </c>
      <c r="E244" s="791">
        <v>410000</v>
      </c>
      <c r="G244" s="739" t="str">
        <f t="shared" si="176"/>
        <v>013801</v>
      </c>
      <c r="J244" s="739">
        <v>3000</v>
      </c>
      <c r="Q244" s="773" t="s">
        <v>2606</v>
      </c>
      <c r="T244" s="775" t="str">
        <f t="shared" si="177"/>
        <v>023801</v>
      </c>
      <c r="W244" s="739" t="s">
        <v>2032</v>
      </c>
      <c r="Y244" s="775">
        <f t="shared" si="178"/>
        <v>2017</v>
      </c>
      <c r="Z244" s="775">
        <v>12</v>
      </c>
      <c r="AA244" s="739">
        <f>'LedgerLoad Assist'!BD114</f>
        <v>0</v>
      </c>
      <c r="AB244" s="739">
        <f t="shared" ref="AB244:AC244" si="223">AA244</f>
        <v>0</v>
      </c>
      <c r="AC244" s="739">
        <f t="shared" si="223"/>
        <v>0</v>
      </c>
    </row>
    <row r="245" spans="1:29">
      <c r="A245" s="739" t="s">
        <v>2025</v>
      </c>
      <c r="B245" s="739" t="s">
        <v>2025</v>
      </c>
      <c r="C245" s="739" t="s">
        <v>2026</v>
      </c>
      <c r="D245" s="739" t="s">
        <v>2026</v>
      </c>
      <c r="E245" s="791">
        <v>410000</v>
      </c>
      <c r="G245" s="739" t="str">
        <f t="shared" si="176"/>
        <v>013801</v>
      </c>
      <c r="J245" s="739">
        <v>3000</v>
      </c>
      <c r="Q245" s="773">
        <v>610</v>
      </c>
      <c r="T245" s="775" t="str">
        <f t="shared" si="177"/>
        <v>023801</v>
      </c>
      <c r="W245" s="739" t="s">
        <v>2032</v>
      </c>
      <c r="Y245" s="775">
        <f t="shared" si="178"/>
        <v>2017</v>
      </c>
      <c r="Z245" s="775">
        <v>12</v>
      </c>
      <c r="AA245" s="739">
        <f>'LedgerLoad Assist'!BD115</f>
        <v>0</v>
      </c>
      <c r="AB245" s="739">
        <f t="shared" ref="AB245:AC245" si="224">AA245</f>
        <v>0</v>
      </c>
      <c r="AC245" s="739">
        <f t="shared" si="224"/>
        <v>0</v>
      </c>
    </row>
    <row r="246" spans="1:29">
      <c r="A246" s="739" t="s">
        <v>2025</v>
      </c>
      <c r="B246" s="739" t="s">
        <v>2025</v>
      </c>
      <c r="C246" s="739" t="s">
        <v>2026</v>
      </c>
      <c r="D246" s="739" t="s">
        <v>2026</v>
      </c>
      <c r="E246" s="791">
        <v>410000</v>
      </c>
      <c r="G246" s="739" t="str">
        <f t="shared" si="176"/>
        <v>013801</v>
      </c>
      <c r="J246" s="739">
        <v>3000</v>
      </c>
      <c r="Q246" s="773">
        <v>620</v>
      </c>
      <c r="T246" s="775" t="str">
        <f t="shared" si="177"/>
        <v>023801</v>
      </c>
      <c r="W246" s="739" t="s">
        <v>2032</v>
      </c>
      <c r="Y246" s="775">
        <f t="shared" si="178"/>
        <v>2017</v>
      </c>
      <c r="Z246" s="775">
        <v>12</v>
      </c>
      <c r="AA246" s="739">
        <f>'LedgerLoad Assist'!BD116</f>
        <v>0</v>
      </c>
      <c r="AB246" s="739">
        <f t="shared" ref="AB246:AC246" si="225">AA246</f>
        <v>0</v>
      </c>
      <c r="AC246" s="739">
        <f t="shared" si="225"/>
        <v>0</v>
      </c>
    </row>
    <row r="247" spans="1:29">
      <c r="A247" s="739" t="s">
        <v>2025</v>
      </c>
      <c r="B247" s="739" t="s">
        <v>2025</v>
      </c>
      <c r="C247" s="739" t="s">
        <v>2026</v>
      </c>
      <c r="D247" s="739" t="s">
        <v>2026</v>
      </c>
      <c r="E247" s="791">
        <v>410000</v>
      </c>
      <c r="G247" s="739" t="str">
        <f t="shared" si="176"/>
        <v>013801</v>
      </c>
      <c r="J247" s="739">
        <v>3000</v>
      </c>
      <c r="Q247" s="773">
        <v>900</v>
      </c>
      <c r="T247" s="775" t="str">
        <f t="shared" si="177"/>
        <v>023801</v>
      </c>
      <c r="W247" s="739" t="s">
        <v>2032</v>
      </c>
      <c r="Y247" s="775">
        <f t="shared" si="178"/>
        <v>2017</v>
      </c>
      <c r="Z247" s="775">
        <v>12</v>
      </c>
      <c r="AA247" s="739">
        <f>'LedgerLoad Assist'!BD117</f>
        <v>0</v>
      </c>
      <c r="AB247" s="739">
        <f t="shared" ref="AB247:AC247" si="226">AA247</f>
        <v>0</v>
      </c>
      <c r="AC247" s="739">
        <f t="shared" si="226"/>
        <v>0</v>
      </c>
    </row>
    <row r="248" spans="1:29">
      <c r="A248" s="739" t="s">
        <v>2025</v>
      </c>
      <c r="B248" s="739" t="s">
        <v>2025</v>
      </c>
      <c r="C248" s="739" t="s">
        <v>2026</v>
      </c>
      <c r="D248" s="739" t="s">
        <v>2026</v>
      </c>
      <c r="E248" s="791">
        <v>420000</v>
      </c>
      <c r="G248" s="739" t="str">
        <f t="shared" si="176"/>
        <v>013801</v>
      </c>
      <c r="J248" s="739">
        <v>3000</v>
      </c>
      <c r="Q248" s="773">
        <v>100</v>
      </c>
      <c r="T248" s="775" t="str">
        <f t="shared" si="177"/>
        <v>023801</v>
      </c>
      <c r="W248" s="739" t="s">
        <v>2032</v>
      </c>
      <c r="Y248" s="775">
        <f t="shared" si="178"/>
        <v>2017</v>
      </c>
      <c r="Z248" s="775">
        <v>12</v>
      </c>
      <c r="AA248" s="739">
        <f>'LedgerLoad Assist'!BD118</f>
        <v>0</v>
      </c>
      <c r="AB248" s="739">
        <f t="shared" ref="AB248:AC248" si="227">AA248</f>
        <v>0</v>
      </c>
      <c r="AC248" s="739">
        <f t="shared" si="227"/>
        <v>0</v>
      </c>
    </row>
    <row r="249" spans="1:29">
      <c r="A249" s="739" t="s">
        <v>2025</v>
      </c>
      <c r="B249" s="739" t="s">
        <v>2025</v>
      </c>
      <c r="C249" s="739" t="s">
        <v>2026</v>
      </c>
      <c r="D249" s="739" t="s">
        <v>2026</v>
      </c>
      <c r="E249" s="791">
        <v>420000</v>
      </c>
      <c r="G249" s="739" t="str">
        <f t="shared" si="176"/>
        <v>013801</v>
      </c>
      <c r="J249" s="739">
        <v>3000</v>
      </c>
      <c r="Q249" s="773" t="s">
        <v>2606</v>
      </c>
      <c r="T249" s="775" t="str">
        <f t="shared" si="177"/>
        <v>023801</v>
      </c>
      <c r="W249" s="739" t="s">
        <v>2032</v>
      </c>
      <c r="Y249" s="775">
        <f t="shared" si="178"/>
        <v>2017</v>
      </c>
      <c r="Z249" s="775">
        <v>12</v>
      </c>
      <c r="AA249" s="739">
        <f>'LedgerLoad Assist'!BD119</f>
        <v>0</v>
      </c>
      <c r="AB249" s="739">
        <f t="shared" ref="AB249:AC249" si="228">AA249</f>
        <v>0</v>
      </c>
      <c r="AC249" s="739">
        <f t="shared" si="228"/>
        <v>0</v>
      </c>
    </row>
    <row r="250" spans="1:29">
      <c r="A250" s="739" t="s">
        <v>2025</v>
      </c>
      <c r="B250" s="739" t="s">
        <v>2025</v>
      </c>
      <c r="C250" s="739" t="s">
        <v>2026</v>
      </c>
      <c r="D250" s="739" t="s">
        <v>2026</v>
      </c>
      <c r="E250" s="791">
        <v>420000</v>
      </c>
      <c r="G250" s="739" t="str">
        <f t="shared" si="176"/>
        <v>013801</v>
      </c>
      <c r="J250" s="739">
        <v>3000</v>
      </c>
      <c r="Q250" s="773">
        <v>610</v>
      </c>
      <c r="T250" s="775" t="str">
        <f t="shared" si="177"/>
        <v>023801</v>
      </c>
      <c r="W250" s="739" t="s">
        <v>2032</v>
      </c>
      <c r="Y250" s="775">
        <f t="shared" si="178"/>
        <v>2017</v>
      </c>
      <c r="Z250" s="775">
        <v>12</v>
      </c>
      <c r="AA250" s="739">
        <f>'LedgerLoad Assist'!BD120</f>
        <v>0</v>
      </c>
      <c r="AB250" s="739">
        <f t="shared" ref="AB250:AC250" si="229">AA250</f>
        <v>0</v>
      </c>
      <c r="AC250" s="739">
        <f t="shared" si="229"/>
        <v>0</v>
      </c>
    </row>
    <row r="251" spans="1:29">
      <c r="A251" s="739" t="s">
        <v>2025</v>
      </c>
      <c r="B251" s="739" t="s">
        <v>2025</v>
      </c>
      <c r="C251" s="739" t="s">
        <v>2026</v>
      </c>
      <c r="D251" s="739" t="s">
        <v>2026</v>
      </c>
      <c r="E251" s="791">
        <v>420000</v>
      </c>
      <c r="G251" s="739" t="str">
        <f t="shared" si="176"/>
        <v>013801</v>
      </c>
      <c r="J251" s="739">
        <v>3000</v>
      </c>
      <c r="Q251" s="773">
        <v>620</v>
      </c>
      <c r="T251" s="775" t="str">
        <f t="shared" si="177"/>
        <v>023801</v>
      </c>
      <c r="W251" s="739" t="s">
        <v>2032</v>
      </c>
      <c r="Y251" s="775">
        <f t="shared" si="178"/>
        <v>2017</v>
      </c>
      <c r="Z251" s="775">
        <v>12</v>
      </c>
      <c r="AA251" s="739">
        <f>'LedgerLoad Assist'!BD121</f>
        <v>0</v>
      </c>
      <c r="AB251" s="739">
        <f t="shared" ref="AB251:AC251" si="230">AA251</f>
        <v>0</v>
      </c>
      <c r="AC251" s="739">
        <f t="shared" si="230"/>
        <v>0</v>
      </c>
    </row>
    <row r="252" spans="1:29">
      <c r="A252" s="739" t="s">
        <v>2025</v>
      </c>
      <c r="B252" s="739" t="s">
        <v>2025</v>
      </c>
      <c r="C252" s="739" t="s">
        <v>2026</v>
      </c>
      <c r="D252" s="739" t="s">
        <v>2026</v>
      </c>
      <c r="E252" s="791">
        <v>420000</v>
      </c>
      <c r="G252" s="739" t="str">
        <f t="shared" si="176"/>
        <v>013801</v>
      </c>
      <c r="J252" s="739">
        <v>3000</v>
      </c>
      <c r="Q252" s="773">
        <v>900</v>
      </c>
      <c r="T252" s="775" t="str">
        <f t="shared" si="177"/>
        <v>023801</v>
      </c>
      <c r="W252" s="739" t="s">
        <v>2032</v>
      </c>
      <c r="Y252" s="775">
        <f t="shared" si="178"/>
        <v>2017</v>
      </c>
      <c r="Z252" s="775">
        <v>12</v>
      </c>
      <c r="AA252" s="739">
        <f>'LedgerLoad Assist'!BD122</f>
        <v>0</v>
      </c>
      <c r="AB252" s="739">
        <f t="shared" ref="AB252:AC252" si="231">AA252</f>
        <v>0</v>
      </c>
      <c r="AC252" s="739">
        <f t="shared" si="231"/>
        <v>0</v>
      </c>
    </row>
    <row r="253" spans="1:29">
      <c r="A253" s="739" t="s">
        <v>2025</v>
      </c>
      <c r="B253" s="739" t="s">
        <v>2025</v>
      </c>
      <c r="C253" s="739" t="s">
        <v>2026</v>
      </c>
      <c r="D253" s="739" t="s">
        <v>2026</v>
      </c>
      <c r="E253" s="791">
        <v>430000</v>
      </c>
      <c r="G253" s="739" t="str">
        <f t="shared" si="176"/>
        <v>013801</v>
      </c>
      <c r="J253" s="739">
        <v>3000</v>
      </c>
      <c r="Q253" s="773">
        <v>100</v>
      </c>
      <c r="T253" s="775" t="str">
        <f t="shared" si="177"/>
        <v>023801</v>
      </c>
      <c r="W253" s="739" t="s">
        <v>2032</v>
      </c>
      <c r="Y253" s="775">
        <f t="shared" si="178"/>
        <v>2017</v>
      </c>
      <c r="Z253" s="775">
        <v>12</v>
      </c>
      <c r="AA253" s="739">
        <f>'LedgerLoad Assist'!BD123</f>
        <v>0</v>
      </c>
      <c r="AB253" s="739">
        <f t="shared" ref="AB253:AC253" si="232">AA253</f>
        <v>0</v>
      </c>
      <c r="AC253" s="739">
        <f t="shared" si="232"/>
        <v>0</v>
      </c>
    </row>
    <row r="254" spans="1:29">
      <c r="A254" s="739" t="s">
        <v>2025</v>
      </c>
      <c r="B254" s="739" t="s">
        <v>2025</v>
      </c>
      <c r="C254" s="739" t="s">
        <v>2026</v>
      </c>
      <c r="D254" s="739" t="s">
        <v>2026</v>
      </c>
      <c r="E254" s="791">
        <v>430000</v>
      </c>
      <c r="G254" s="739" t="str">
        <f t="shared" si="176"/>
        <v>013801</v>
      </c>
      <c r="J254" s="739">
        <v>3000</v>
      </c>
      <c r="Q254" s="773" t="s">
        <v>2606</v>
      </c>
      <c r="T254" s="775" t="str">
        <f t="shared" si="177"/>
        <v>023801</v>
      </c>
      <c r="W254" s="739" t="s">
        <v>2032</v>
      </c>
      <c r="Y254" s="775">
        <f t="shared" si="178"/>
        <v>2017</v>
      </c>
      <c r="Z254" s="775">
        <v>12</v>
      </c>
      <c r="AA254" s="739">
        <f>'LedgerLoad Assist'!BD124</f>
        <v>0</v>
      </c>
      <c r="AB254" s="739">
        <f t="shared" ref="AB254:AC254" si="233">AA254</f>
        <v>0</v>
      </c>
      <c r="AC254" s="739">
        <f t="shared" si="233"/>
        <v>0</v>
      </c>
    </row>
    <row r="255" spans="1:29">
      <c r="A255" s="739" t="s">
        <v>2025</v>
      </c>
      <c r="B255" s="739" t="s">
        <v>2025</v>
      </c>
      <c r="C255" s="739" t="s">
        <v>2026</v>
      </c>
      <c r="D255" s="739" t="s">
        <v>2026</v>
      </c>
      <c r="E255" s="791">
        <v>430000</v>
      </c>
      <c r="G255" s="739" t="str">
        <f t="shared" si="176"/>
        <v>013801</v>
      </c>
      <c r="J255" s="739">
        <v>3000</v>
      </c>
      <c r="Q255" s="773">
        <v>610</v>
      </c>
      <c r="T255" s="775" t="str">
        <f t="shared" si="177"/>
        <v>023801</v>
      </c>
      <c r="W255" s="739" t="s">
        <v>2032</v>
      </c>
      <c r="Y255" s="775">
        <f t="shared" si="178"/>
        <v>2017</v>
      </c>
      <c r="Z255" s="775">
        <v>12</v>
      </c>
      <c r="AA255" s="739">
        <f>'LedgerLoad Assist'!BD125</f>
        <v>0</v>
      </c>
      <c r="AB255" s="739">
        <f t="shared" ref="AB255:AC255" si="234">AA255</f>
        <v>0</v>
      </c>
      <c r="AC255" s="739">
        <f t="shared" si="234"/>
        <v>0</v>
      </c>
    </row>
    <row r="256" spans="1:29">
      <c r="A256" s="739" t="s">
        <v>2025</v>
      </c>
      <c r="B256" s="739" t="s">
        <v>2025</v>
      </c>
      <c r="C256" s="739" t="s">
        <v>2026</v>
      </c>
      <c r="D256" s="739" t="s">
        <v>2026</v>
      </c>
      <c r="E256" s="791">
        <v>430000</v>
      </c>
      <c r="G256" s="739" t="str">
        <f t="shared" si="176"/>
        <v>013801</v>
      </c>
      <c r="J256" s="739">
        <v>3000</v>
      </c>
      <c r="Q256" s="773">
        <v>620</v>
      </c>
      <c r="T256" s="775" t="str">
        <f t="shared" si="177"/>
        <v>023801</v>
      </c>
      <c r="W256" s="739" t="s">
        <v>2032</v>
      </c>
      <c r="Y256" s="775">
        <f t="shared" si="178"/>
        <v>2017</v>
      </c>
      <c r="Z256" s="775">
        <v>12</v>
      </c>
      <c r="AA256" s="739">
        <f>'LedgerLoad Assist'!BD126</f>
        <v>0</v>
      </c>
      <c r="AB256" s="739">
        <f t="shared" ref="AB256:AC256" si="235">AA256</f>
        <v>0</v>
      </c>
      <c r="AC256" s="739">
        <f t="shared" si="235"/>
        <v>0</v>
      </c>
    </row>
    <row r="257" spans="1:29">
      <c r="A257" s="739" t="s">
        <v>2025</v>
      </c>
      <c r="B257" s="739" t="s">
        <v>2025</v>
      </c>
      <c r="C257" s="739" t="s">
        <v>2026</v>
      </c>
      <c r="D257" s="739" t="s">
        <v>2026</v>
      </c>
      <c r="E257" s="791">
        <v>430000</v>
      </c>
      <c r="G257" s="739" t="str">
        <f t="shared" si="176"/>
        <v>013801</v>
      </c>
      <c r="J257" s="739">
        <v>3000</v>
      </c>
      <c r="Q257" s="773">
        <v>900</v>
      </c>
      <c r="T257" s="775" t="str">
        <f t="shared" si="177"/>
        <v>023801</v>
      </c>
      <c r="W257" s="739" t="s">
        <v>2032</v>
      </c>
      <c r="Y257" s="775">
        <f t="shared" si="178"/>
        <v>2017</v>
      </c>
      <c r="Z257" s="775">
        <v>12</v>
      </c>
      <c r="AA257" s="739">
        <f>'LedgerLoad Assist'!BD127</f>
        <v>0</v>
      </c>
      <c r="AB257" s="739">
        <f t="shared" ref="AB257:AC257" si="236">AA257</f>
        <v>0</v>
      </c>
      <c r="AC257" s="739">
        <f t="shared" si="236"/>
        <v>0</v>
      </c>
    </row>
    <row r="258" spans="1:29">
      <c r="A258" s="739" t="s">
        <v>2025</v>
      </c>
      <c r="B258" s="739" t="s">
        <v>2025</v>
      </c>
      <c r="C258" s="739" t="s">
        <v>2026</v>
      </c>
      <c r="D258" s="739" t="s">
        <v>2026</v>
      </c>
      <c r="E258" s="791">
        <v>440000</v>
      </c>
      <c r="G258" s="739" t="str">
        <f t="shared" si="176"/>
        <v>013801</v>
      </c>
      <c r="J258" s="739">
        <v>3000</v>
      </c>
      <c r="Q258" s="773">
        <v>100</v>
      </c>
      <c r="T258" s="775" t="str">
        <f t="shared" si="177"/>
        <v>023801</v>
      </c>
      <c r="W258" s="739" t="s">
        <v>2032</v>
      </c>
      <c r="Y258" s="775">
        <f t="shared" si="178"/>
        <v>2017</v>
      </c>
      <c r="Z258" s="775">
        <v>12</v>
      </c>
      <c r="AA258" s="739">
        <f>'LedgerLoad Assist'!BD128</f>
        <v>0</v>
      </c>
      <c r="AB258" s="739">
        <f t="shared" ref="AB258:AC258" si="237">AA258</f>
        <v>0</v>
      </c>
      <c r="AC258" s="739">
        <f t="shared" si="237"/>
        <v>0</v>
      </c>
    </row>
    <row r="259" spans="1:29">
      <c r="A259" s="739" t="s">
        <v>2025</v>
      </c>
      <c r="B259" s="739" t="s">
        <v>2025</v>
      </c>
      <c r="C259" s="739" t="s">
        <v>2026</v>
      </c>
      <c r="D259" s="739" t="s">
        <v>2026</v>
      </c>
      <c r="E259" s="791">
        <v>440000</v>
      </c>
      <c r="G259" s="739" t="str">
        <f t="shared" si="176"/>
        <v>013801</v>
      </c>
      <c r="J259" s="739">
        <v>3000</v>
      </c>
      <c r="Q259" s="773" t="s">
        <v>2606</v>
      </c>
      <c r="T259" s="775" t="str">
        <f t="shared" si="177"/>
        <v>023801</v>
      </c>
      <c r="W259" s="739" t="s">
        <v>2032</v>
      </c>
      <c r="Y259" s="775">
        <f t="shared" si="178"/>
        <v>2017</v>
      </c>
      <c r="Z259" s="775">
        <v>12</v>
      </c>
      <c r="AA259" s="739">
        <f>'LedgerLoad Assist'!BD129</f>
        <v>0</v>
      </c>
      <c r="AB259" s="739">
        <f t="shared" ref="AB259:AC259" si="238">AA259</f>
        <v>0</v>
      </c>
      <c r="AC259" s="739">
        <f t="shared" si="238"/>
        <v>0</v>
      </c>
    </row>
    <row r="260" spans="1:29">
      <c r="A260" s="739" t="s">
        <v>2025</v>
      </c>
      <c r="B260" s="739" t="s">
        <v>2025</v>
      </c>
      <c r="C260" s="739" t="s">
        <v>2026</v>
      </c>
      <c r="D260" s="739" t="s">
        <v>2026</v>
      </c>
      <c r="E260" s="791">
        <v>440000</v>
      </c>
      <c r="G260" s="739" t="str">
        <f t="shared" si="176"/>
        <v>013801</v>
      </c>
      <c r="J260" s="739">
        <v>3000</v>
      </c>
      <c r="Q260" s="773">
        <v>610</v>
      </c>
      <c r="T260" s="775" t="str">
        <f t="shared" si="177"/>
        <v>023801</v>
      </c>
      <c r="W260" s="739" t="s">
        <v>2032</v>
      </c>
      <c r="Y260" s="775">
        <f t="shared" si="178"/>
        <v>2017</v>
      </c>
      <c r="Z260" s="775">
        <v>12</v>
      </c>
      <c r="AA260" s="739">
        <f>'LedgerLoad Assist'!BD130</f>
        <v>0</v>
      </c>
      <c r="AB260" s="739">
        <f t="shared" ref="AB260:AC260" si="239">AA260</f>
        <v>0</v>
      </c>
      <c r="AC260" s="739">
        <f t="shared" si="239"/>
        <v>0</v>
      </c>
    </row>
    <row r="261" spans="1:29">
      <c r="A261" s="739" t="s">
        <v>2025</v>
      </c>
      <c r="B261" s="739" t="s">
        <v>2025</v>
      </c>
      <c r="C261" s="739" t="s">
        <v>2026</v>
      </c>
      <c r="D261" s="739" t="s">
        <v>2026</v>
      </c>
      <c r="E261" s="791">
        <v>440000</v>
      </c>
      <c r="G261" s="739" t="str">
        <f t="shared" si="176"/>
        <v>013801</v>
      </c>
      <c r="J261" s="739">
        <v>3000</v>
      </c>
      <c r="Q261" s="773">
        <v>620</v>
      </c>
      <c r="T261" s="775" t="str">
        <f t="shared" si="177"/>
        <v>023801</v>
      </c>
      <c r="W261" s="739" t="s">
        <v>2032</v>
      </c>
      <c r="Y261" s="775">
        <f t="shared" si="178"/>
        <v>2017</v>
      </c>
      <c r="Z261" s="775">
        <v>12</v>
      </c>
      <c r="AA261" s="739">
        <f>'LedgerLoad Assist'!BD131</f>
        <v>0</v>
      </c>
      <c r="AB261" s="739">
        <f t="shared" ref="AB261:AC261" si="240">AA261</f>
        <v>0</v>
      </c>
      <c r="AC261" s="739">
        <f t="shared" si="240"/>
        <v>0</v>
      </c>
    </row>
    <row r="262" spans="1:29">
      <c r="A262" s="739" t="s">
        <v>2025</v>
      </c>
      <c r="B262" s="739" t="s">
        <v>2025</v>
      </c>
      <c r="C262" s="739" t="s">
        <v>2026</v>
      </c>
      <c r="D262" s="739" t="s">
        <v>2026</v>
      </c>
      <c r="E262" s="791">
        <v>440000</v>
      </c>
      <c r="G262" s="739" t="str">
        <f t="shared" si="176"/>
        <v>013801</v>
      </c>
      <c r="J262" s="739">
        <v>3000</v>
      </c>
      <c r="Q262" s="773">
        <v>900</v>
      </c>
      <c r="T262" s="775" t="str">
        <f t="shared" si="177"/>
        <v>023801</v>
      </c>
      <c r="W262" s="739" t="s">
        <v>2032</v>
      </c>
      <c r="Y262" s="775">
        <f t="shared" si="178"/>
        <v>2017</v>
      </c>
      <c r="Z262" s="775">
        <v>12</v>
      </c>
      <c r="AA262" s="739">
        <f>'LedgerLoad Assist'!BD132</f>
        <v>0</v>
      </c>
      <c r="AB262" s="739">
        <f t="shared" ref="AB262:AC262" si="241">AA262</f>
        <v>0</v>
      </c>
      <c r="AC262" s="739">
        <f t="shared" si="241"/>
        <v>0</v>
      </c>
    </row>
    <row r="263" spans="1:29">
      <c r="A263" s="739" t="s">
        <v>2025</v>
      </c>
      <c r="B263" s="739" t="s">
        <v>2025</v>
      </c>
      <c r="C263" s="739" t="s">
        <v>2026</v>
      </c>
      <c r="D263" s="739" t="s">
        <v>2026</v>
      </c>
      <c r="E263" s="791">
        <v>450000</v>
      </c>
      <c r="G263" s="739" t="str">
        <f t="shared" si="176"/>
        <v>013801</v>
      </c>
      <c r="J263" s="739">
        <v>3000</v>
      </c>
      <c r="Q263" s="773">
        <v>100</v>
      </c>
      <c r="T263" s="775" t="str">
        <f t="shared" si="177"/>
        <v>023801</v>
      </c>
      <c r="W263" s="739" t="s">
        <v>2032</v>
      </c>
      <c r="Y263" s="775">
        <f t="shared" si="178"/>
        <v>2017</v>
      </c>
      <c r="Z263" s="775">
        <v>12</v>
      </c>
      <c r="AA263" s="739">
        <f>'LedgerLoad Assist'!BD133</f>
        <v>0</v>
      </c>
      <c r="AB263" s="739">
        <f t="shared" ref="AB263:AC263" si="242">AA263</f>
        <v>0</v>
      </c>
      <c r="AC263" s="739">
        <f t="shared" si="242"/>
        <v>0</v>
      </c>
    </row>
    <row r="264" spans="1:29">
      <c r="A264" s="739" t="s">
        <v>2025</v>
      </c>
      <c r="B264" s="739" t="s">
        <v>2025</v>
      </c>
      <c r="C264" s="739" t="s">
        <v>2026</v>
      </c>
      <c r="D264" s="739" t="s">
        <v>2026</v>
      </c>
      <c r="E264" s="791">
        <v>450000</v>
      </c>
      <c r="G264" s="739" t="str">
        <f t="shared" ref="G264:G327" si="243">$G$6</f>
        <v>013801</v>
      </c>
      <c r="J264" s="739">
        <v>3000</v>
      </c>
      <c r="Q264" s="773" t="s">
        <v>2606</v>
      </c>
      <c r="T264" s="775" t="str">
        <f t="shared" ref="T264:T327" si="244">$T$6</f>
        <v>023801</v>
      </c>
      <c r="W264" s="739" t="s">
        <v>2032</v>
      </c>
      <c r="Y264" s="775">
        <f t="shared" ref="Y264:Y327" si="245">$Y$6</f>
        <v>2017</v>
      </c>
      <c r="Z264" s="775">
        <v>12</v>
      </c>
      <c r="AA264" s="739">
        <f>'LedgerLoad Assist'!BD134</f>
        <v>0</v>
      </c>
      <c r="AB264" s="739">
        <f t="shared" ref="AB264:AC264" si="246">AA264</f>
        <v>0</v>
      </c>
      <c r="AC264" s="739">
        <f t="shared" si="246"/>
        <v>0</v>
      </c>
    </row>
    <row r="265" spans="1:29">
      <c r="A265" s="739" t="s">
        <v>2025</v>
      </c>
      <c r="B265" s="739" t="s">
        <v>2025</v>
      </c>
      <c r="C265" s="739" t="s">
        <v>2026</v>
      </c>
      <c r="D265" s="739" t="s">
        <v>2026</v>
      </c>
      <c r="E265" s="791">
        <v>450000</v>
      </c>
      <c r="G265" s="739" t="str">
        <f t="shared" si="243"/>
        <v>013801</v>
      </c>
      <c r="J265" s="739">
        <v>3000</v>
      </c>
      <c r="Q265" s="773">
        <v>610</v>
      </c>
      <c r="T265" s="775" t="str">
        <f t="shared" si="244"/>
        <v>023801</v>
      </c>
      <c r="W265" s="739" t="s">
        <v>2032</v>
      </c>
      <c r="Y265" s="775">
        <f t="shared" si="245"/>
        <v>2017</v>
      </c>
      <c r="Z265" s="775">
        <v>12</v>
      </c>
      <c r="AA265" s="739">
        <f>'LedgerLoad Assist'!BD135</f>
        <v>0</v>
      </c>
      <c r="AB265" s="739">
        <f t="shared" ref="AB265:AC265" si="247">AA265</f>
        <v>0</v>
      </c>
      <c r="AC265" s="739">
        <f t="shared" si="247"/>
        <v>0</v>
      </c>
    </row>
    <row r="266" spans="1:29">
      <c r="A266" s="739" t="s">
        <v>2025</v>
      </c>
      <c r="B266" s="739" t="s">
        <v>2025</v>
      </c>
      <c r="C266" s="739" t="s">
        <v>2026</v>
      </c>
      <c r="D266" s="739" t="s">
        <v>2026</v>
      </c>
      <c r="E266" s="791">
        <v>450000</v>
      </c>
      <c r="G266" s="739" t="str">
        <f t="shared" si="243"/>
        <v>013801</v>
      </c>
      <c r="J266" s="739">
        <v>3000</v>
      </c>
      <c r="Q266" s="773">
        <v>620</v>
      </c>
      <c r="T266" s="775" t="str">
        <f t="shared" si="244"/>
        <v>023801</v>
      </c>
      <c r="W266" s="739" t="s">
        <v>2032</v>
      </c>
      <c r="Y266" s="775">
        <f t="shared" si="245"/>
        <v>2017</v>
      </c>
      <c r="Z266" s="775">
        <v>12</v>
      </c>
      <c r="AA266" s="739">
        <f>'LedgerLoad Assist'!BD136</f>
        <v>0</v>
      </c>
      <c r="AB266" s="739">
        <f t="shared" ref="AB266:AC266" si="248">AA266</f>
        <v>0</v>
      </c>
      <c r="AC266" s="739">
        <f t="shared" si="248"/>
        <v>0</v>
      </c>
    </row>
    <row r="267" spans="1:29">
      <c r="A267" s="739" t="s">
        <v>2025</v>
      </c>
      <c r="B267" s="739" t="s">
        <v>2025</v>
      </c>
      <c r="C267" s="739" t="s">
        <v>2026</v>
      </c>
      <c r="D267" s="739" t="s">
        <v>2026</v>
      </c>
      <c r="E267" s="791">
        <v>450000</v>
      </c>
      <c r="G267" s="739" t="str">
        <f t="shared" si="243"/>
        <v>013801</v>
      </c>
      <c r="J267" s="739">
        <v>3000</v>
      </c>
      <c r="Q267" s="773">
        <v>900</v>
      </c>
      <c r="T267" s="775" t="str">
        <f t="shared" si="244"/>
        <v>023801</v>
      </c>
      <c r="W267" s="739" t="s">
        <v>2032</v>
      </c>
      <c r="Y267" s="775">
        <f t="shared" si="245"/>
        <v>2017</v>
      </c>
      <c r="Z267" s="775">
        <v>12</v>
      </c>
      <c r="AA267" s="739">
        <f>'LedgerLoad Assist'!BD137</f>
        <v>0</v>
      </c>
      <c r="AB267" s="739">
        <f t="shared" ref="AB267:AC267" si="249">AA267</f>
        <v>0</v>
      </c>
      <c r="AC267" s="739">
        <f t="shared" si="249"/>
        <v>0</v>
      </c>
    </row>
    <row r="268" spans="1:29">
      <c r="A268" s="739" t="s">
        <v>2025</v>
      </c>
      <c r="B268" s="739" t="s">
        <v>2025</v>
      </c>
      <c r="C268" s="739" t="s">
        <v>2026</v>
      </c>
      <c r="D268" s="739" t="s">
        <v>2026</v>
      </c>
      <c r="E268" s="791">
        <v>460000</v>
      </c>
      <c r="G268" s="739" t="str">
        <f t="shared" si="243"/>
        <v>013801</v>
      </c>
      <c r="J268" s="739">
        <v>3000</v>
      </c>
      <c r="Q268" s="773">
        <v>100</v>
      </c>
      <c r="T268" s="775" t="str">
        <f t="shared" si="244"/>
        <v>023801</v>
      </c>
      <c r="W268" s="739" t="s">
        <v>2032</v>
      </c>
      <c r="Y268" s="775">
        <f t="shared" si="245"/>
        <v>2017</v>
      </c>
      <c r="Z268" s="775">
        <v>12</v>
      </c>
      <c r="AA268" s="739">
        <f>'LedgerLoad Assist'!BD138</f>
        <v>0</v>
      </c>
      <c r="AB268" s="739">
        <f t="shared" ref="AB268:AC268" si="250">AA268</f>
        <v>0</v>
      </c>
      <c r="AC268" s="739">
        <f t="shared" si="250"/>
        <v>0</v>
      </c>
    </row>
    <row r="269" spans="1:29">
      <c r="A269" s="739" t="s">
        <v>2025</v>
      </c>
      <c r="B269" s="739" t="s">
        <v>2025</v>
      </c>
      <c r="C269" s="739" t="s">
        <v>2026</v>
      </c>
      <c r="D269" s="739" t="s">
        <v>2026</v>
      </c>
      <c r="E269" s="791">
        <v>460000</v>
      </c>
      <c r="G269" s="739" t="str">
        <f t="shared" si="243"/>
        <v>013801</v>
      </c>
      <c r="J269" s="739">
        <v>3000</v>
      </c>
      <c r="Q269" s="773" t="s">
        <v>2606</v>
      </c>
      <c r="T269" s="775" t="str">
        <f t="shared" si="244"/>
        <v>023801</v>
      </c>
      <c r="W269" s="739" t="s">
        <v>2032</v>
      </c>
      <c r="Y269" s="775">
        <f t="shared" si="245"/>
        <v>2017</v>
      </c>
      <c r="Z269" s="775">
        <v>12</v>
      </c>
      <c r="AA269" s="739">
        <f>'LedgerLoad Assist'!BD139</f>
        <v>0</v>
      </c>
      <c r="AB269" s="739">
        <f t="shared" ref="AB269:AC269" si="251">AA269</f>
        <v>0</v>
      </c>
      <c r="AC269" s="739">
        <f t="shared" si="251"/>
        <v>0</v>
      </c>
    </row>
    <row r="270" spans="1:29">
      <c r="A270" s="739" t="s">
        <v>2025</v>
      </c>
      <c r="B270" s="739" t="s">
        <v>2025</v>
      </c>
      <c r="C270" s="739" t="s">
        <v>2026</v>
      </c>
      <c r="D270" s="739" t="s">
        <v>2026</v>
      </c>
      <c r="E270" s="791">
        <v>460000</v>
      </c>
      <c r="G270" s="739" t="str">
        <f t="shared" si="243"/>
        <v>013801</v>
      </c>
      <c r="J270" s="739">
        <v>3000</v>
      </c>
      <c r="Q270" s="773">
        <v>610</v>
      </c>
      <c r="T270" s="775" t="str">
        <f t="shared" si="244"/>
        <v>023801</v>
      </c>
      <c r="W270" s="739" t="s">
        <v>2032</v>
      </c>
      <c r="Y270" s="775">
        <f t="shared" si="245"/>
        <v>2017</v>
      </c>
      <c r="Z270" s="775">
        <v>12</v>
      </c>
      <c r="AA270" s="739">
        <f>'LedgerLoad Assist'!BD140</f>
        <v>0</v>
      </c>
      <c r="AB270" s="739">
        <f t="shared" ref="AB270:AC270" si="252">AA270</f>
        <v>0</v>
      </c>
      <c r="AC270" s="739">
        <f t="shared" si="252"/>
        <v>0</v>
      </c>
    </row>
    <row r="271" spans="1:29">
      <c r="A271" s="739" t="s">
        <v>2025</v>
      </c>
      <c r="B271" s="739" t="s">
        <v>2025</v>
      </c>
      <c r="C271" s="739" t="s">
        <v>2026</v>
      </c>
      <c r="D271" s="739" t="s">
        <v>2026</v>
      </c>
      <c r="E271" s="791">
        <v>460000</v>
      </c>
      <c r="G271" s="739" t="str">
        <f t="shared" si="243"/>
        <v>013801</v>
      </c>
      <c r="J271" s="739">
        <v>3000</v>
      </c>
      <c r="Q271" s="773">
        <v>620</v>
      </c>
      <c r="T271" s="775" t="str">
        <f t="shared" si="244"/>
        <v>023801</v>
      </c>
      <c r="W271" s="739" t="s">
        <v>2032</v>
      </c>
      <c r="Y271" s="775">
        <f t="shared" si="245"/>
        <v>2017</v>
      </c>
      <c r="Z271" s="775">
        <v>12</v>
      </c>
      <c r="AA271" s="739">
        <f>'LedgerLoad Assist'!BD141</f>
        <v>0</v>
      </c>
      <c r="AB271" s="739">
        <f t="shared" ref="AB271:AC271" si="253">AA271</f>
        <v>0</v>
      </c>
      <c r="AC271" s="739">
        <f t="shared" si="253"/>
        <v>0</v>
      </c>
    </row>
    <row r="272" spans="1:29">
      <c r="A272" s="739" t="s">
        <v>2025</v>
      </c>
      <c r="B272" s="739" t="s">
        <v>2025</v>
      </c>
      <c r="C272" s="739" t="s">
        <v>2026</v>
      </c>
      <c r="D272" s="739" t="s">
        <v>2026</v>
      </c>
      <c r="E272" s="791">
        <v>460000</v>
      </c>
      <c r="G272" s="739" t="str">
        <f t="shared" si="243"/>
        <v>013801</v>
      </c>
      <c r="J272" s="739">
        <v>3000</v>
      </c>
      <c r="Q272" s="773">
        <v>900</v>
      </c>
      <c r="T272" s="775" t="str">
        <f t="shared" si="244"/>
        <v>023801</v>
      </c>
      <c r="W272" s="739" t="s">
        <v>2032</v>
      </c>
      <c r="Y272" s="775">
        <f t="shared" si="245"/>
        <v>2017</v>
      </c>
      <c r="Z272" s="775">
        <v>12</v>
      </c>
      <c r="AA272" s="739">
        <f>'LedgerLoad Assist'!BD142</f>
        <v>0</v>
      </c>
      <c r="AB272" s="739">
        <f t="shared" ref="AB272:AC272" si="254">AA272</f>
        <v>0</v>
      </c>
      <c r="AC272" s="739">
        <f t="shared" si="254"/>
        <v>0</v>
      </c>
    </row>
    <row r="273" spans="1:29">
      <c r="A273" s="739" t="s">
        <v>2025</v>
      </c>
      <c r="B273" s="739" t="s">
        <v>2025</v>
      </c>
      <c r="C273" s="739" t="s">
        <v>2026</v>
      </c>
      <c r="D273" s="739" t="s">
        <v>2026</v>
      </c>
      <c r="E273" s="791">
        <v>470000</v>
      </c>
      <c r="G273" s="739" t="str">
        <f t="shared" si="243"/>
        <v>013801</v>
      </c>
      <c r="J273" s="739">
        <v>3000</v>
      </c>
      <c r="Q273" s="773">
        <v>100</v>
      </c>
      <c r="T273" s="775" t="str">
        <f t="shared" si="244"/>
        <v>023801</v>
      </c>
      <c r="W273" s="739" t="s">
        <v>2032</v>
      </c>
      <c r="Y273" s="775">
        <f t="shared" si="245"/>
        <v>2017</v>
      </c>
      <c r="Z273" s="775">
        <v>12</v>
      </c>
      <c r="AA273" s="739">
        <f>'LedgerLoad Assist'!BD143</f>
        <v>0</v>
      </c>
      <c r="AB273" s="739">
        <f t="shared" ref="AB273:AC273" si="255">AA273</f>
        <v>0</v>
      </c>
      <c r="AC273" s="739">
        <f t="shared" si="255"/>
        <v>0</v>
      </c>
    </row>
    <row r="274" spans="1:29">
      <c r="A274" s="739" t="s">
        <v>2025</v>
      </c>
      <c r="B274" s="739" t="s">
        <v>2025</v>
      </c>
      <c r="C274" s="739" t="s">
        <v>2026</v>
      </c>
      <c r="D274" s="739" t="s">
        <v>2026</v>
      </c>
      <c r="E274" s="791">
        <v>470000</v>
      </c>
      <c r="G274" s="739" t="str">
        <f t="shared" si="243"/>
        <v>013801</v>
      </c>
      <c r="J274" s="739">
        <v>3000</v>
      </c>
      <c r="Q274" s="773" t="s">
        <v>2606</v>
      </c>
      <c r="T274" s="775" t="str">
        <f t="shared" si="244"/>
        <v>023801</v>
      </c>
      <c r="W274" s="739" t="s">
        <v>2032</v>
      </c>
      <c r="Y274" s="775">
        <f t="shared" si="245"/>
        <v>2017</v>
      </c>
      <c r="Z274" s="775">
        <v>12</v>
      </c>
      <c r="AA274" s="739">
        <f>'LedgerLoad Assist'!BD144</f>
        <v>0</v>
      </c>
      <c r="AB274" s="739">
        <f t="shared" ref="AB274:AC274" si="256">AA274</f>
        <v>0</v>
      </c>
      <c r="AC274" s="739">
        <f t="shared" si="256"/>
        <v>0</v>
      </c>
    </row>
    <row r="275" spans="1:29">
      <c r="A275" s="739" t="s">
        <v>2025</v>
      </c>
      <c r="B275" s="739" t="s">
        <v>2025</v>
      </c>
      <c r="C275" s="739" t="s">
        <v>2026</v>
      </c>
      <c r="D275" s="739" t="s">
        <v>2026</v>
      </c>
      <c r="E275" s="791">
        <v>470000</v>
      </c>
      <c r="G275" s="739" t="str">
        <f t="shared" si="243"/>
        <v>013801</v>
      </c>
      <c r="J275" s="739">
        <v>3000</v>
      </c>
      <c r="Q275" s="773">
        <v>610</v>
      </c>
      <c r="T275" s="775" t="str">
        <f t="shared" si="244"/>
        <v>023801</v>
      </c>
      <c r="W275" s="739" t="s">
        <v>2032</v>
      </c>
      <c r="Y275" s="775">
        <f t="shared" si="245"/>
        <v>2017</v>
      </c>
      <c r="Z275" s="775">
        <v>12</v>
      </c>
      <c r="AA275" s="739">
        <f>'LedgerLoad Assist'!BD145</f>
        <v>0</v>
      </c>
      <c r="AB275" s="739">
        <f t="shared" ref="AB275:AC275" si="257">AA275</f>
        <v>0</v>
      </c>
      <c r="AC275" s="739">
        <f t="shared" si="257"/>
        <v>0</v>
      </c>
    </row>
    <row r="276" spans="1:29">
      <c r="A276" s="739" t="s">
        <v>2025</v>
      </c>
      <c r="B276" s="739" t="s">
        <v>2025</v>
      </c>
      <c r="C276" s="739" t="s">
        <v>2026</v>
      </c>
      <c r="D276" s="739" t="s">
        <v>2026</v>
      </c>
      <c r="E276" s="791">
        <v>470000</v>
      </c>
      <c r="G276" s="739" t="str">
        <f t="shared" si="243"/>
        <v>013801</v>
      </c>
      <c r="J276" s="739">
        <v>3000</v>
      </c>
      <c r="Q276" s="773">
        <v>620</v>
      </c>
      <c r="T276" s="775" t="str">
        <f t="shared" si="244"/>
        <v>023801</v>
      </c>
      <c r="W276" s="739" t="s">
        <v>2032</v>
      </c>
      <c r="Y276" s="775">
        <f t="shared" si="245"/>
        <v>2017</v>
      </c>
      <c r="Z276" s="775">
        <v>12</v>
      </c>
      <c r="AA276" s="739">
        <f>'LedgerLoad Assist'!BD146</f>
        <v>0</v>
      </c>
      <c r="AB276" s="739">
        <f t="shared" ref="AB276:AC276" si="258">AA276</f>
        <v>0</v>
      </c>
      <c r="AC276" s="739">
        <f t="shared" si="258"/>
        <v>0</v>
      </c>
    </row>
    <row r="277" spans="1:29">
      <c r="A277" s="739" t="s">
        <v>2025</v>
      </c>
      <c r="B277" s="739" t="s">
        <v>2025</v>
      </c>
      <c r="C277" s="739" t="s">
        <v>2026</v>
      </c>
      <c r="D277" s="739" t="s">
        <v>2026</v>
      </c>
      <c r="E277" s="791">
        <v>470000</v>
      </c>
      <c r="G277" s="739" t="str">
        <f t="shared" si="243"/>
        <v>013801</v>
      </c>
      <c r="J277" s="739">
        <v>3000</v>
      </c>
      <c r="Q277" s="773">
        <v>900</v>
      </c>
      <c r="T277" s="775" t="str">
        <f t="shared" si="244"/>
        <v>023801</v>
      </c>
      <c r="W277" s="739" t="s">
        <v>2032</v>
      </c>
      <c r="Y277" s="775">
        <f t="shared" si="245"/>
        <v>2017</v>
      </c>
      <c r="Z277" s="775">
        <v>12</v>
      </c>
      <c r="AA277" s="739">
        <f>'LedgerLoad Assist'!BD147</f>
        <v>0</v>
      </c>
      <c r="AB277" s="739">
        <f t="shared" ref="AB277:AC277" si="259">AA277</f>
        <v>0</v>
      </c>
      <c r="AC277" s="739">
        <f t="shared" si="259"/>
        <v>0</v>
      </c>
    </row>
    <row r="278" spans="1:29">
      <c r="A278" s="739" t="s">
        <v>2025</v>
      </c>
      <c r="B278" s="739" t="s">
        <v>2025</v>
      </c>
      <c r="C278" s="739" t="s">
        <v>2026</v>
      </c>
      <c r="D278" s="739" t="s">
        <v>2026</v>
      </c>
      <c r="E278" s="791">
        <v>480000</v>
      </c>
      <c r="G278" s="739" t="str">
        <f t="shared" si="243"/>
        <v>013801</v>
      </c>
      <c r="J278" s="739">
        <v>3000</v>
      </c>
      <c r="Q278" s="773">
        <v>100</v>
      </c>
      <c r="T278" s="775" t="str">
        <f t="shared" si="244"/>
        <v>023801</v>
      </c>
      <c r="W278" s="739" t="s">
        <v>2032</v>
      </c>
      <c r="Y278" s="775">
        <f t="shared" si="245"/>
        <v>2017</v>
      </c>
      <c r="Z278" s="775">
        <v>12</v>
      </c>
      <c r="AA278" s="739">
        <f>'LedgerLoad Assist'!BD148</f>
        <v>0</v>
      </c>
      <c r="AB278" s="739">
        <f t="shared" ref="AB278:AC278" si="260">AA278</f>
        <v>0</v>
      </c>
      <c r="AC278" s="739">
        <f t="shared" si="260"/>
        <v>0</v>
      </c>
    </row>
    <row r="279" spans="1:29">
      <c r="A279" s="739" t="s">
        <v>2025</v>
      </c>
      <c r="B279" s="739" t="s">
        <v>2025</v>
      </c>
      <c r="C279" s="739" t="s">
        <v>2026</v>
      </c>
      <c r="D279" s="739" t="s">
        <v>2026</v>
      </c>
      <c r="E279" s="791">
        <v>480000</v>
      </c>
      <c r="G279" s="739" t="str">
        <f t="shared" si="243"/>
        <v>013801</v>
      </c>
      <c r="J279" s="739">
        <v>3000</v>
      </c>
      <c r="Q279" s="773" t="s">
        <v>2606</v>
      </c>
      <c r="T279" s="775" t="str">
        <f t="shared" si="244"/>
        <v>023801</v>
      </c>
      <c r="W279" s="739" t="s">
        <v>2032</v>
      </c>
      <c r="Y279" s="775">
        <f t="shared" si="245"/>
        <v>2017</v>
      </c>
      <c r="Z279" s="775">
        <v>12</v>
      </c>
      <c r="AA279" s="739">
        <f>'LedgerLoad Assist'!BD149</f>
        <v>0</v>
      </c>
      <c r="AB279" s="739">
        <f t="shared" ref="AB279:AC279" si="261">AA279</f>
        <v>0</v>
      </c>
      <c r="AC279" s="739">
        <f t="shared" si="261"/>
        <v>0</v>
      </c>
    </row>
    <row r="280" spans="1:29">
      <c r="A280" s="739" t="s">
        <v>2025</v>
      </c>
      <c r="B280" s="739" t="s">
        <v>2025</v>
      </c>
      <c r="C280" s="739" t="s">
        <v>2026</v>
      </c>
      <c r="D280" s="739" t="s">
        <v>2026</v>
      </c>
      <c r="E280" s="791">
        <v>480000</v>
      </c>
      <c r="G280" s="739" t="str">
        <f t="shared" si="243"/>
        <v>013801</v>
      </c>
      <c r="J280" s="739">
        <v>3000</v>
      </c>
      <c r="Q280" s="773">
        <v>610</v>
      </c>
      <c r="T280" s="775" t="str">
        <f t="shared" si="244"/>
        <v>023801</v>
      </c>
      <c r="W280" s="739" t="s">
        <v>2032</v>
      </c>
      <c r="Y280" s="775">
        <f t="shared" si="245"/>
        <v>2017</v>
      </c>
      <c r="Z280" s="775">
        <v>12</v>
      </c>
      <c r="AA280" s="739">
        <f>'LedgerLoad Assist'!BD150</f>
        <v>0</v>
      </c>
      <c r="AB280" s="739">
        <f t="shared" ref="AB280:AC280" si="262">AA280</f>
        <v>0</v>
      </c>
      <c r="AC280" s="739">
        <f t="shared" si="262"/>
        <v>0</v>
      </c>
    </row>
    <row r="281" spans="1:29">
      <c r="A281" s="739" t="s">
        <v>2025</v>
      </c>
      <c r="B281" s="739" t="s">
        <v>2025</v>
      </c>
      <c r="C281" s="739" t="s">
        <v>2026</v>
      </c>
      <c r="D281" s="739" t="s">
        <v>2026</v>
      </c>
      <c r="E281" s="791">
        <v>480000</v>
      </c>
      <c r="G281" s="739" t="str">
        <f t="shared" si="243"/>
        <v>013801</v>
      </c>
      <c r="J281" s="739">
        <v>3000</v>
      </c>
      <c r="Q281" s="773">
        <v>620</v>
      </c>
      <c r="T281" s="775" t="str">
        <f t="shared" si="244"/>
        <v>023801</v>
      </c>
      <c r="W281" s="739" t="s">
        <v>2032</v>
      </c>
      <c r="Y281" s="775">
        <f t="shared" si="245"/>
        <v>2017</v>
      </c>
      <c r="Z281" s="775">
        <v>12</v>
      </c>
      <c r="AA281" s="739">
        <f>'LedgerLoad Assist'!BD151</f>
        <v>0</v>
      </c>
      <c r="AB281" s="739">
        <f t="shared" ref="AB281:AC281" si="263">AA281</f>
        <v>0</v>
      </c>
      <c r="AC281" s="739">
        <f t="shared" si="263"/>
        <v>0</v>
      </c>
    </row>
    <row r="282" spans="1:29">
      <c r="A282" s="739" t="s">
        <v>2025</v>
      </c>
      <c r="B282" s="739" t="s">
        <v>2025</v>
      </c>
      <c r="C282" s="739" t="s">
        <v>2026</v>
      </c>
      <c r="D282" s="739" t="s">
        <v>2026</v>
      </c>
      <c r="E282" s="791">
        <v>480000</v>
      </c>
      <c r="G282" s="739" t="str">
        <f t="shared" si="243"/>
        <v>013801</v>
      </c>
      <c r="J282" s="739">
        <v>3000</v>
      </c>
      <c r="Q282" s="773">
        <v>900</v>
      </c>
      <c r="T282" s="775" t="str">
        <f t="shared" si="244"/>
        <v>023801</v>
      </c>
      <c r="W282" s="739" t="s">
        <v>2032</v>
      </c>
      <c r="Y282" s="775">
        <f t="shared" si="245"/>
        <v>2017</v>
      </c>
      <c r="Z282" s="775">
        <v>12</v>
      </c>
      <c r="AA282" s="739">
        <f>'LedgerLoad Assist'!BD152</f>
        <v>0</v>
      </c>
      <c r="AB282" s="739">
        <f t="shared" ref="AB282:AC282" si="264">AA282</f>
        <v>0</v>
      </c>
      <c r="AC282" s="739">
        <f t="shared" si="264"/>
        <v>0</v>
      </c>
    </row>
    <row r="283" spans="1:29">
      <c r="A283" s="739" t="s">
        <v>2025</v>
      </c>
      <c r="B283" s="739" t="s">
        <v>2025</v>
      </c>
      <c r="C283" s="739" t="s">
        <v>2026</v>
      </c>
      <c r="D283" s="739" t="s">
        <v>2026</v>
      </c>
      <c r="E283" s="791">
        <v>490000</v>
      </c>
      <c r="G283" s="739" t="str">
        <f t="shared" si="243"/>
        <v>013801</v>
      </c>
      <c r="J283" s="739">
        <v>3000</v>
      </c>
      <c r="Q283" s="773">
        <v>100</v>
      </c>
      <c r="T283" s="775" t="str">
        <f t="shared" si="244"/>
        <v>023801</v>
      </c>
      <c r="W283" s="739" t="s">
        <v>2032</v>
      </c>
      <c r="Y283" s="775">
        <f t="shared" si="245"/>
        <v>2017</v>
      </c>
      <c r="Z283" s="775">
        <v>12</v>
      </c>
      <c r="AA283" s="739">
        <f>'LedgerLoad Assist'!BD153</f>
        <v>0</v>
      </c>
      <c r="AB283" s="739">
        <f t="shared" ref="AB283:AC283" si="265">AA283</f>
        <v>0</v>
      </c>
      <c r="AC283" s="739">
        <f t="shared" si="265"/>
        <v>0</v>
      </c>
    </row>
    <row r="284" spans="1:29">
      <c r="A284" s="739" t="s">
        <v>2025</v>
      </c>
      <c r="B284" s="739" t="s">
        <v>2025</v>
      </c>
      <c r="C284" s="739" t="s">
        <v>2026</v>
      </c>
      <c r="D284" s="739" t="s">
        <v>2026</v>
      </c>
      <c r="E284" s="791">
        <v>490000</v>
      </c>
      <c r="G284" s="739" t="str">
        <f t="shared" si="243"/>
        <v>013801</v>
      </c>
      <c r="J284" s="739">
        <v>3000</v>
      </c>
      <c r="Q284" s="773" t="s">
        <v>2606</v>
      </c>
      <c r="T284" s="775" t="str">
        <f t="shared" si="244"/>
        <v>023801</v>
      </c>
      <c r="W284" s="739" t="s">
        <v>2032</v>
      </c>
      <c r="Y284" s="775">
        <f t="shared" si="245"/>
        <v>2017</v>
      </c>
      <c r="Z284" s="775">
        <v>12</v>
      </c>
      <c r="AA284" s="739">
        <f>'LedgerLoad Assist'!BD154</f>
        <v>0</v>
      </c>
      <c r="AB284" s="739">
        <f t="shared" ref="AB284:AC284" si="266">AA284</f>
        <v>0</v>
      </c>
      <c r="AC284" s="739">
        <f t="shared" si="266"/>
        <v>0</v>
      </c>
    </row>
    <row r="285" spans="1:29">
      <c r="A285" s="739" t="s">
        <v>2025</v>
      </c>
      <c r="B285" s="739" t="s">
        <v>2025</v>
      </c>
      <c r="C285" s="739" t="s">
        <v>2026</v>
      </c>
      <c r="D285" s="739" t="s">
        <v>2026</v>
      </c>
      <c r="E285" s="791">
        <v>490000</v>
      </c>
      <c r="G285" s="739" t="str">
        <f t="shared" si="243"/>
        <v>013801</v>
      </c>
      <c r="J285" s="739">
        <v>3000</v>
      </c>
      <c r="Q285" s="773">
        <v>610</v>
      </c>
      <c r="T285" s="775" t="str">
        <f t="shared" si="244"/>
        <v>023801</v>
      </c>
      <c r="W285" s="739" t="s">
        <v>2032</v>
      </c>
      <c r="Y285" s="775">
        <f t="shared" si="245"/>
        <v>2017</v>
      </c>
      <c r="Z285" s="775">
        <v>12</v>
      </c>
      <c r="AA285" s="739">
        <f>'OPER.-NONMAJOR DEBT SER.(69-70)'!AS31+'LedgerLoad Assist'!BD155</f>
        <v>0</v>
      </c>
      <c r="AB285" s="739">
        <f t="shared" ref="AB285:AC285" si="267">AA285</f>
        <v>0</v>
      </c>
      <c r="AC285" s="739">
        <f t="shared" si="267"/>
        <v>0</v>
      </c>
    </row>
    <row r="286" spans="1:29">
      <c r="A286" s="739" t="s">
        <v>2025</v>
      </c>
      <c r="B286" s="739" t="s">
        <v>2025</v>
      </c>
      <c r="C286" s="739" t="s">
        <v>2026</v>
      </c>
      <c r="D286" s="739" t="s">
        <v>2026</v>
      </c>
      <c r="E286" s="791">
        <v>490000</v>
      </c>
      <c r="G286" s="739" t="str">
        <f t="shared" si="243"/>
        <v>013801</v>
      </c>
      <c r="J286" s="739">
        <v>3000</v>
      </c>
      <c r="Q286" s="773">
        <v>620</v>
      </c>
      <c r="T286" s="775" t="str">
        <f t="shared" si="244"/>
        <v>023801</v>
      </c>
      <c r="W286" s="739" t="s">
        <v>2032</v>
      </c>
      <c r="Y286" s="775">
        <f t="shared" si="245"/>
        <v>2017</v>
      </c>
      <c r="Z286" s="775">
        <v>12</v>
      </c>
      <c r="AA286" s="739">
        <f>'OPER.-NONMAJOR DEBT SER.(69-70)'!AS32+'LedgerLoad Assist'!BD156</f>
        <v>0</v>
      </c>
      <c r="AB286" s="739">
        <f t="shared" ref="AB286:AC286" si="268">AA286</f>
        <v>0</v>
      </c>
      <c r="AC286" s="739">
        <f t="shared" si="268"/>
        <v>0</v>
      </c>
    </row>
    <row r="287" spans="1:29">
      <c r="A287" s="739" t="s">
        <v>2025</v>
      </c>
      <c r="B287" s="739" t="s">
        <v>2025</v>
      </c>
      <c r="C287" s="739" t="s">
        <v>2026</v>
      </c>
      <c r="D287" s="739" t="s">
        <v>2026</v>
      </c>
      <c r="E287" s="791">
        <v>490000</v>
      </c>
      <c r="G287" s="739" t="str">
        <f t="shared" si="243"/>
        <v>013801</v>
      </c>
      <c r="J287" s="739">
        <v>3000</v>
      </c>
      <c r="Q287" s="773">
        <v>900</v>
      </c>
      <c r="T287" s="775" t="str">
        <f t="shared" si="244"/>
        <v>023801</v>
      </c>
      <c r="W287" s="739" t="s">
        <v>2032</v>
      </c>
      <c r="Y287" s="775">
        <f t="shared" si="245"/>
        <v>2017</v>
      </c>
      <c r="Z287" s="775">
        <v>12</v>
      </c>
      <c r="AA287" s="739">
        <f>'LedgerLoad Assist'!BD157</f>
        <v>0</v>
      </c>
      <c r="AB287" s="739">
        <f t="shared" ref="AB287:AC287" si="269">AA287</f>
        <v>0</v>
      </c>
      <c r="AC287" s="739">
        <f t="shared" si="269"/>
        <v>0</v>
      </c>
    </row>
    <row r="288" spans="1:29">
      <c r="A288" s="739" t="s">
        <v>2025</v>
      </c>
      <c r="B288" s="739" t="s">
        <v>2025</v>
      </c>
      <c r="C288" s="739" t="s">
        <v>2026</v>
      </c>
      <c r="D288" s="739" t="s">
        <v>2026</v>
      </c>
      <c r="E288" s="791">
        <v>500000</v>
      </c>
      <c r="G288" s="739" t="str">
        <f t="shared" si="243"/>
        <v>013801</v>
      </c>
      <c r="J288" s="739">
        <v>3000</v>
      </c>
      <c r="Q288" s="773">
        <v>100</v>
      </c>
      <c r="T288" s="775" t="str">
        <f t="shared" si="244"/>
        <v>023801</v>
      </c>
      <c r="W288" s="739" t="s">
        <v>2032</v>
      </c>
      <c r="Y288" s="775">
        <f t="shared" si="245"/>
        <v>2017</v>
      </c>
      <c r="Z288" s="775">
        <v>12</v>
      </c>
      <c r="AA288" s="739">
        <f>'LedgerLoad Assist'!BD158</f>
        <v>0</v>
      </c>
      <c r="AB288" s="739">
        <f t="shared" ref="AB288:AC288" si="270">AA288</f>
        <v>0</v>
      </c>
      <c r="AC288" s="739">
        <f t="shared" si="270"/>
        <v>0</v>
      </c>
    </row>
    <row r="289" spans="1:29">
      <c r="A289" s="739" t="s">
        <v>2025</v>
      </c>
      <c r="B289" s="739" t="s">
        <v>2025</v>
      </c>
      <c r="C289" s="739" t="s">
        <v>2026</v>
      </c>
      <c r="D289" s="739" t="s">
        <v>2026</v>
      </c>
      <c r="E289" s="791">
        <v>500000</v>
      </c>
      <c r="G289" s="739" t="str">
        <f t="shared" si="243"/>
        <v>013801</v>
      </c>
      <c r="J289" s="739">
        <v>3000</v>
      </c>
      <c r="Q289" s="773" t="s">
        <v>2606</v>
      </c>
      <c r="T289" s="775" t="str">
        <f t="shared" si="244"/>
        <v>023801</v>
      </c>
      <c r="W289" s="739" t="s">
        <v>2032</v>
      </c>
      <c r="Y289" s="775">
        <f t="shared" si="245"/>
        <v>2017</v>
      </c>
      <c r="Z289" s="775">
        <v>12</v>
      </c>
      <c r="AA289" s="739">
        <f>'LedgerLoad Assist'!BD159</f>
        <v>0</v>
      </c>
      <c r="AB289" s="739">
        <f t="shared" ref="AB289:AC289" si="271">AA289</f>
        <v>0</v>
      </c>
      <c r="AC289" s="739">
        <f t="shared" si="271"/>
        <v>0</v>
      </c>
    </row>
    <row r="290" spans="1:29">
      <c r="A290" s="739" t="s">
        <v>2025</v>
      </c>
      <c r="B290" s="739" t="s">
        <v>2025</v>
      </c>
      <c r="C290" s="739" t="s">
        <v>2026</v>
      </c>
      <c r="D290" s="739" t="s">
        <v>2026</v>
      </c>
      <c r="E290" s="791">
        <v>500000</v>
      </c>
      <c r="G290" s="739" t="str">
        <f t="shared" si="243"/>
        <v>013801</v>
      </c>
      <c r="J290" s="739">
        <v>3000</v>
      </c>
      <c r="Q290" s="773">
        <v>610</v>
      </c>
      <c r="T290" s="775" t="str">
        <f t="shared" si="244"/>
        <v>023801</v>
      </c>
      <c r="W290" s="739" t="s">
        <v>2032</v>
      </c>
      <c r="Y290" s="775">
        <f t="shared" si="245"/>
        <v>2017</v>
      </c>
      <c r="Z290" s="775">
        <v>12</v>
      </c>
      <c r="AA290" s="739">
        <f>'LedgerLoad Assist'!BD160</f>
        <v>0</v>
      </c>
      <c r="AB290" s="739">
        <f t="shared" ref="AB290:AC290" si="272">AA290</f>
        <v>0</v>
      </c>
      <c r="AC290" s="739">
        <f t="shared" si="272"/>
        <v>0</v>
      </c>
    </row>
    <row r="291" spans="1:29">
      <c r="A291" s="739" t="s">
        <v>2025</v>
      </c>
      <c r="B291" s="739" t="s">
        <v>2025</v>
      </c>
      <c r="C291" s="739" t="s">
        <v>2026</v>
      </c>
      <c r="D291" s="739" t="s">
        <v>2026</v>
      </c>
      <c r="E291" s="791">
        <v>500000</v>
      </c>
      <c r="G291" s="739" t="str">
        <f t="shared" si="243"/>
        <v>013801</v>
      </c>
      <c r="J291" s="739">
        <v>3000</v>
      </c>
      <c r="Q291" s="773">
        <v>620</v>
      </c>
      <c r="T291" s="775" t="str">
        <f t="shared" si="244"/>
        <v>023801</v>
      </c>
      <c r="W291" s="739" t="s">
        <v>2032</v>
      </c>
      <c r="Y291" s="775">
        <f t="shared" si="245"/>
        <v>2017</v>
      </c>
      <c r="Z291" s="775">
        <v>12</v>
      </c>
      <c r="AA291" s="739">
        <f>'LedgerLoad Assist'!BD161</f>
        <v>0</v>
      </c>
      <c r="AB291" s="739">
        <f t="shared" ref="AB291:AC291" si="273">AA291</f>
        <v>0</v>
      </c>
      <c r="AC291" s="739">
        <f t="shared" si="273"/>
        <v>0</v>
      </c>
    </row>
    <row r="292" spans="1:29">
      <c r="A292" s="739" t="s">
        <v>2025</v>
      </c>
      <c r="B292" s="739" t="s">
        <v>2025</v>
      </c>
      <c r="C292" s="739" t="s">
        <v>2026</v>
      </c>
      <c r="D292" s="739" t="s">
        <v>2026</v>
      </c>
      <c r="E292" s="791">
        <v>500000</v>
      </c>
      <c r="G292" s="739" t="str">
        <f t="shared" si="243"/>
        <v>013801</v>
      </c>
      <c r="J292" s="739">
        <v>3000</v>
      </c>
      <c r="Q292" s="773">
        <v>900</v>
      </c>
      <c r="T292" s="775" t="str">
        <f t="shared" si="244"/>
        <v>023801</v>
      </c>
      <c r="W292" s="739" t="s">
        <v>2032</v>
      </c>
      <c r="Y292" s="775">
        <f t="shared" si="245"/>
        <v>2017</v>
      </c>
      <c r="Z292" s="775">
        <v>12</v>
      </c>
      <c r="AA292" s="739">
        <f>'LedgerLoad Assist'!BD162</f>
        <v>0</v>
      </c>
      <c r="AB292" s="739">
        <f t="shared" ref="AB292:AC292" si="274">AA292</f>
        <v>0</v>
      </c>
      <c r="AC292" s="739">
        <f t="shared" si="274"/>
        <v>0</v>
      </c>
    </row>
    <row r="293" spans="1:29">
      <c r="A293" s="739" t="s">
        <v>2025</v>
      </c>
      <c r="B293" s="739" t="s">
        <v>2025</v>
      </c>
      <c r="C293" s="739" t="s">
        <v>2026</v>
      </c>
      <c r="D293" s="739" t="s">
        <v>2026</v>
      </c>
      <c r="E293" s="791">
        <v>510000</v>
      </c>
      <c r="G293" s="739" t="str">
        <f t="shared" si="243"/>
        <v>013801</v>
      </c>
      <c r="J293" s="739">
        <v>3000</v>
      </c>
      <c r="Q293" s="773">
        <v>100</v>
      </c>
      <c r="T293" s="775" t="str">
        <f t="shared" si="244"/>
        <v>023801</v>
      </c>
      <c r="W293" s="739" t="s">
        <v>2032</v>
      </c>
      <c r="Y293" s="775">
        <f t="shared" si="245"/>
        <v>2017</v>
      </c>
      <c r="Z293" s="775">
        <v>12</v>
      </c>
      <c r="AA293" s="739">
        <f>'LedgerLoad Assist'!BD163</f>
        <v>0</v>
      </c>
      <c r="AB293" s="739">
        <f t="shared" ref="AB293:AC293" si="275">AA293</f>
        <v>0</v>
      </c>
      <c r="AC293" s="739">
        <f t="shared" si="275"/>
        <v>0</v>
      </c>
    </row>
    <row r="294" spans="1:29">
      <c r="A294" s="739" t="s">
        <v>2025</v>
      </c>
      <c r="B294" s="739" t="s">
        <v>2025</v>
      </c>
      <c r="C294" s="739" t="s">
        <v>2026</v>
      </c>
      <c r="D294" s="739" t="s">
        <v>2026</v>
      </c>
      <c r="E294" s="791">
        <v>510000</v>
      </c>
      <c r="G294" s="739" t="str">
        <f t="shared" si="243"/>
        <v>013801</v>
      </c>
      <c r="J294" s="739">
        <v>3000</v>
      </c>
      <c r="Q294" s="773" t="s">
        <v>2606</v>
      </c>
      <c r="T294" s="775" t="str">
        <f t="shared" si="244"/>
        <v>023801</v>
      </c>
      <c r="W294" s="739" t="s">
        <v>2032</v>
      </c>
      <c r="Y294" s="775">
        <f t="shared" si="245"/>
        <v>2017</v>
      </c>
      <c r="Z294" s="775">
        <v>12</v>
      </c>
      <c r="AA294" s="739">
        <f>'OPER.-NONMAJOR DEBT SER.(69-70)'!AS33+'LedgerLoad Assist'!BD164</f>
        <v>0</v>
      </c>
      <c r="AB294" s="739">
        <f t="shared" ref="AB294:AC294" si="276">AA294</f>
        <v>0</v>
      </c>
      <c r="AC294" s="739">
        <f t="shared" si="276"/>
        <v>0</v>
      </c>
    </row>
    <row r="295" spans="1:29">
      <c r="A295" s="739" t="s">
        <v>2025</v>
      </c>
      <c r="B295" s="739" t="s">
        <v>2025</v>
      </c>
      <c r="C295" s="739" t="s">
        <v>2026</v>
      </c>
      <c r="D295" s="739" t="s">
        <v>2026</v>
      </c>
      <c r="E295" s="791">
        <v>510000</v>
      </c>
      <c r="G295" s="739" t="str">
        <f t="shared" si="243"/>
        <v>013801</v>
      </c>
      <c r="J295" s="739">
        <v>3000</v>
      </c>
      <c r="Q295" s="773">
        <v>610</v>
      </c>
      <c r="T295" s="775" t="str">
        <f t="shared" si="244"/>
        <v>023801</v>
      </c>
      <c r="W295" s="739" t="s">
        <v>2032</v>
      </c>
      <c r="Y295" s="775">
        <f t="shared" si="245"/>
        <v>2017</v>
      </c>
      <c r="Z295" s="775">
        <v>12</v>
      </c>
      <c r="AA295" s="739">
        <f>'LedgerLoad Assist'!BD165</f>
        <v>0</v>
      </c>
      <c r="AB295" s="739">
        <f t="shared" ref="AB295:AC295" si="277">AA295</f>
        <v>0</v>
      </c>
      <c r="AC295" s="739">
        <f t="shared" si="277"/>
        <v>0</v>
      </c>
    </row>
    <row r="296" spans="1:29">
      <c r="A296" s="739" t="s">
        <v>2025</v>
      </c>
      <c r="B296" s="739" t="s">
        <v>2025</v>
      </c>
      <c r="C296" s="739" t="s">
        <v>2026</v>
      </c>
      <c r="D296" s="739" t="s">
        <v>2026</v>
      </c>
      <c r="E296" s="791">
        <v>510000</v>
      </c>
      <c r="G296" s="739" t="str">
        <f t="shared" si="243"/>
        <v>013801</v>
      </c>
      <c r="J296" s="739">
        <v>3000</v>
      </c>
      <c r="Q296" s="773">
        <v>620</v>
      </c>
      <c r="T296" s="775" t="str">
        <f t="shared" si="244"/>
        <v>023801</v>
      </c>
      <c r="W296" s="739" t="s">
        <v>2032</v>
      </c>
      <c r="Y296" s="775">
        <f t="shared" si="245"/>
        <v>2017</v>
      </c>
      <c r="Z296" s="775">
        <v>12</v>
      </c>
      <c r="AA296" s="739">
        <f>'LedgerLoad Assist'!BD166</f>
        <v>0</v>
      </c>
      <c r="AB296" s="739">
        <f t="shared" ref="AB296:AC296" si="278">AA296</f>
        <v>0</v>
      </c>
      <c r="AC296" s="739">
        <f t="shared" si="278"/>
        <v>0</v>
      </c>
    </row>
    <row r="297" spans="1:29">
      <c r="A297" s="739" t="s">
        <v>2025</v>
      </c>
      <c r="B297" s="739" t="s">
        <v>2025</v>
      </c>
      <c r="C297" s="739" t="s">
        <v>2026</v>
      </c>
      <c r="D297" s="739" t="s">
        <v>2026</v>
      </c>
      <c r="E297" s="791">
        <v>510000</v>
      </c>
      <c r="G297" s="739" t="str">
        <f t="shared" si="243"/>
        <v>013801</v>
      </c>
      <c r="J297" s="739">
        <v>3000</v>
      </c>
      <c r="Q297" s="773">
        <v>900</v>
      </c>
      <c r="T297" s="775" t="str">
        <f t="shared" si="244"/>
        <v>023801</v>
      </c>
      <c r="W297" s="739" t="s">
        <v>2032</v>
      </c>
      <c r="Y297" s="775">
        <f t="shared" si="245"/>
        <v>2017</v>
      </c>
      <c r="Z297" s="775">
        <v>12</v>
      </c>
      <c r="AA297" s="739">
        <f>'LedgerLoad Assist'!BD167</f>
        <v>0</v>
      </c>
      <c r="AB297" s="739">
        <f t="shared" ref="AB297:AC297" si="279">AA297</f>
        <v>0</v>
      </c>
      <c r="AC297" s="739">
        <f t="shared" si="279"/>
        <v>0</v>
      </c>
    </row>
    <row r="298" spans="1:29">
      <c r="A298" s="739" t="s">
        <v>2025</v>
      </c>
      <c r="B298" s="739" t="s">
        <v>2025</v>
      </c>
      <c r="C298" s="739" t="s">
        <v>2026</v>
      </c>
      <c r="D298" s="739" t="s">
        <v>2026</v>
      </c>
      <c r="E298" s="791">
        <v>520000</v>
      </c>
      <c r="G298" s="739" t="str">
        <f t="shared" si="243"/>
        <v>013801</v>
      </c>
      <c r="J298" s="739">
        <v>3000</v>
      </c>
      <c r="Q298" s="773">
        <v>100</v>
      </c>
      <c r="T298" s="775" t="str">
        <f t="shared" si="244"/>
        <v>023801</v>
      </c>
      <c r="W298" s="739" t="s">
        <v>2032</v>
      </c>
      <c r="Y298" s="775">
        <f t="shared" si="245"/>
        <v>2017</v>
      </c>
      <c r="Z298" s="775">
        <v>12</v>
      </c>
      <c r="AA298" s="739">
        <f>'LedgerLoad Assist'!BD168</f>
        <v>0</v>
      </c>
      <c r="AB298" s="739">
        <f t="shared" ref="AB298:AC298" si="280">AA298</f>
        <v>0</v>
      </c>
      <c r="AC298" s="739">
        <f t="shared" si="280"/>
        <v>0</v>
      </c>
    </row>
    <row r="299" spans="1:29">
      <c r="A299" s="739" t="s">
        <v>2025</v>
      </c>
      <c r="B299" s="739" t="s">
        <v>2025</v>
      </c>
      <c r="C299" s="739" t="s">
        <v>2026</v>
      </c>
      <c r="D299" s="739" t="s">
        <v>2026</v>
      </c>
      <c r="E299" s="791">
        <v>520000</v>
      </c>
      <c r="G299" s="739" t="str">
        <f t="shared" si="243"/>
        <v>013801</v>
      </c>
      <c r="J299" s="739">
        <v>3000</v>
      </c>
      <c r="Q299" s="773" t="s">
        <v>2606</v>
      </c>
      <c r="T299" s="775" t="str">
        <f t="shared" si="244"/>
        <v>023801</v>
      </c>
      <c r="W299" s="739" t="s">
        <v>2032</v>
      </c>
      <c r="Y299" s="775">
        <f t="shared" si="245"/>
        <v>2017</v>
      </c>
      <c r="Z299" s="775">
        <v>12</v>
      </c>
      <c r="AA299" s="739">
        <f>-'LedgerLoad Assist'!BD169-'OPER.-NONMAJOR DEBT SER.(69-70)'!AS39-'OPER.-NONMAJOR DEBT SER.(69-70)'!AS42-'OPER.-NONMAJOR DEBT SER.(69-70)'!AS43</f>
        <v>0</v>
      </c>
      <c r="AB299" s="739">
        <f t="shared" ref="AB299:AC299" si="281">AA299</f>
        <v>0</v>
      </c>
      <c r="AC299" s="739">
        <f t="shared" si="281"/>
        <v>0</v>
      </c>
    </row>
    <row r="300" spans="1:29">
      <c r="A300" s="739" t="s">
        <v>2025</v>
      </c>
      <c r="B300" s="739" t="s">
        <v>2025</v>
      </c>
      <c r="C300" s="739" t="s">
        <v>2026</v>
      </c>
      <c r="D300" s="739" t="s">
        <v>2026</v>
      </c>
      <c r="E300" s="791">
        <v>520000</v>
      </c>
      <c r="G300" s="739" t="str">
        <f t="shared" si="243"/>
        <v>013801</v>
      </c>
      <c r="J300" s="739">
        <v>3000</v>
      </c>
      <c r="Q300" s="773">
        <v>610</v>
      </c>
      <c r="T300" s="775" t="str">
        <f t="shared" si="244"/>
        <v>023801</v>
      </c>
      <c r="W300" s="739" t="s">
        <v>2032</v>
      </c>
      <c r="Y300" s="775">
        <f t="shared" si="245"/>
        <v>2017</v>
      </c>
      <c r="Z300" s="775">
        <v>12</v>
      </c>
      <c r="AA300" s="739">
        <f>'LedgerLoad Assist'!BD170</f>
        <v>0</v>
      </c>
      <c r="AB300" s="739">
        <f t="shared" ref="AB300:AC300" si="282">AA300</f>
        <v>0</v>
      </c>
      <c r="AC300" s="739">
        <f t="shared" si="282"/>
        <v>0</v>
      </c>
    </row>
    <row r="301" spans="1:29">
      <c r="A301" s="739" t="s">
        <v>2025</v>
      </c>
      <c r="B301" s="739" t="s">
        <v>2025</v>
      </c>
      <c r="C301" s="739" t="s">
        <v>2026</v>
      </c>
      <c r="D301" s="739" t="s">
        <v>2026</v>
      </c>
      <c r="E301" s="791">
        <v>520000</v>
      </c>
      <c r="G301" s="739" t="str">
        <f t="shared" si="243"/>
        <v>013801</v>
      </c>
      <c r="J301" s="739">
        <v>3000</v>
      </c>
      <c r="Q301" s="773">
        <v>620</v>
      </c>
      <c r="T301" s="775" t="str">
        <f t="shared" si="244"/>
        <v>023801</v>
      </c>
      <c r="W301" s="739" t="s">
        <v>2032</v>
      </c>
      <c r="Y301" s="775">
        <f t="shared" si="245"/>
        <v>2017</v>
      </c>
      <c r="Z301" s="775">
        <v>12</v>
      </c>
      <c r="AA301" s="739">
        <f>'LedgerLoad Assist'!BD171</f>
        <v>0</v>
      </c>
      <c r="AB301" s="739">
        <f t="shared" ref="AB301:AC301" si="283">AA301</f>
        <v>0</v>
      </c>
      <c r="AC301" s="739">
        <f t="shared" si="283"/>
        <v>0</v>
      </c>
    </row>
    <row r="302" spans="1:29">
      <c r="A302" s="739" t="s">
        <v>2025</v>
      </c>
      <c r="B302" s="739" t="s">
        <v>2025</v>
      </c>
      <c r="C302" s="739" t="s">
        <v>2026</v>
      </c>
      <c r="D302" s="739" t="s">
        <v>2026</v>
      </c>
      <c r="E302" s="791">
        <v>520000</v>
      </c>
      <c r="G302" s="739" t="str">
        <f t="shared" si="243"/>
        <v>013801</v>
      </c>
      <c r="J302" s="739">
        <v>3000</v>
      </c>
      <c r="Q302" s="773">
        <v>900</v>
      </c>
      <c r="T302" s="775" t="str">
        <f t="shared" si="244"/>
        <v>023801</v>
      </c>
      <c r="W302" s="739" t="s">
        <v>2032</v>
      </c>
      <c r="Y302" s="775">
        <f t="shared" si="245"/>
        <v>2017</v>
      </c>
      <c r="Z302" s="775">
        <v>12</v>
      </c>
      <c r="AA302" s="739">
        <f>'LedgerLoad Assist'!BD172</f>
        <v>0</v>
      </c>
      <c r="AB302" s="739">
        <f t="shared" ref="AB302:AC302" si="284">AA302</f>
        <v>0</v>
      </c>
      <c r="AC302" s="739">
        <f t="shared" si="284"/>
        <v>0</v>
      </c>
    </row>
    <row r="303" spans="1:29">
      <c r="A303" s="739" t="s">
        <v>2025</v>
      </c>
      <c r="B303" s="739" t="s">
        <v>2025</v>
      </c>
      <c r="C303" s="739" t="s">
        <v>2026</v>
      </c>
      <c r="D303" s="739" t="s">
        <v>2026</v>
      </c>
      <c r="E303" s="791">
        <v>100000</v>
      </c>
      <c r="G303" s="739" t="str">
        <f t="shared" si="243"/>
        <v>013801</v>
      </c>
      <c r="J303" s="739">
        <v>4000</v>
      </c>
      <c r="Q303" s="773"/>
      <c r="T303" s="775" t="str">
        <f t="shared" si="244"/>
        <v>023801</v>
      </c>
      <c r="W303" s="739" t="s">
        <v>2032</v>
      </c>
      <c r="Y303" s="775">
        <f t="shared" si="245"/>
        <v>2017</v>
      </c>
      <c r="Z303" s="775">
        <v>12</v>
      </c>
      <c r="AA303" s="739">
        <f>'BS-NONMAJOR CAP. PROJ.(71-72)'!N6+'BS-NONMAJOR CAP. PROJ.(71-72)'!N7+'BS-NONMAJOR CAP. PROJ.(71-72)'!N8+'BS-NONMAJOR CAP. PROJ.(71-72)'!N9+'BS-NONMAJOR CAP. PROJ.(71-72)'!N10+'BS-NONMAJOR CAP. PROJ.(71-72)'!N11+'LedgerLoad Assist'!BE38</f>
        <v>15501.02</v>
      </c>
      <c r="AB303" s="739">
        <f t="shared" ref="AB303:AC303" si="285">AA303</f>
        <v>15501.02</v>
      </c>
      <c r="AC303" s="739">
        <f t="shared" si="285"/>
        <v>15501.02</v>
      </c>
    </row>
    <row r="304" spans="1:29">
      <c r="A304" s="739" t="s">
        <v>2025</v>
      </c>
      <c r="B304" s="739" t="s">
        <v>2025</v>
      </c>
      <c r="C304" s="739" t="s">
        <v>2026</v>
      </c>
      <c r="D304" s="739" t="s">
        <v>2026</v>
      </c>
      <c r="E304" s="791">
        <v>110000</v>
      </c>
      <c r="G304" s="739" t="str">
        <f t="shared" si="243"/>
        <v>013801</v>
      </c>
      <c r="J304" s="739">
        <v>4000</v>
      </c>
      <c r="Q304" s="773"/>
      <c r="T304" s="775" t="str">
        <f t="shared" si="244"/>
        <v>023801</v>
      </c>
      <c r="W304" s="739" t="s">
        <v>2032</v>
      </c>
      <c r="Y304" s="775">
        <f t="shared" si="245"/>
        <v>2017</v>
      </c>
      <c r="Z304" s="775">
        <v>12</v>
      </c>
      <c r="AA304" s="739">
        <f>'BS-NONMAJOR CAP. PROJ.(71-72)'!N13+'BS-NONMAJOR CAP. PROJ.(71-72)'!N14+'BS-NONMAJOR CAP. PROJ.(71-72)'!N15+'BS-NONMAJOR CAP. PROJ.(71-72)'!N16+'BS-NONMAJOR CAP. PROJ.(71-72)'!N17+'BS-NONMAJOR CAP. PROJ.(71-72)'!N18+'LedgerLoad Assist'!BE39</f>
        <v>0</v>
      </c>
      <c r="AB304" s="739">
        <f t="shared" ref="AB304:AC304" si="286">AA304</f>
        <v>0</v>
      </c>
      <c r="AC304" s="739">
        <f t="shared" si="286"/>
        <v>0</v>
      </c>
    </row>
    <row r="305" spans="1:29">
      <c r="A305" s="739" t="s">
        <v>2025</v>
      </c>
      <c r="B305" s="739" t="s">
        <v>2025</v>
      </c>
      <c r="C305" s="739" t="s">
        <v>2026</v>
      </c>
      <c r="D305" s="739" t="s">
        <v>2026</v>
      </c>
      <c r="E305" s="791">
        <v>120000</v>
      </c>
      <c r="G305" s="739" t="str">
        <f t="shared" si="243"/>
        <v>013801</v>
      </c>
      <c r="J305" s="739">
        <v>4000</v>
      </c>
      <c r="Q305" s="773"/>
      <c r="T305" s="775" t="str">
        <f t="shared" si="244"/>
        <v>023801</v>
      </c>
      <c r="W305" s="739" t="s">
        <v>2032</v>
      </c>
      <c r="Y305" s="775">
        <f t="shared" si="245"/>
        <v>2017</v>
      </c>
      <c r="Z305" s="775">
        <v>12</v>
      </c>
      <c r="AA305" s="739">
        <f>'BS-NONMAJOR CAP. PROJ.(71-72)'!N19+'LedgerLoad Assist'!BE40</f>
        <v>0</v>
      </c>
      <c r="AB305" s="739">
        <f t="shared" ref="AB305:AC305" si="287">AA305</f>
        <v>0</v>
      </c>
      <c r="AC305" s="739">
        <f t="shared" si="287"/>
        <v>0</v>
      </c>
    </row>
    <row r="306" spans="1:29">
      <c r="A306" s="739" t="s">
        <v>2025</v>
      </c>
      <c r="B306" s="739" t="s">
        <v>2025</v>
      </c>
      <c r="C306" s="739" t="s">
        <v>2026</v>
      </c>
      <c r="D306" s="739" t="s">
        <v>2026</v>
      </c>
      <c r="E306" s="791">
        <v>130000</v>
      </c>
      <c r="G306" s="739" t="str">
        <f t="shared" si="243"/>
        <v>013801</v>
      </c>
      <c r="J306" s="739">
        <v>4000</v>
      </c>
      <c r="Q306" s="773"/>
      <c r="T306" s="775" t="str">
        <f t="shared" si="244"/>
        <v>023801</v>
      </c>
      <c r="W306" s="739" t="s">
        <v>2032</v>
      </c>
      <c r="Y306" s="775">
        <f t="shared" si="245"/>
        <v>2017</v>
      </c>
      <c r="Z306" s="775">
        <v>12</v>
      </c>
      <c r="AA306" s="739">
        <f>'BS-NONMAJOR CAP. PROJ.(71-72)'!N20+'BS-NONMAJOR CAP. PROJ.(71-72)'!N21+'BS-NONMAJOR CAP. PROJ.(71-72)'!N22+'LedgerLoad Assist'!BE41</f>
        <v>0</v>
      </c>
      <c r="AB306" s="739">
        <f t="shared" ref="AB306:AC306" si="288">AA306</f>
        <v>0</v>
      </c>
      <c r="AC306" s="739">
        <f t="shared" si="288"/>
        <v>0</v>
      </c>
    </row>
    <row r="307" spans="1:29">
      <c r="A307" s="739" t="s">
        <v>2025</v>
      </c>
      <c r="B307" s="739" t="s">
        <v>2025</v>
      </c>
      <c r="C307" s="739" t="s">
        <v>2026</v>
      </c>
      <c r="D307" s="739" t="s">
        <v>2026</v>
      </c>
      <c r="E307" s="791">
        <v>140000</v>
      </c>
      <c r="G307" s="739" t="str">
        <f t="shared" si="243"/>
        <v>013801</v>
      </c>
      <c r="J307" s="739">
        <v>4000</v>
      </c>
      <c r="Q307" s="773"/>
      <c r="T307" s="775" t="str">
        <f t="shared" si="244"/>
        <v>023801</v>
      </c>
      <c r="W307" s="739" t="s">
        <v>2032</v>
      </c>
      <c r="Y307" s="775">
        <f t="shared" si="245"/>
        <v>2017</v>
      </c>
      <c r="Z307" s="775">
        <v>12</v>
      </c>
      <c r="AA307" s="739">
        <f>'BS-NONMAJOR CAP. PROJ.(71-72)'!N23+'LedgerLoad Assist'!BE42</f>
        <v>0</v>
      </c>
      <c r="AB307" s="739">
        <f t="shared" ref="AB307:AC307" si="289">AA307</f>
        <v>0</v>
      </c>
      <c r="AC307" s="739">
        <f t="shared" si="289"/>
        <v>0</v>
      </c>
    </row>
    <row r="308" spans="1:29">
      <c r="A308" s="739" t="s">
        <v>2025</v>
      </c>
      <c r="B308" s="739" t="s">
        <v>2025</v>
      </c>
      <c r="C308" s="739" t="s">
        <v>2026</v>
      </c>
      <c r="D308" s="739" t="s">
        <v>2026</v>
      </c>
      <c r="E308" s="791">
        <v>150000</v>
      </c>
      <c r="G308" s="739" t="str">
        <f t="shared" si="243"/>
        <v>013801</v>
      </c>
      <c r="J308" s="739">
        <v>4000</v>
      </c>
      <c r="Q308" s="773"/>
      <c r="T308" s="775" t="str">
        <f t="shared" si="244"/>
        <v>023801</v>
      </c>
      <c r="W308" s="739" t="s">
        <v>2032</v>
      </c>
      <c r="Y308" s="775">
        <f t="shared" si="245"/>
        <v>2017</v>
      </c>
      <c r="Z308" s="775">
        <v>12</v>
      </c>
      <c r="AA308" s="739">
        <f>'BS-NONMAJOR CAP. PROJ.(71-72)'!N24+'LedgerLoad Assist'!BE43</f>
        <v>0</v>
      </c>
      <c r="AB308" s="739">
        <f t="shared" ref="AB308:AC308" si="290">AA308</f>
        <v>0</v>
      </c>
      <c r="AC308" s="739">
        <f t="shared" si="290"/>
        <v>0</v>
      </c>
    </row>
    <row r="309" spans="1:29">
      <c r="A309" s="739" t="s">
        <v>2025</v>
      </c>
      <c r="B309" s="739" t="s">
        <v>2025</v>
      </c>
      <c r="C309" s="739" t="s">
        <v>2026</v>
      </c>
      <c r="D309" s="739" t="s">
        <v>2026</v>
      </c>
      <c r="E309" s="791">
        <v>160000</v>
      </c>
      <c r="G309" s="739" t="str">
        <f t="shared" si="243"/>
        <v>013801</v>
      </c>
      <c r="J309" s="739">
        <v>4000</v>
      </c>
      <c r="Q309" s="773"/>
      <c r="T309" s="775" t="str">
        <f t="shared" si="244"/>
        <v>023801</v>
      </c>
      <c r="W309" s="739" t="s">
        <v>2032</v>
      </c>
      <c r="Y309" s="775">
        <f t="shared" si="245"/>
        <v>2017</v>
      </c>
      <c r="Z309" s="775">
        <v>12</v>
      </c>
      <c r="AB309" s="739">
        <f t="shared" ref="AB309:AC310" si="291">AA309</f>
        <v>0</v>
      </c>
      <c r="AC309" s="739">
        <f t="shared" si="291"/>
        <v>0</v>
      </c>
    </row>
    <row r="310" spans="1:29">
      <c r="A310" s="739" t="s">
        <v>2025</v>
      </c>
      <c r="B310" s="739" t="s">
        <v>2025</v>
      </c>
      <c r="C310" s="739" t="s">
        <v>2026</v>
      </c>
      <c r="D310" s="739" t="s">
        <v>2026</v>
      </c>
      <c r="E310" s="791">
        <v>170000</v>
      </c>
      <c r="G310" s="739" t="str">
        <f t="shared" si="243"/>
        <v>013801</v>
      </c>
      <c r="J310" s="739">
        <v>4000</v>
      </c>
      <c r="Q310" s="773"/>
      <c r="T310" s="775" t="str">
        <f t="shared" si="244"/>
        <v>023801</v>
      </c>
      <c r="W310" s="739" t="s">
        <v>2032</v>
      </c>
      <c r="Y310" s="775">
        <f t="shared" si="245"/>
        <v>2017</v>
      </c>
      <c r="Z310" s="775">
        <v>12</v>
      </c>
      <c r="AA310" s="739">
        <f>'BS-NONMAJOR CAP. PROJ.(71-72)'!N25+'LedgerLoad Assist'!BE45</f>
        <v>0</v>
      </c>
      <c r="AB310" s="739">
        <f>AA310</f>
        <v>0</v>
      </c>
      <c r="AC310" s="739">
        <f t="shared" si="291"/>
        <v>0</v>
      </c>
    </row>
    <row r="311" spans="1:29">
      <c r="A311" s="739" t="s">
        <v>2025</v>
      </c>
      <c r="B311" s="739" t="s">
        <v>2025</v>
      </c>
      <c r="C311" s="739" t="s">
        <v>2026</v>
      </c>
      <c r="D311" s="739" t="s">
        <v>2026</v>
      </c>
      <c r="E311" s="791">
        <v>190000</v>
      </c>
      <c r="G311" s="739" t="str">
        <f t="shared" si="243"/>
        <v>013801</v>
      </c>
      <c r="J311" s="739">
        <v>4000</v>
      </c>
      <c r="Q311" s="773"/>
      <c r="T311" s="775" t="str">
        <f t="shared" si="244"/>
        <v>023801</v>
      </c>
      <c r="W311" s="739" t="s">
        <v>2032</v>
      </c>
      <c r="Y311" s="775">
        <f t="shared" si="245"/>
        <v>2017</v>
      </c>
      <c r="Z311" s="775">
        <v>12</v>
      </c>
      <c r="AA311" s="739">
        <f>'BS-NONMAJOR CAP. PROJ.(71-72)'!N31+'LedgerLoad Assist'!BE47</f>
        <v>0</v>
      </c>
      <c r="AB311" s="739">
        <f t="shared" ref="AB311:AC311" si="292">AA311</f>
        <v>0</v>
      </c>
      <c r="AC311" s="739">
        <f t="shared" si="292"/>
        <v>0</v>
      </c>
    </row>
    <row r="312" spans="1:29">
      <c r="A312" s="739" t="s">
        <v>2025</v>
      </c>
      <c r="B312" s="739" t="s">
        <v>2025</v>
      </c>
      <c r="C312" s="739" t="s">
        <v>2026</v>
      </c>
      <c r="D312" s="739" t="s">
        <v>2026</v>
      </c>
      <c r="E312" s="791">
        <v>200000</v>
      </c>
      <c r="G312" s="739" t="str">
        <f t="shared" si="243"/>
        <v>013801</v>
      </c>
      <c r="J312" s="739">
        <v>4000</v>
      </c>
      <c r="Q312" s="773"/>
      <c r="T312" s="775" t="str">
        <f t="shared" si="244"/>
        <v>023801</v>
      </c>
      <c r="W312" s="739" t="s">
        <v>2032</v>
      </c>
      <c r="Y312" s="775">
        <f t="shared" si="245"/>
        <v>2017</v>
      </c>
      <c r="Z312" s="775">
        <v>12</v>
      </c>
      <c r="AA312" s="739">
        <f>('BS-NONMAJOR CAP. PROJ.(71-72)'!N34+'BS-NONMAJOR CAP. PROJ.(71-72)'!N35+'BS-NONMAJOR CAP. PROJ.(71-72)'!N36+'BS-NONMAJOR CAP. PROJ.(71-72)'!N37+'BS-NONMAJOR CAP. PROJ.(71-72)'!N38+'BS-NONMAJOR CAP. PROJ.(71-72)'!N39+'LedgerLoad Assist'!BE48)*-1</f>
        <v>0</v>
      </c>
      <c r="AB312" s="739">
        <f t="shared" ref="AB312:AC312" si="293">AA312</f>
        <v>0</v>
      </c>
      <c r="AC312" s="739">
        <f t="shared" si="293"/>
        <v>0</v>
      </c>
    </row>
    <row r="313" spans="1:29">
      <c r="A313" s="739" t="s">
        <v>2025</v>
      </c>
      <c r="B313" s="739" t="s">
        <v>2025</v>
      </c>
      <c r="C313" s="739" t="s">
        <v>2026</v>
      </c>
      <c r="D313" s="739" t="s">
        <v>2026</v>
      </c>
      <c r="E313" s="791">
        <v>210000</v>
      </c>
      <c r="G313" s="739" t="str">
        <f t="shared" si="243"/>
        <v>013801</v>
      </c>
      <c r="J313" s="739">
        <v>4000</v>
      </c>
      <c r="Q313" s="773"/>
      <c r="T313" s="775" t="str">
        <f t="shared" si="244"/>
        <v>023801</v>
      </c>
      <c r="W313" s="739" t="s">
        <v>2032</v>
      </c>
      <c r="Y313" s="775">
        <f t="shared" si="245"/>
        <v>2017</v>
      </c>
      <c r="Z313" s="775">
        <v>12</v>
      </c>
      <c r="AA313" s="739">
        <f>('BS-NONMAJOR CAP. PROJ.(71-72)'!N40+'BS-NONMAJOR CAP. PROJ.(71-72)'!N41+'BS-NONMAJOR CAP. PROJ.(71-72)'!N42+'LedgerLoad Assist'!BE49+'BS-NONMAJOR CAP. PROJ.(71-72)'!N43+'LedgerLoad Assist'!BE50)*-1</f>
        <v>0</v>
      </c>
      <c r="AB313" s="739">
        <f t="shared" ref="AB313:AC313" si="294">AA313</f>
        <v>0</v>
      </c>
      <c r="AC313" s="739">
        <f t="shared" si="294"/>
        <v>0</v>
      </c>
    </row>
    <row r="314" spans="1:29">
      <c r="A314" s="739" t="s">
        <v>2025</v>
      </c>
      <c r="B314" s="739" t="s">
        <v>2025</v>
      </c>
      <c r="C314" s="739" t="s">
        <v>2026</v>
      </c>
      <c r="D314" s="739" t="s">
        <v>2026</v>
      </c>
      <c r="E314" s="791">
        <v>216000</v>
      </c>
      <c r="G314" s="739" t="str">
        <f t="shared" si="243"/>
        <v>013801</v>
      </c>
      <c r="J314" s="739">
        <v>4000</v>
      </c>
      <c r="Q314" s="773"/>
      <c r="T314" s="775" t="str">
        <f t="shared" si="244"/>
        <v>023801</v>
      </c>
      <c r="W314" s="739" t="s">
        <v>2032</v>
      </c>
      <c r="Y314" s="775">
        <f t="shared" si="245"/>
        <v>2017</v>
      </c>
      <c r="Z314" s="775">
        <v>12</v>
      </c>
      <c r="AA314" s="739">
        <v>0</v>
      </c>
    </row>
    <row r="315" spans="1:29">
      <c r="A315" s="739" t="s">
        <v>2025</v>
      </c>
      <c r="B315" s="739" t="s">
        <v>2025</v>
      </c>
      <c r="C315" s="739" t="s">
        <v>2026</v>
      </c>
      <c r="D315" s="739" t="s">
        <v>2026</v>
      </c>
      <c r="E315" s="791">
        <v>220000</v>
      </c>
      <c r="G315" s="739" t="str">
        <f t="shared" si="243"/>
        <v>013801</v>
      </c>
      <c r="J315" s="739">
        <v>4000</v>
      </c>
      <c r="Q315" s="773"/>
      <c r="T315" s="775" t="str">
        <f t="shared" si="244"/>
        <v>023801</v>
      </c>
      <c r="W315" s="739" t="s">
        <v>2032</v>
      </c>
      <c r="Y315" s="775">
        <f t="shared" si="245"/>
        <v>2017</v>
      </c>
      <c r="Z315" s="775">
        <v>12</v>
      </c>
      <c r="AA315" s="739">
        <f>('BS-NONMAJOR CAP. PROJ.(71-72)'!N50+'LedgerLoad Assist'!BE51)*-1</f>
        <v>0</v>
      </c>
      <c r="AB315" s="739">
        <f t="shared" ref="AB315:AC315" si="295">AA315</f>
        <v>0</v>
      </c>
      <c r="AC315" s="739">
        <f t="shared" si="295"/>
        <v>0</v>
      </c>
    </row>
    <row r="316" spans="1:29">
      <c r="A316" s="739" t="s">
        <v>2025</v>
      </c>
      <c r="B316" s="739" t="s">
        <v>2025</v>
      </c>
      <c r="C316" s="739" t="s">
        <v>2026</v>
      </c>
      <c r="D316" s="739" t="s">
        <v>2026</v>
      </c>
      <c r="E316" s="791">
        <v>230000</v>
      </c>
      <c r="G316" s="739" t="str">
        <f t="shared" si="243"/>
        <v>013801</v>
      </c>
      <c r="J316" s="739">
        <v>4000</v>
      </c>
      <c r="Q316" s="773"/>
      <c r="T316" s="775" t="str">
        <f t="shared" si="244"/>
        <v>023801</v>
      </c>
      <c r="W316" s="739" t="s">
        <v>2032</v>
      </c>
      <c r="Y316" s="775">
        <f t="shared" si="245"/>
        <v>2017</v>
      </c>
      <c r="Z316" s="775">
        <v>12</v>
      </c>
      <c r="AA316" s="739">
        <f>('BS-NONMAJOR CAP. PROJ.(71-72)'!N44+'LedgerLoad Assist'!BE52)*-1</f>
        <v>0</v>
      </c>
      <c r="AB316" s="739">
        <f t="shared" ref="AB316:AC316" si="296">AA316</f>
        <v>0</v>
      </c>
      <c r="AC316" s="739">
        <f t="shared" si="296"/>
        <v>0</v>
      </c>
    </row>
    <row r="317" spans="1:29">
      <c r="A317" s="739" t="s">
        <v>2025</v>
      </c>
      <c r="B317" s="739" t="s">
        <v>2025</v>
      </c>
      <c r="C317" s="739" t="s">
        <v>2026</v>
      </c>
      <c r="D317" s="739" t="s">
        <v>2026</v>
      </c>
      <c r="E317" s="791">
        <v>240000</v>
      </c>
      <c r="G317" s="739" t="str">
        <f t="shared" si="243"/>
        <v>013801</v>
      </c>
      <c r="J317" s="739">
        <v>4000</v>
      </c>
      <c r="Q317" s="773"/>
      <c r="T317" s="775" t="str">
        <f t="shared" si="244"/>
        <v>023801</v>
      </c>
      <c r="W317" s="739" t="s">
        <v>2032</v>
      </c>
      <c r="Y317" s="775">
        <f t="shared" si="245"/>
        <v>2017</v>
      </c>
      <c r="Z317" s="775">
        <v>12</v>
      </c>
      <c r="AA317" s="739">
        <v>0</v>
      </c>
      <c r="AB317" s="739">
        <f t="shared" ref="AB317:AC317" si="297">AA317</f>
        <v>0</v>
      </c>
      <c r="AC317" s="739">
        <f t="shared" si="297"/>
        <v>0</v>
      </c>
    </row>
    <row r="318" spans="1:29">
      <c r="A318" s="739" t="s">
        <v>2025</v>
      </c>
      <c r="B318" s="739" t="s">
        <v>2025</v>
      </c>
      <c r="C318" s="739" t="s">
        <v>2026</v>
      </c>
      <c r="D318" s="739" t="s">
        <v>2026</v>
      </c>
      <c r="E318" s="791">
        <v>250000</v>
      </c>
      <c r="G318" s="739" t="str">
        <f t="shared" si="243"/>
        <v>013801</v>
      </c>
      <c r="J318" s="739">
        <v>4000</v>
      </c>
      <c r="Q318" s="773"/>
      <c r="T318" s="775" t="str">
        <f t="shared" si="244"/>
        <v>023801</v>
      </c>
      <c r="W318" s="739" t="s">
        <v>2032</v>
      </c>
      <c r="Y318" s="775">
        <f t="shared" si="245"/>
        <v>2017</v>
      </c>
      <c r="Z318" s="775">
        <v>12</v>
      </c>
      <c r="AA318" s="739">
        <v>0</v>
      </c>
      <c r="AB318" s="739">
        <f t="shared" ref="AB318:AC318" si="298">AA318</f>
        <v>0</v>
      </c>
      <c r="AC318" s="739">
        <f t="shared" si="298"/>
        <v>0</v>
      </c>
    </row>
    <row r="319" spans="1:29">
      <c r="A319" s="739" t="s">
        <v>2025</v>
      </c>
      <c r="B319" s="739" t="s">
        <v>2025</v>
      </c>
      <c r="C319" s="739" t="s">
        <v>2026</v>
      </c>
      <c r="D319" s="739" t="s">
        <v>2026</v>
      </c>
      <c r="E319" s="791">
        <v>260000</v>
      </c>
      <c r="G319" s="739" t="str">
        <f t="shared" si="243"/>
        <v>013801</v>
      </c>
      <c r="J319" s="739">
        <v>4000</v>
      </c>
      <c r="Q319" s="773"/>
      <c r="T319" s="775" t="str">
        <f t="shared" si="244"/>
        <v>023801</v>
      </c>
      <c r="W319" s="739" t="s">
        <v>2032</v>
      </c>
      <c r="Y319" s="775">
        <f t="shared" si="245"/>
        <v>2017</v>
      </c>
      <c r="Z319" s="775">
        <v>12</v>
      </c>
      <c r="AA319" s="739">
        <v>0</v>
      </c>
      <c r="AB319" s="739">
        <f t="shared" ref="AB319:AC319" si="299">AA319</f>
        <v>0</v>
      </c>
      <c r="AC319" s="739">
        <f t="shared" si="299"/>
        <v>0</v>
      </c>
    </row>
    <row r="320" spans="1:29">
      <c r="A320" s="739" t="s">
        <v>2025</v>
      </c>
      <c r="B320" s="739" t="s">
        <v>2025</v>
      </c>
      <c r="C320" s="739" t="s">
        <v>2026</v>
      </c>
      <c r="D320" s="739" t="s">
        <v>2026</v>
      </c>
      <c r="E320" s="791">
        <v>270000</v>
      </c>
      <c r="G320" s="739" t="str">
        <f t="shared" si="243"/>
        <v>013801</v>
      </c>
      <c r="J320" s="739">
        <v>4000</v>
      </c>
      <c r="Q320" s="773"/>
      <c r="T320" s="775" t="str">
        <f t="shared" si="244"/>
        <v>023801</v>
      </c>
      <c r="W320" s="739" t="s">
        <v>2032</v>
      </c>
      <c r="Y320" s="775">
        <f t="shared" si="245"/>
        <v>2017</v>
      </c>
      <c r="Z320" s="775">
        <v>12</v>
      </c>
      <c r="AA320" s="739">
        <f>('BS-NONMAJOR CAP. PROJ.(71-72)'!N58+'LedgerLoad Assist'!BE56)*-1</f>
        <v>-15501.02</v>
      </c>
      <c r="AB320" s="739">
        <f t="shared" ref="AB320:AC320" si="300">AA320</f>
        <v>-15501.02</v>
      </c>
      <c r="AC320" s="739">
        <f t="shared" si="300"/>
        <v>-15501.02</v>
      </c>
    </row>
    <row r="321" spans="1:29">
      <c r="A321" s="739" t="s">
        <v>2025</v>
      </c>
      <c r="B321" s="739" t="s">
        <v>2025</v>
      </c>
      <c r="C321" s="739" t="s">
        <v>2026</v>
      </c>
      <c r="D321" s="739" t="s">
        <v>2026</v>
      </c>
      <c r="E321" s="791">
        <v>310000</v>
      </c>
      <c r="G321" s="739" t="str">
        <f t="shared" si="243"/>
        <v>013801</v>
      </c>
      <c r="J321" s="739">
        <v>4000</v>
      </c>
      <c r="Q321" s="773"/>
      <c r="T321" s="775" t="str">
        <f t="shared" si="244"/>
        <v>023801</v>
      </c>
      <c r="W321" s="739" t="s">
        <v>2032</v>
      </c>
      <c r="Y321" s="775">
        <f t="shared" si="245"/>
        <v>2017</v>
      </c>
      <c r="Z321" s="775">
        <v>12</v>
      </c>
      <c r="AA321" s="739">
        <f>('LedgerLoad Assist'!BE58)*-1</f>
        <v>0</v>
      </c>
      <c r="AB321" s="739">
        <f t="shared" ref="AB321:AC321" si="301">AA321</f>
        <v>0</v>
      </c>
      <c r="AC321" s="739">
        <f t="shared" si="301"/>
        <v>0</v>
      </c>
    </row>
    <row r="322" spans="1:29">
      <c r="A322" s="739" t="s">
        <v>2025</v>
      </c>
      <c r="B322" s="739" t="s">
        <v>2025</v>
      </c>
      <c r="C322" s="739" t="s">
        <v>2026</v>
      </c>
      <c r="D322" s="739" t="s">
        <v>2026</v>
      </c>
      <c r="E322" s="791">
        <v>311000</v>
      </c>
      <c r="G322" s="739" t="str">
        <f t="shared" si="243"/>
        <v>013801</v>
      </c>
      <c r="J322" s="739">
        <v>4000</v>
      </c>
      <c r="Q322" s="773"/>
      <c r="T322" s="775" t="str">
        <f t="shared" si="244"/>
        <v>023801</v>
      </c>
      <c r="W322" s="739" t="s">
        <v>2032</v>
      </c>
      <c r="Y322" s="775">
        <f t="shared" si="245"/>
        <v>2017</v>
      </c>
      <c r="Z322" s="775">
        <v>12</v>
      </c>
      <c r="AA322" s="739">
        <f>('OPER.-NONMAJOR CAP. PROJ(73-74)'!AW10+'LedgerLoad Assist'!BE59)*-1</f>
        <v>0</v>
      </c>
      <c r="AB322" s="739">
        <f t="shared" ref="AB322:AC322" si="302">AA322</f>
        <v>0</v>
      </c>
      <c r="AC322" s="739">
        <f t="shared" si="302"/>
        <v>0</v>
      </c>
    </row>
    <row r="323" spans="1:29">
      <c r="A323" s="739" t="s">
        <v>2025</v>
      </c>
      <c r="B323" s="739" t="s">
        <v>2025</v>
      </c>
      <c r="C323" s="739" t="s">
        <v>2026</v>
      </c>
      <c r="D323" s="739" t="s">
        <v>2026</v>
      </c>
      <c r="E323" s="791">
        <v>312000</v>
      </c>
      <c r="G323" s="739" t="str">
        <f t="shared" si="243"/>
        <v>013801</v>
      </c>
      <c r="J323" s="739">
        <v>4000</v>
      </c>
      <c r="Q323" s="773"/>
      <c r="T323" s="775" t="str">
        <f t="shared" si="244"/>
        <v>023801</v>
      </c>
      <c r="W323" s="739" t="s">
        <v>2032</v>
      </c>
      <c r="Y323" s="775">
        <f t="shared" si="245"/>
        <v>2017</v>
      </c>
      <c r="Z323" s="775">
        <v>12</v>
      </c>
      <c r="AA323" s="739">
        <v>0</v>
      </c>
      <c r="AB323" s="739">
        <f t="shared" ref="AB323:AC323" si="303">AA323</f>
        <v>0</v>
      </c>
      <c r="AC323" s="739">
        <f t="shared" si="303"/>
        <v>0</v>
      </c>
    </row>
    <row r="324" spans="1:29">
      <c r="A324" s="739" t="s">
        <v>2025</v>
      </c>
      <c r="B324" s="739" t="s">
        <v>2025</v>
      </c>
      <c r="C324" s="739" t="s">
        <v>2026</v>
      </c>
      <c r="D324" s="739" t="s">
        <v>2026</v>
      </c>
      <c r="E324" s="791">
        <v>313000</v>
      </c>
      <c r="G324" s="739" t="str">
        <f t="shared" si="243"/>
        <v>013801</v>
      </c>
      <c r="J324" s="739">
        <v>4000</v>
      </c>
      <c r="Q324" s="773"/>
      <c r="T324" s="775" t="str">
        <f t="shared" si="244"/>
        <v>023801</v>
      </c>
      <c r="W324" s="739" t="s">
        <v>2032</v>
      </c>
      <c r="Y324" s="775">
        <f t="shared" si="245"/>
        <v>2017</v>
      </c>
      <c r="Z324" s="775">
        <v>12</v>
      </c>
      <c r="AA324" s="739">
        <v>0</v>
      </c>
      <c r="AB324" s="739">
        <f t="shared" ref="AB324:AC324" si="304">AA324</f>
        <v>0</v>
      </c>
      <c r="AC324" s="739">
        <f t="shared" si="304"/>
        <v>0</v>
      </c>
    </row>
    <row r="325" spans="1:29">
      <c r="A325" s="739" t="s">
        <v>2025</v>
      </c>
      <c r="B325" s="739" t="s">
        <v>2025</v>
      </c>
      <c r="C325" s="739" t="s">
        <v>2026</v>
      </c>
      <c r="D325" s="739" t="s">
        <v>2026</v>
      </c>
      <c r="E325" s="791">
        <v>314000</v>
      </c>
      <c r="G325" s="739" t="str">
        <f t="shared" si="243"/>
        <v>013801</v>
      </c>
      <c r="J325" s="739">
        <v>4000</v>
      </c>
      <c r="Q325" s="773"/>
      <c r="T325" s="775" t="str">
        <f t="shared" si="244"/>
        <v>023801</v>
      </c>
      <c r="W325" s="739" t="s">
        <v>2032</v>
      </c>
      <c r="Y325" s="775">
        <f t="shared" si="245"/>
        <v>2017</v>
      </c>
      <c r="Z325" s="775">
        <v>12</v>
      </c>
      <c r="AA325" s="739">
        <f>('OPER.-NONMAJOR CAP. PROJ(73-74)'!AW11+'LedgerLoad Assist'!BE62)*-1</f>
        <v>0</v>
      </c>
      <c r="AB325" s="739">
        <f t="shared" ref="AB325:AC325" si="305">AA325</f>
        <v>0</v>
      </c>
      <c r="AC325" s="739">
        <f t="shared" si="305"/>
        <v>0</v>
      </c>
    </row>
    <row r="326" spans="1:29">
      <c r="A326" s="739" t="s">
        <v>2025</v>
      </c>
      <c r="B326" s="739" t="s">
        <v>2025</v>
      </c>
      <c r="C326" s="739" t="s">
        <v>2026</v>
      </c>
      <c r="D326" s="739" t="s">
        <v>2026</v>
      </c>
      <c r="E326" s="791">
        <v>315000</v>
      </c>
      <c r="G326" s="739" t="str">
        <f t="shared" si="243"/>
        <v>013801</v>
      </c>
      <c r="J326" s="739">
        <v>4000</v>
      </c>
      <c r="Q326" s="773"/>
      <c r="T326" s="775" t="str">
        <f t="shared" si="244"/>
        <v>023801</v>
      </c>
      <c r="W326" s="739" t="s">
        <v>2032</v>
      </c>
      <c r="Y326" s="775">
        <f t="shared" si="245"/>
        <v>2017</v>
      </c>
      <c r="Z326" s="775">
        <v>12</v>
      </c>
      <c r="AA326" s="739">
        <f>('LedgerLoad Assist'!BE63)*-1</f>
        <v>0</v>
      </c>
      <c r="AB326" s="739">
        <f t="shared" ref="AB326:AC326" si="306">AA326</f>
        <v>0</v>
      </c>
      <c r="AC326" s="739">
        <f t="shared" si="306"/>
        <v>0</v>
      </c>
    </row>
    <row r="327" spans="1:29">
      <c r="A327" s="739" t="s">
        <v>2025</v>
      </c>
      <c r="B327" s="739" t="s">
        <v>2025</v>
      </c>
      <c r="C327" s="739" t="s">
        <v>2026</v>
      </c>
      <c r="D327" s="739" t="s">
        <v>2026</v>
      </c>
      <c r="E327" s="791">
        <v>316000</v>
      </c>
      <c r="G327" s="739" t="str">
        <f t="shared" si="243"/>
        <v>013801</v>
      </c>
      <c r="J327" s="739">
        <v>4000</v>
      </c>
      <c r="Q327" s="773"/>
      <c r="T327" s="775" t="str">
        <f t="shared" si="244"/>
        <v>023801</v>
      </c>
      <c r="W327" s="739" t="s">
        <v>2032</v>
      </c>
      <c r="Y327" s="775">
        <f t="shared" si="245"/>
        <v>2017</v>
      </c>
      <c r="Z327" s="775">
        <v>12</v>
      </c>
      <c r="AA327" s="739">
        <f>('LedgerLoad Assist'!BE64)*-1</f>
        <v>0</v>
      </c>
      <c r="AB327" s="739">
        <f t="shared" ref="AB327:AC327" si="307">AA327</f>
        <v>0</v>
      </c>
      <c r="AC327" s="739">
        <f t="shared" si="307"/>
        <v>0</v>
      </c>
    </row>
    <row r="328" spans="1:29">
      <c r="A328" s="739" t="s">
        <v>2025</v>
      </c>
      <c r="B328" s="739" t="s">
        <v>2025</v>
      </c>
      <c r="C328" s="739" t="s">
        <v>2026</v>
      </c>
      <c r="D328" s="739" t="s">
        <v>2026</v>
      </c>
      <c r="E328" s="791">
        <v>320000</v>
      </c>
      <c r="G328" s="739" t="str">
        <f t="shared" ref="G328:G391" si="308">$G$6</f>
        <v>013801</v>
      </c>
      <c r="J328" s="739">
        <v>4000</v>
      </c>
      <c r="Q328" s="773"/>
      <c r="T328" s="775" t="str">
        <f t="shared" ref="T328:T391" si="309">$T$6</f>
        <v>023801</v>
      </c>
      <c r="W328" s="739" t="s">
        <v>2032</v>
      </c>
      <c r="Y328" s="775">
        <f t="shared" ref="Y328:Y391" si="310">$Y$6</f>
        <v>2017</v>
      </c>
      <c r="Z328" s="775">
        <v>12</v>
      </c>
      <c r="AA328" s="739">
        <f>('LedgerLoad Assist'!BE65)*-1</f>
        <v>0</v>
      </c>
      <c r="AB328" s="739">
        <f t="shared" ref="AB328:AC328" si="311">AA328</f>
        <v>0</v>
      </c>
      <c r="AC328" s="739">
        <f t="shared" si="311"/>
        <v>0</v>
      </c>
    </row>
    <row r="329" spans="1:29">
      <c r="A329" s="739" t="s">
        <v>2025</v>
      </c>
      <c r="B329" s="739" t="s">
        <v>2025</v>
      </c>
      <c r="C329" s="739" t="s">
        <v>2026</v>
      </c>
      <c r="D329" s="739" t="s">
        <v>2026</v>
      </c>
      <c r="E329" s="791">
        <v>322000</v>
      </c>
      <c r="G329" s="739" t="str">
        <f t="shared" si="308"/>
        <v>013801</v>
      </c>
      <c r="J329" s="739">
        <v>4000</v>
      </c>
      <c r="Q329" s="773"/>
      <c r="T329" s="775" t="str">
        <f t="shared" si="309"/>
        <v>023801</v>
      </c>
      <c r="W329" s="739" t="s">
        <v>2032</v>
      </c>
      <c r="Y329" s="775">
        <f t="shared" si="310"/>
        <v>2017</v>
      </c>
      <c r="Z329" s="775">
        <v>12</v>
      </c>
      <c r="AA329" s="739">
        <f>('LedgerLoad Assist'!BE66)*-1</f>
        <v>0</v>
      </c>
      <c r="AB329" s="739">
        <f t="shared" ref="AB329:AC329" si="312">AA329</f>
        <v>0</v>
      </c>
      <c r="AC329" s="739">
        <f t="shared" si="312"/>
        <v>0</v>
      </c>
    </row>
    <row r="330" spans="1:29">
      <c r="A330" s="739" t="s">
        <v>2025</v>
      </c>
      <c r="B330" s="739" t="s">
        <v>2025</v>
      </c>
      <c r="C330" s="739" t="s">
        <v>2026</v>
      </c>
      <c r="D330" s="739" t="s">
        <v>2026</v>
      </c>
      <c r="E330" s="791">
        <v>323000</v>
      </c>
      <c r="G330" s="739" t="str">
        <f t="shared" si="308"/>
        <v>013801</v>
      </c>
      <c r="J330" s="739">
        <v>4000</v>
      </c>
      <c r="Q330" s="773"/>
      <c r="T330" s="775" t="str">
        <f t="shared" si="309"/>
        <v>023801</v>
      </c>
      <c r="W330" s="739" t="s">
        <v>2032</v>
      </c>
      <c r="Y330" s="775">
        <f t="shared" si="310"/>
        <v>2017</v>
      </c>
      <c r="Z330" s="775">
        <v>12</v>
      </c>
      <c r="AA330" s="739">
        <f>('LedgerLoad Assist'!BE67)*-1</f>
        <v>0</v>
      </c>
      <c r="AB330" s="739">
        <f t="shared" ref="AB330:AC330" si="313">AA330</f>
        <v>0</v>
      </c>
      <c r="AC330" s="739">
        <f t="shared" si="313"/>
        <v>0</v>
      </c>
    </row>
    <row r="331" spans="1:29">
      <c r="A331" s="739" t="s">
        <v>2025</v>
      </c>
      <c r="B331" s="739" t="s">
        <v>2025</v>
      </c>
      <c r="C331" s="739" t="s">
        <v>2026</v>
      </c>
      <c r="D331" s="739" t="s">
        <v>2026</v>
      </c>
      <c r="E331" s="791">
        <v>330000</v>
      </c>
      <c r="G331" s="739" t="str">
        <f t="shared" si="308"/>
        <v>013801</v>
      </c>
      <c r="J331" s="739">
        <v>4000</v>
      </c>
      <c r="Q331" s="773"/>
      <c r="T331" s="775" t="str">
        <f t="shared" si="309"/>
        <v>023801</v>
      </c>
      <c r="W331" s="739" t="s">
        <v>2032</v>
      </c>
      <c r="Y331" s="775">
        <f t="shared" si="310"/>
        <v>2017</v>
      </c>
      <c r="Z331" s="775">
        <v>12</v>
      </c>
      <c r="AA331" s="739">
        <f>('LedgerLoad Assist'!BE68)*-1</f>
        <v>0</v>
      </c>
      <c r="AB331" s="739">
        <f t="shared" ref="AB331:AC331" si="314">AA331</f>
        <v>0</v>
      </c>
      <c r="AC331" s="739">
        <f t="shared" si="314"/>
        <v>0</v>
      </c>
    </row>
    <row r="332" spans="1:29">
      <c r="A332" s="739" t="s">
        <v>2025</v>
      </c>
      <c r="B332" s="739" t="s">
        <v>2025</v>
      </c>
      <c r="C332" s="739" t="s">
        <v>2026</v>
      </c>
      <c r="D332" s="739" t="s">
        <v>2026</v>
      </c>
      <c r="E332" s="791">
        <v>331000</v>
      </c>
      <c r="G332" s="739" t="str">
        <f t="shared" si="308"/>
        <v>013801</v>
      </c>
      <c r="J332" s="739">
        <v>4000</v>
      </c>
      <c r="Q332" s="773"/>
      <c r="T332" s="775" t="str">
        <f t="shared" si="309"/>
        <v>023801</v>
      </c>
      <c r="W332" s="739" t="s">
        <v>2032</v>
      </c>
      <c r="Y332" s="775">
        <f t="shared" si="310"/>
        <v>2017</v>
      </c>
      <c r="Z332" s="775">
        <v>12</v>
      </c>
      <c r="AA332" s="739">
        <f>('OPER.-NONMAJOR CAP. PROJ(73-74)'!AW13+'OPER.-NONMAJOR CAP. PROJ(73-74)'!AW14+'LedgerLoad Assist'!BE69)*-1</f>
        <v>0</v>
      </c>
      <c r="AB332" s="739">
        <f t="shared" ref="AB332:AC332" si="315">AA332</f>
        <v>0</v>
      </c>
      <c r="AC332" s="739">
        <f t="shared" si="315"/>
        <v>0</v>
      </c>
    </row>
    <row r="333" spans="1:29">
      <c r="A333" s="739" t="s">
        <v>2025</v>
      </c>
      <c r="B333" s="739" t="s">
        <v>2025</v>
      </c>
      <c r="C333" s="739" t="s">
        <v>2026</v>
      </c>
      <c r="D333" s="739" t="s">
        <v>2026</v>
      </c>
      <c r="E333" s="791">
        <v>332000</v>
      </c>
      <c r="G333" s="739" t="str">
        <f t="shared" si="308"/>
        <v>013801</v>
      </c>
      <c r="J333" s="739">
        <v>4000</v>
      </c>
      <c r="Q333" s="773"/>
      <c r="T333" s="775" t="str">
        <f t="shared" si="309"/>
        <v>023801</v>
      </c>
      <c r="W333" s="739" t="s">
        <v>2032</v>
      </c>
      <c r="Y333" s="775">
        <f t="shared" si="310"/>
        <v>2017</v>
      </c>
      <c r="Z333" s="775">
        <v>12</v>
      </c>
      <c r="AA333" s="739">
        <f>('OPER.-NONMAJOR CAP. PROJ(73-74)'!AW15+'LedgerLoad Assist'!BE70)*-1</f>
        <v>0</v>
      </c>
      <c r="AB333" s="739">
        <f t="shared" ref="AB333:AC333" si="316">AA333</f>
        <v>0</v>
      </c>
      <c r="AC333" s="739">
        <f t="shared" si="316"/>
        <v>0</v>
      </c>
    </row>
    <row r="334" spans="1:29">
      <c r="A334" s="739" t="s">
        <v>2025</v>
      </c>
      <c r="B334" s="739" t="s">
        <v>2025</v>
      </c>
      <c r="C334" s="739" t="s">
        <v>2026</v>
      </c>
      <c r="D334" s="739" t="s">
        <v>2026</v>
      </c>
      <c r="E334" s="791">
        <v>333000</v>
      </c>
      <c r="G334" s="739" t="str">
        <f t="shared" si="308"/>
        <v>013801</v>
      </c>
      <c r="J334" s="739">
        <v>4000</v>
      </c>
      <c r="Q334" s="773"/>
      <c r="T334" s="775" t="str">
        <f t="shared" si="309"/>
        <v>023801</v>
      </c>
      <c r="W334" s="739" t="s">
        <v>2032</v>
      </c>
      <c r="Y334" s="775">
        <f t="shared" si="310"/>
        <v>2017</v>
      </c>
      <c r="Z334" s="775">
        <v>12</v>
      </c>
      <c r="AA334" s="739">
        <f>('LedgerLoad Assist'!BE71)*-1</f>
        <v>0</v>
      </c>
      <c r="AB334" s="739">
        <f t="shared" ref="AB334:AC334" si="317">AA334</f>
        <v>0</v>
      </c>
      <c r="AC334" s="739">
        <f t="shared" si="317"/>
        <v>0</v>
      </c>
    </row>
    <row r="335" spans="1:29">
      <c r="A335" s="739" t="s">
        <v>2025</v>
      </c>
      <c r="B335" s="739" t="s">
        <v>2025</v>
      </c>
      <c r="C335" s="739" t="s">
        <v>2026</v>
      </c>
      <c r="D335" s="739" t="s">
        <v>2026</v>
      </c>
      <c r="E335" s="791">
        <v>334000</v>
      </c>
      <c r="G335" s="739" t="str">
        <f t="shared" si="308"/>
        <v>013801</v>
      </c>
      <c r="J335" s="739">
        <v>4000</v>
      </c>
      <c r="Q335" s="773"/>
      <c r="T335" s="775" t="str">
        <f t="shared" si="309"/>
        <v>023801</v>
      </c>
      <c r="W335" s="739" t="s">
        <v>2032</v>
      </c>
      <c r="Y335" s="775">
        <f t="shared" si="310"/>
        <v>2017</v>
      </c>
      <c r="Z335" s="775">
        <v>12</v>
      </c>
      <c r="AA335" s="739">
        <f>('OPER.-NONMAJOR CAP. PROJ(73-74)'!AW16+'OPER.-NONMAJOR CAP. PROJ(73-74)'!AW17+'LedgerLoad Assist'!BE72)*-1</f>
        <v>0</v>
      </c>
      <c r="AB335" s="739">
        <f t="shared" ref="AB335:AC335" si="318">AA335</f>
        <v>0</v>
      </c>
      <c r="AC335" s="739">
        <f t="shared" si="318"/>
        <v>0</v>
      </c>
    </row>
    <row r="336" spans="1:29">
      <c r="A336" s="739" t="s">
        <v>2025</v>
      </c>
      <c r="B336" s="739" t="s">
        <v>2025</v>
      </c>
      <c r="C336" s="739" t="s">
        <v>2026</v>
      </c>
      <c r="D336" s="739" t="s">
        <v>2026</v>
      </c>
      <c r="E336" s="791">
        <v>335000</v>
      </c>
      <c r="G336" s="739" t="str">
        <f t="shared" si="308"/>
        <v>013801</v>
      </c>
      <c r="J336" s="739">
        <v>4000</v>
      </c>
      <c r="Q336" s="773"/>
      <c r="T336" s="775" t="str">
        <f t="shared" si="309"/>
        <v>023801</v>
      </c>
      <c r="W336" s="739" t="s">
        <v>2032</v>
      </c>
      <c r="Y336" s="775">
        <f t="shared" si="310"/>
        <v>2017</v>
      </c>
      <c r="Z336" s="775">
        <v>12</v>
      </c>
      <c r="AA336" s="739">
        <f>('OPER.-NONMAJOR CAP. PROJ(73-74)'!AW18+'LedgerLoad Assist'!BE73)*-1</f>
        <v>0</v>
      </c>
      <c r="AB336" s="739">
        <f t="shared" ref="AB336:AC336" si="319">AA336</f>
        <v>0</v>
      </c>
      <c r="AC336" s="739">
        <f t="shared" si="319"/>
        <v>0</v>
      </c>
    </row>
    <row r="337" spans="1:29">
      <c r="A337" s="739" t="s">
        <v>2025</v>
      </c>
      <c r="B337" s="739" t="s">
        <v>2025</v>
      </c>
      <c r="C337" s="739" t="s">
        <v>2026</v>
      </c>
      <c r="D337" s="739" t="s">
        <v>2026</v>
      </c>
      <c r="E337" s="791">
        <v>336000</v>
      </c>
      <c r="G337" s="739" t="str">
        <f t="shared" si="308"/>
        <v>013801</v>
      </c>
      <c r="J337" s="739">
        <v>4000</v>
      </c>
      <c r="Q337" s="773"/>
      <c r="T337" s="775" t="str">
        <f t="shared" si="309"/>
        <v>023801</v>
      </c>
      <c r="W337" s="739" t="s">
        <v>2032</v>
      </c>
      <c r="Y337" s="775">
        <f t="shared" si="310"/>
        <v>2017</v>
      </c>
      <c r="Z337" s="775">
        <v>12</v>
      </c>
      <c r="AA337" s="739">
        <f>('LedgerLoad Assist'!BE74)*-1</f>
        <v>0</v>
      </c>
      <c r="AB337" s="739">
        <f t="shared" ref="AB337:AC337" si="320">AA337</f>
        <v>0</v>
      </c>
      <c r="AC337" s="739">
        <f t="shared" si="320"/>
        <v>0</v>
      </c>
    </row>
    <row r="338" spans="1:29">
      <c r="A338" s="739" t="s">
        <v>2025</v>
      </c>
      <c r="B338" s="739" t="s">
        <v>2025</v>
      </c>
      <c r="C338" s="739" t="s">
        <v>2026</v>
      </c>
      <c r="D338" s="739" t="s">
        <v>2026</v>
      </c>
      <c r="E338" s="791">
        <v>337000</v>
      </c>
      <c r="G338" s="739" t="str">
        <f t="shared" si="308"/>
        <v>013801</v>
      </c>
      <c r="J338" s="739">
        <v>4000</v>
      </c>
      <c r="Q338" s="773"/>
      <c r="T338" s="775" t="str">
        <f t="shared" si="309"/>
        <v>023801</v>
      </c>
      <c r="W338" s="739" t="s">
        <v>2032</v>
      </c>
      <c r="Y338" s="775">
        <f t="shared" si="310"/>
        <v>2017</v>
      </c>
      <c r="Z338" s="775">
        <v>12</v>
      </c>
      <c r="AA338" s="739">
        <f>('LedgerLoad Assist'!BE75)*-1</f>
        <v>0</v>
      </c>
      <c r="AB338" s="739">
        <f t="shared" ref="AB338:AC338" si="321">AA338</f>
        <v>0</v>
      </c>
      <c r="AC338" s="739">
        <f t="shared" si="321"/>
        <v>0</v>
      </c>
    </row>
    <row r="339" spans="1:29">
      <c r="A339" s="739" t="s">
        <v>2025</v>
      </c>
      <c r="B339" s="739" t="s">
        <v>2025</v>
      </c>
      <c r="C339" s="739" t="s">
        <v>2026</v>
      </c>
      <c r="D339" s="739" t="s">
        <v>2026</v>
      </c>
      <c r="E339" s="791">
        <v>338000</v>
      </c>
      <c r="G339" s="739" t="str">
        <f t="shared" si="308"/>
        <v>013801</v>
      </c>
      <c r="J339" s="739">
        <v>4000</v>
      </c>
      <c r="Q339" s="773"/>
      <c r="T339" s="775" t="str">
        <f t="shared" si="309"/>
        <v>023801</v>
      </c>
      <c r="W339" s="739" t="s">
        <v>2032</v>
      </c>
      <c r="Y339" s="775">
        <f t="shared" si="310"/>
        <v>2017</v>
      </c>
      <c r="Z339" s="775">
        <v>12</v>
      </c>
      <c r="AA339" s="739">
        <f>('LedgerLoad Assist'!BE76)*-1</f>
        <v>0</v>
      </c>
      <c r="AB339" s="739">
        <f t="shared" ref="AB339:AC339" si="322">AA339</f>
        <v>0</v>
      </c>
      <c r="AC339" s="739">
        <f t="shared" si="322"/>
        <v>0</v>
      </c>
    </row>
    <row r="340" spans="1:29">
      <c r="A340" s="739" t="s">
        <v>2025</v>
      </c>
      <c r="B340" s="739" t="s">
        <v>2025</v>
      </c>
      <c r="C340" s="739" t="s">
        <v>2026</v>
      </c>
      <c r="D340" s="739" t="s">
        <v>2026</v>
      </c>
      <c r="E340" s="791">
        <v>339000</v>
      </c>
      <c r="G340" s="739" t="str">
        <f t="shared" si="308"/>
        <v>013801</v>
      </c>
      <c r="J340" s="739">
        <v>4000</v>
      </c>
      <c r="Q340" s="773"/>
      <c r="T340" s="775" t="str">
        <f t="shared" si="309"/>
        <v>023801</v>
      </c>
      <c r="W340" s="739" t="s">
        <v>2032</v>
      </c>
      <c r="Y340" s="775">
        <f t="shared" si="310"/>
        <v>2017</v>
      </c>
      <c r="Z340" s="775">
        <v>12</v>
      </c>
      <c r="AA340" s="739">
        <f>('LedgerLoad Assist'!BE77)*-1</f>
        <v>0</v>
      </c>
      <c r="AB340" s="739">
        <f t="shared" ref="AB340:AC340" si="323">AA340</f>
        <v>0</v>
      </c>
      <c r="AC340" s="739">
        <f t="shared" si="323"/>
        <v>0</v>
      </c>
    </row>
    <row r="341" spans="1:29">
      <c r="A341" s="739" t="s">
        <v>2025</v>
      </c>
      <c r="B341" s="739" t="s">
        <v>2025</v>
      </c>
      <c r="C341" s="739" t="s">
        <v>2026</v>
      </c>
      <c r="D341" s="739" t="s">
        <v>2026</v>
      </c>
      <c r="E341" s="791">
        <v>340000</v>
      </c>
      <c r="G341" s="739" t="str">
        <f t="shared" si="308"/>
        <v>013801</v>
      </c>
      <c r="J341" s="739">
        <v>4000</v>
      </c>
      <c r="Q341" s="773"/>
      <c r="T341" s="775" t="str">
        <f t="shared" si="309"/>
        <v>023801</v>
      </c>
      <c r="W341" s="739" t="s">
        <v>2032</v>
      </c>
      <c r="Y341" s="775">
        <f t="shared" si="310"/>
        <v>2017</v>
      </c>
      <c r="Z341" s="775">
        <v>12</v>
      </c>
      <c r="AA341" s="739">
        <f>('LedgerLoad Assist'!BE78)*-1</f>
        <v>0</v>
      </c>
      <c r="AB341" s="739">
        <f t="shared" ref="AB341:AC341" si="324">AA341</f>
        <v>0</v>
      </c>
      <c r="AC341" s="739">
        <f t="shared" si="324"/>
        <v>0</v>
      </c>
    </row>
    <row r="342" spans="1:29">
      <c r="A342" s="739" t="s">
        <v>2025</v>
      </c>
      <c r="B342" s="739" t="s">
        <v>2025</v>
      </c>
      <c r="C342" s="739" t="s">
        <v>2026</v>
      </c>
      <c r="D342" s="739" t="s">
        <v>2026</v>
      </c>
      <c r="E342" s="791">
        <v>341000</v>
      </c>
      <c r="G342" s="739" t="str">
        <f t="shared" si="308"/>
        <v>013801</v>
      </c>
      <c r="J342" s="739">
        <v>4000</v>
      </c>
      <c r="Q342" s="773"/>
      <c r="T342" s="775" t="str">
        <f t="shared" si="309"/>
        <v>023801</v>
      </c>
      <c r="W342" s="739" t="s">
        <v>2032</v>
      </c>
      <c r="Y342" s="775">
        <f t="shared" si="310"/>
        <v>2017</v>
      </c>
      <c r="Z342" s="775">
        <v>12</v>
      </c>
      <c r="AA342" s="739">
        <f>('OPER.-NONMAJOR CAP. PROJ(73-74)'!AW20+'OPER.-NONMAJOR CAP. PROJ(73-74)'!AW21+'LedgerLoad Assist'!BE79)*-1</f>
        <v>0</v>
      </c>
      <c r="AB342" s="739">
        <f t="shared" ref="AB342:AC342" si="325">AA342</f>
        <v>0</v>
      </c>
      <c r="AC342" s="739">
        <f t="shared" si="325"/>
        <v>0</v>
      </c>
    </row>
    <row r="343" spans="1:29">
      <c r="A343" s="739" t="s">
        <v>2025</v>
      </c>
      <c r="B343" s="739" t="s">
        <v>2025</v>
      </c>
      <c r="C343" s="739" t="s">
        <v>2026</v>
      </c>
      <c r="D343" s="739" t="s">
        <v>2026</v>
      </c>
      <c r="E343" s="791">
        <v>342000</v>
      </c>
      <c r="G343" s="739" t="str">
        <f t="shared" si="308"/>
        <v>013801</v>
      </c>
      <c r="J343" s="739">
        <v>4000</v>
      </c>
      <c r="Q343" s="773"/>
      <c r="T343" s="775" t="str">
        <f t="shared" si="309"/>
        <v>023801</v>
      </c>
      <c r="W343" s="739" t="s">
        <v>2032</v>
      </c>
      <c r="Y343" s="775">
        <f t="shared" si="310"/>
        <v>2017</v>
      </c>
      <c r="Z343" s="775">
        <v>12</v>
      </c>
      <c r="AA343" s="739">
        <f>('LedgerLoad Assist'!BE80)*-1</f>
        <v>0</v>
      </c>
      <c r="AB343" s="739">
        <f t="shared" ref="AB343:AC343" si="326">AA343</f>
        <v>0</v>
      </c>
      <c r="AC343" s="739">
        <f t="shared" si="326"/>
        <v>0</v>
      </c>
    </row>
    <row r="344" spans="1:29" ht="12" customHeight="1">
      <c r="A344" s="739" t="s">
        <v>2025</v>
      </c>
      <c r="B344" s="739" t="s">
        <v>2025</v>
      </c>
      <c r="C344" s="739" t="s">
        <v>2026</v>
      </c>
      <c r="D344" s="739" t="s">
        <v>2026</v>
      </c>
      <c r="E344" s="791">
        <v>343000</v>
      </c>
      <c r="G344" s="739" t="str">
        <f t="shared" si="308"/>
        <v>013801</v>
      </c>
      <c r="J344" s="739">
        <v>4000</v>
      </c>
      <c r="Q344" s="773"/>
      <c r="T344" s="775" t="str">
        <f t="shared" si="309"/>
        <v>023801</v>
      </c>
      <c r="W344" s="739" t="s">
        <v>2032</v>
      </c>
      <c r="Y344" s="775">
        <f t="shared" si="310"/>
        <v>2017</v>
      </c>
      <c r="Z344" s="775">
        <v>12</v>
      </c>
      <c r="AA344" s="739">
        <f>('OPER.-NONMAJOR CAP. PROJ(73-74)'!AW22+'LedgerLoad Assist'!BE81)*-1</f>
        <v>0</v>
      </c>
      <c r="AB344" s="739">
        <f t="shared" ref="AB344:AC344" si="327">AA344</f>
        <v>0</v>
      </c>
      <c r="AC344" s="739">
        <f t="shared" si="327"/>
        <v>0</v>
      </c>
    </row>
    <row r="345" spans="1:29">
      <c r="A345" s="739" t="s">
        <v>2025</v>
      </c>
      <c r="B345" s="739" t="s">
        <v>2025</v>
      </c>
      <c r="C345" s="739" t="s">
        <v>2026</v>
      </c>
      <c r="D345" s="739" t="s">
        <v>2026</v>
      </c>
      <c r="E345" s="791">
        <v>344000</v>
      </c>
      <c r="G345" s="739" t="str">
        <f t="shared" si="308"/>
        <v>013801</v>
      </c>
      <c r="J345" s="739">
        <v>4000</v>
      </c>
      <c r="Q345" s="773"/>
      <c r="T345" s="775" t="str">
        <f t="shared" si="309"/>
        <v>023801</v>
      </c>
      <c r="W345" s="739" t="s">
        <v>2032</v>
      </c>
      <c r="Y345" s="775">
        <f t="shared" si="310"/>
        <v>2017</v>
      </c>
      <c r="Z345" s="775">
        <v>12</v>
      </c>
      <c r="AA345" s="739">
        <f>('LedgerLoad Assist'!BE82)*-1</f>
        <v>0</v>
      </c>
      <c r="AB345" s="739">
        <f t="shared" ref="AB345:AC345" si="328">AA345</f>
        <v>0</v>
      </c>
      <c r="AC345" s="739">
        <f t="shared" si="328"/>
        <v>0</v>
      </c>
    </row>
    <row r="346" spans="1:29">
      <c r="A346" s="739" t="s">
        <v>2025</v>
      </c>
      <c r="B346" s="739" t="s">
        <v>2025</v>
      </c>
      <c r="C346" s="739" t="s">
        <v>2026</v>
      </c>
      <c r="D346" s="739" t="s">
        <v>2026</v>
      </c>
      <c r="E346" s="791">
        <v>345000</v>
      </c>
      <c r="G346" s="739" t="str">
        <f t="shared" si="308"/>
        <v>013801</v>
      </c>
      <c r="J346" s="739">
        <v>4000</v>
      </c>
      <c r="Q346" s="773"/>
      <c r="T346" s="775" t="str">
        <f t="shared" si="309"/>
        <v>023801</v>
      </c>
      <c r="W346" s="739" t="s">
        <v>2032</v>
      </c>
      <c r="Y346" s="775">
        <f t="shared" si="310"/>
        <v>2017</v>
      </c>
      <c r="Z346" s="775">
        <v>12</v>
      </c>
      <c r="AA346" s="739">
        <f>('LedgerLoad Assist'!BE83)*-1</f>
        <v>0</v>
      </c>
      <c r="AB346" s="739">
        <f t="shared" ref="AB346:AC346" si="329">AA346</f>
        <v>0</v>
      </c>
      <c r="AC346" s="739">
        <f t="shared" si="329"/>
        <v>0</v>
      </c>
    </row>
    <row r="347" spans="1:29">
      <c r="A347" s="739" t="s">
        <v>2025</v>
      </c>
      <c r="B347" s="739" t="s">
        <v>2025</v>
      </c>
      <c r="C347" s="739" t="s">
        <v>2026</v>
      </c>
      <c r="D347" s="739" t="s">
        <v>2026</v>
      </c>
      <c r="E347" s="791">
        <v>346000</v>
      </c>
      <c r="G347" s="739" t="str">
        <f t="shared" si="308"/>
        <v>013801</v>
      </c>
      <c r="J347" s="739">
        <v>4000</v>
      </c>
      <c r="Q347" s="773"/>
      <c r="T347" s="775" t="str">
        <f t="shared" si="309"/>
        <v>023801</v>
      </c>
      <c r="W347" s="739" t="s">
        <v>2032</v>
      </c>
      <c r="Y347" s="775">
        <f t="shared" si="310"/>
        <v>2017</v>
      </c>
      <c r="Z347" s="775">
        <v>12</v>
      </c>
      <c r="AA347" s="739">
        <f>('LedgerLoad Assist'!BE84)*-1</f>
        <v>0</v>
      </c>
      <c r="AB347" s="739">
        <f t="shared" ref="AB347:AC347" si="330">AA347</f>
        <v>0</v>
      </c>
      <c r="AC347" s="739">
        <f t="shared" si="330"/>
        <v>0</v>
      </c>
    </row>
    <row r="348" spans="1:29">
      <c r="A348" s="739" t="s">
        <v>2025</v>
      </c>
      <c r="B348" s="739" t="s">
        <v>2025</v>
      </c>
      <c r="C348" s="739" t="s">
        <v>2026</v>
      </c>
      <c r="D348" s="739" t="s">
        <v>2026</v>
      </c>
      <c r="E348" s="791">
        <v>350000</v>
      </c>
      <c r="G348" s="739" t="str">
        <f t="shared" si="308"/>
        <v>013801</v>
      </c>
      <c r="J348" s="739">
        <v>4000</v>
      </c>
      <c r="Q348" s="773"/>
      <c r="T348" s="775" t="str">
        <f t="shared" si="309"/>
        <v>023801</v>
      </c>
      <c r="W348" s="739" t="s">
        <v>2032</v>
      </c>
      <c r="Y348" s="775">
        <f t="shared" si="310"/>
        <v>2017</v>
      </c>
      <c r="Z348" s="775">
        <v>12</v>
      </c>
      <c r="AA348" s="739">
        <v>0</v>
      </c>
      <c r="AB348" s="739">
        <f t="shared" ref="AB348:AC348" si="331">AA348</f>
        <v>0</v>
      </c>
      <c r="AC348" s="739">
        <f t="shared" si="331"/>
        <v>0</v>
      </c>
    </row>
    <row r="349" spans="1:29">
      <c r="A349" s="739" t="s">
        <v>2025</v>
      </c>
      <c r="B349" s="739" t="s">
        <v>2025</v>
      </c>
      <c r="C349" s="739" t="s">
        <v>2026</v>
      </c>
      <c r="D349" s="739" t="s">
        <v>2026</v>
      </c>
      <c r="E349" s="791">
        <v>351000</v>
      </c>
      <c r="G349" s="739" t="str">
        <f t="shared" si="308"/>
        <v>013801</v>
      </c>
      <c r="J349" s="739">
        <v>4000</v>
      </c>
      <c r="Q349" s="773"/>
      <c r="T349" s="775" t="str">
        <f t="shared" si="309"/>
        <v>023801</v>
      </c>
      <c r="W349" s="739" t="s">
        <v>2032</v>
      </c>
      <c r="Y349" s="775">
        <f t="shared" si="310"/>
        <v>2017</v>
      </c>
      <c r="Z349" s="775">
        <v>12</v>
      </c>
      <c r="AA349" s="739">
        <f>('LedgerLoad Assist'!BE86)*-1</f>
        <v>0</v>
      </c>
      <c r="AB349" s="739">
        <f t="shared" ref="AB349:AC349" si="332">AA349</f>
        <v>0</v>
      </c>
      <c r="AC349" s="739">
        <f t="shared" si="332"/>
        <v>0</v>
      </c>
    </row>
    <row r="350" spans="1:29">
      <c r="A350" s="739" t="s">
        <v>2025</v>
      </c>
      <c r="B350" s="739" t="s">
        <v>2025</v>
      </c>
      <c r="C350" s="739" t="s">
        <v>2026</v>
      </c>
      <c r="D350" s="739" t="s">
        <v>2026</v>
      </c>
      <c r="E350" s="791">
        <v>360000</v>
      </c>
      <c r="G350" s="739" t="str">
        <f t="shared" si="308"/>
        <v>013801</v>
      </c>
      <c r="J350" s="739">
        <v>4000</v>
      </c>
      <c r="Q350" s="773"/>
      <c r="T350" s="775" t="str">
        <f t="shared" si="309"/>
        <v>023801</v>
      </c>
      <c r="W350" s="739" t="s">
        <v>2032</v>
      </c>
      <c r="Y350" s="775">
        <f t="shared" si="310"/>
        <v>2017</v>
      </c>
      <c r="Z350" s="775">
        <v>12</v>
      </c>
      <c r="AA350" s="739">
        <v>0</v>
      </c>
    </row>
    <row r="351" spans="1:29">
      <c r="A351" s="739" t="s">
        <v>2025</v>
      </c>
      <c r="B351" s="739" t="s">
        <v>2025</v>
      </c>
      <c r="C351" s="739" t="s">
        <v>2026</v>
      </c>
      <c r="D351" s="739" t="s">
        <v>2026</v>
      </c>
      <c r="E351" s="791">
        <v>361000</v>
      </c>
      <c r="G351" s="739" t="str">
        <f t="shared" si="308"/>
        <v>013801</v>
      </c>
      <c r="J351" s="739">
        <v>4000</v>
      </c>
      <c r="Q351" s="773"/>
      <c r="T351" s="775" t="str">
        <f t="shared" si="309"/>
        <v>023801</v>
      </c>
      <c r="W351" s="739" t="s">
        <v>2032</v>
      </c>
      <c r="Y351" s="775">
        <f t="shared" si="310"/>
        <v>2017</v>
      </c>
      <c r="Z351" s="775">
        <v>12</v>
      </c>
      <c r="AA351" s="739">
        <f>('OPER.-NONMAJOR CAP. PROJ(73-74)'!AW24+'LedgerLoad Assist'!BE88)*-1</f>
        <v>0</v>
      </c>
      <c r="AB351" s="739">
        <f t="shared" ref="AB351:AC351" si="333">AA351</f>
        <v>0</v>
      </c>
      <c r="AC351" s="739">
        <f t="shared" si="333"/>
        <v>0</v>
      </c>
    </row>
    <row r="352" spans="1:29">
      <c r="A352" s="739" t="s">
        <v>2025</v>
      </c>
      <c r="B352" s="739" t="s">
        <v>2025</v>
      </c>
      <c r="C352" s="739" t="s">
        <v>2026</v>
      </c>
      <c r="D352" s="739" t="s">
        <v>2026</v>
      </c>
      <c r="E352" s="791">
        <v>362000</v>
      </c>
      <c r="G352" s="739" t="str">
        <f t="shared" si="308"/>
        <v>013801</v>
      </c>
      <c r="J352" s="739">
        <v>4000</v>
      </c>
      <c r="Q352" s="773"/>
      <c r="T352" s="775" t="str">
        <f t="shared" si="309"/>
        <v>023801</v>
      </c>
      <c r="W352" s="739" t="s">
        <v>2032</v>
      </c>
      <c r="Y352" s="775">
        <f t="shared" si="310"/>
        <v>2017</v>
      </c>
      <c r="Z352" s="775">
        <v>12</v>
      </c>
      <c r="AA352" s="739">
        <f>('OPER.-NONMAJOR CAP. PROJ(73-74)'!AW25+'LedgerLoad Assist'!BE89)*-1</f>
        <v>0</v>
      </c>
      <c r="AB352" s="739">
        <f t="shared" ref="AB352:AC352" si="334">AA352</f>
        <v>0</v>
      </c>
      <c r="AC352" s="739">
        <f t="shared" si="334"/>
        <v>0</v>
      </c>
    </row>
    <row r="353" spans="1:29">
      <c r="A353" s="739" t="s">
        <v>2025</v>
      </c>
      <c r="B353" s="739" t="s">
        <v>2025</v>
      </c>
      <c r="C353" s="739" t="s">
        <v>2026</v>
      </c>
      <c r="D353" s="739" t="s">
        <v>2026</v>
      </c>
      <c r="E353" s="791">
        <v>363000</v>
      </c>
      <c r="G353" s="739" t="str">
        <f t="shared" si="308"/>
        <v>013801</v>
      </c>
      <c r="J353" s="739">
        <v>4000</v>
      </c>
      <c r="Q353" s="773"/>
      <c r="T353" s="775" t="str">
        <f t="shared" si="309"/>
        <v>023801</v>
      </c>
      <c r="W353" s="739" t="s">
        <v>2032</v>
      </c>
      <c r="Y353" s="775">
        <f t="shared" si="310"/>
        <v>2017</v>
      </c>
      <c r="Z353" s="775">
        <v>12</v>
      </c>
      <c r="AA353" s="739">
        <f>('LedgerLoad Assist'!BE90)*-1</f>
        <v>0</v>
      </c>
      <c r="AB353" s="739">
        <f t="shared" ref="AB353:AC353" si="335">AA353</f>
        <v>0</v>
      </c>
      <c r="AC353" s="739">
        <f t="shared" si="335"/>
        <v>0</v>
      </c>
    </row>
    <row r="354" spans="1:29">
      <c r="A354" s="739" t="s">
        <v>2025</v>
      </c>
      <c r="B354" s="739" t="s">
        <v>2025</v>
      </c>
      <c r="C354" s="739" t="s">
        <v>2026</v>
      </c>
      <c r="D354" s="739" t="s">
        <v>2026</v>
      </c>
      <c r="E354" s="791">
        <v>365000</v>
      </c>
      <c r="G354" s="739" t="str">
        <f t="shared" si="308"/>
        <v>013801</v>
      </c>
      <c r="J354" s="739">
        <v>4000</v>
      </c>
      <c r="Q354" s="773"/>
      <c r="T354" s="775" t="str">
        <f t="shared" si="309"/>
        <v>023801</v>
      </c>
      <c r="W354" s="739" t="s">
        <v>2032</v>
      </c>
      <c r="Y354" s="775">
        <f t="shared" si="310"/>
        <v>2017</v>
      </c>
      <c r="Z354" s="775">
        <v>12</v>
      </c>
      <c r="AA354" s="739">
        <f>('OPER.-NONMAJOR CAP. PROJ(73-74)'!AW26+'LedgerLoad Assist'!BE91)*-1</f>
        <v>0</v>
      </c>
      <c r="AB354" s="739">
        <f t="shared" ref="AB354:AC354" si="336">AA354</f>
        <v>0</v>
      </c>
      <c r="AC354" s="739">
        <f t="shared" si="336"/>
        <v>0</v>
      </c>
    </row>
    <row r="355" spans="1:29">
      <c r="A355" s="739" t="s">
        <v>2025</v>
      </c>
      <c r="B355" s="739" t="s">
        <v>2025</v>
      </c>
      <c r="C355" s="739" t="s">
        <v>2026</v>
      </c>
      <c r="D355" s="739" t="s">
        <v>2026</v>
      </c>
      <c r="E355" s="791">
        <v>366000</v>
      </c>
      <c r="G355" s="739" t="str">
        <f t="shared" si="308"/>
        <v>013801</v>
      </c>
      <c r="J355" s="739">
        <v>4000</v>
      </c>
      <c r="Q355" s="773"/>
      <c r="T355" s="775" t="str">
        <f t="shared" si="309"/>
        <v>023801</v>
      </c>
      <c r="W355" s="739" t="s">
        <v>2032</v>
      </c>
      <c r="Y355" s="775">
        <f t="shared" si="310"/>
        <v>2017</v>
      </c>
      <c r="Z355" s="775">
        <v>12</v>
      </c>
      <c r="AA355" s="739">
        <f>('LedgerLoad Assist'!BE92)*-1</f>
        <v>0</v>
      </c>
      <c r="AB355" s="739">
        <f t="shared" ref="AB355:AC355" si="337">AA355</f>
        <v>0</v>
      </c>
      <c r="AC355" s="739">
        <f t="shared" si="337"/>
        <v>0</v>
      </c>
    </row>
    <row r="356" spans="1:29">
      <c r="A356" s="739" t="s">
        <v>2025</v>
      </c>
      <c r="B356" s="739" t="s">
        <v>2025</v>
      </c>
      <c r="C356" s="739" t="s">
        <v>2026</v>
      </c>
      <c r="D356" s="739" t="s">
        <v>2026</v>
      </c>
      <c r="E356" s="791">
        <v>367000</v>
      </c>
      <c r="G356" s="739" t="str">
        <f t="shared" si="308"/>
        <v>013801</v>
      </c>
      <c r="J356" s="739">
        <v>4000</v>
      </c>
      <c r="Q356" s="773"/>
      <c r="T356" s="775" t="str">
        <f t="shared" si="309"/>
        <v>023801</v>
      </c>
      <c r="W356" s="739" t="s">
        <v>2032</v>
      </c>
      <c r="Y356" s="775">
        <f t="shared" si="310"/>
        <v>2017</v>
      </c>
      <c r="Z356" s="775">
        <v>12</v>
      </c>
      <c r="AA356" s="739">
        <f>('LedgerLoad Assist'!BE93)*-1</f>
        <v>0</v>
      </c>
      <c r="AB356" s="739">
        <f t="shared" ref="AB356:AC356" si="338">AA356</f>
        <v>0</v>
      </c>
      <c r="AC356" s="739">
        <f t="shared" si="338"/>
        <v>0</v>
      </c>
    </row>
    <row r="357" spans="1:29">
      <c r="A357" s="739" t="s">
        <v>2025</v>
      </c>
      <c r="B357" s="739" t="s">
        <v>2025</v>
      </c>
      <c r="C357" s="739" t="s">
        <v>2026</v>
      </c>
      <c r="D357" s="739" t="s">
        <v>2026</v>
      </c>
      <c r="E357" s="791">
        <v>368000</v>
      </c>
      <c r="G357" s="739" t="str">
        <f t="shared" si="308"/>
        <v>013801</v>
      </c>
      <c r="J357" s="739">
        <v>4000</v>
      </c>
      <c r="Q357" s="773"/>
      <c r="T357" s="775" t="str">
        <f t="shared" si="309"/>
        <v>023801</v>
      </c>
      <c r="W357" s="739" t="s">
        <v>2032</v>
      </c>
      <c r="Y357" s="775">
        <f t="shared" si="310"/>
        <v>2017</v>
      </c>
      <c r="Z357" s="775">
        <v>12</v>
      </c>
      <c r="AA357" s="739">
        <f>('LedgerLoad Assist'!BE94)*-1</f>
        <v>0</v>
      </c>
      <c r="AB357" s="739">
        <f t="shared" ref="AB357:AC357" si="339">AA357</f>
        <v>0</v>
      </c>
      <c r="AC357" s="739">
        <f t="shared" si="339"/>
        <v>0</v>
      </c>
    </row>
    <row r="358" spans="1:29">
      <c r="A358" s="739" t="s">
        <v>2025</v>
      </c>
      <c r="B358" s="739" t="s">
        <v>2025</v>
      </c>
      <c r="C358" s="739" t="s">
        <v>2026</v>
      </c>
      <c r="D358" s="739" t="s">
        <v>2026</v>
      </c>
      <c r="E358" s="791">
        <v>370000</v>
      </c>
      <c r="G358" s="739" t="str">
        <f t="shared" si="308"/>
        <v>013801</v>
      </c>
      <c r="J358" s="739">
        <v>4000</v>
      </c>
      <c r="Q358" s="773"/>
      <c r="T358" s="775" t="str">
        <f t="shared" si="309"/>
        <v>023801</v>
      </c>
      <c r="W358" s="739" t="s">
        <v>2032</v>
      </c>
      <c r="Y358" s="775">
        <f t="shared" si="310"/>
        <v>2017</v>
      </c>
      <c r="Z358" s="775">
        <v>12</v>
      </c>
      <c r="AA358" s="739">
        <f>('OPER.-NONMAJOR CAP. PROJ(73-74)'!AW27+'LedgerLoad Assist'!BE95)*-1</f>
        <v>-21.96</v>
      </c>
      <c r="AB358" s="739">
        <f t="shared" ref="AB358:AC358" si="340">AA358</f>
        <v>-21.96</v>
      </c>
      <c r="AC358" s="739">
        <f t="shared" si="340"/>
        <v>-21.96</v>
      </c>
    </row>
    <row r="359" spans="1:29">
      <c r="A359" s="739" t="s">
        <v>2025</v>
      </c>
      <c r="B359" s="739" t="s">
        <v>2025</v>
      </c>
      <c r="C359" s="739" t="s">
        <v>2026</v>
      </c>
      <c r="D359" s="739" t="s">
        <v>2026</v>
      </c>
      <c r="E359" s="791">
        <v>371000</v>
      </c>
      <c r="G359" s="739" t="str">
        <f t="shared" si="308"/>
        <v>013801</v>
      </c>
      <c r="J359" s="739">
        <v>4000</v>
      </c>
      <c r="Q359" s="773"/>
      <c r="T359" s="775" t="str">
        <f t="shared" si="309"/>
        <v>023801</v>
      </c>
      <c r="W359" s="739" t="s">
        <v>2032</v>
      </c>
      <c r="Y359" s="775">
        <f t="shared" si="310"/>
        <v>2017</v>
      </c>
      <c r="Z359" s="775">
        <v>12</v>
      </c>
      <c r="AA359" s="739">
        <f>('LedgerLoad Assist'!BE96)*-1</f>
        <v>0</v>
      </c>
      <c r="AB359" s="739">
        <f t="shared" ref="AB359:AC359" si="341">AA359</f>
        <v>0</v>
      </c>
      <c r="AC359" s="739">
        <f t="shared" si="341"/>
        <v>0</v>
      </c>
    </row>
    <row r="360" spans="1:29">
      <c r="A360" s="739" t="s">
        <v>2025</v>
      </c>
      <c r="B360" s="739" t="s">
        <v>2025</v>
      </c>
      <c r="C360" s="739" t="s">
        <v>2026</v>
      </c>
      <c r="D360" s="739" t="s">
        <v>2026</v>
      </c>
      <c r="E360" s="791">
        <v>372000</v>
      </c>
      <c r="G360" s="739" t="str">
        <f t="shared" si="308"/>
        <v>013801</v>
      </c>
      <c r="J360" s="739">
        <v>4000</v>
      </c>
      <c r="Q360" s="773"/>
      <c r="T360" s="775" t="str">
        <f t="shared" si="309"/>
        <v>023801</v>
      </c>
      <c r="W360" s="739" t="s">
        <v>2032</v>
      </c>
      <c r="Y360" s="775">
        <f t="shared" si="310"/>
        <v>2017</v>
      </c>
      <c r="Z360" s="775">
        <v>12</v>
      </c>
      <c r="AA360" s="739">
        <f>('LedgerLoad Assist'!BE97)*-1</f>
        <v>0</v>
      </c>
      <c r="AB360" s="739">
        <f t="shared" ref="AB360:AC360" si="342">AA360</f>
        <v>0</v>
      </c>
      <c r="AC360" s="739">
        <f t="shared" si="342"/>
        <v>0</v>
      </c>
    </row>
    <row r="361" spans="1:29">
      <c r="A361" s="739" t="s">
        <v>2025</v>
      </c>
      <c r="B361" s="739" t="s">
        <v>2025</v>
      </c>
      <c r="C361" s="739" t="s">
        <v>2026</v>
      </c>
      <c r="D361" s="739" t="s">
        <v>2026</v>
      </c>
      <c r="E361" s="791">
        <v>373000</v>
      </c>
      <c r="G361" s="739" t="str">
        <f t="shared" si="308"/>
        <v>013801</v>
      </c>
      <c r="J361" s="739">
        <v>4000</v>
      </c>
      <c r="Q361" s="773"/>
      <c r="T361" s="775" t="str">
        <f t="shared" si="309"/>
        <v>023801</v>
      </c>
      <c r="W361" s="739" t="s">
        <v>2032</v>
      </c>
      <c r="Y361" s="775">
        <f t="shared" si="310"/>
        <v>2017</v>
      </c>
      <c r="Z361" s="775">
        <v>12</v>
      </c>
      <c r="AA361" s="739">
        <f>('LedgerLoad Assist'!BE98)*-1</f>
        <v>0</v>
      </c>
      <c r="AB361" s="739">
        <f t="shared" ref="AB361:AC361" si="343">AA361</f>
        <v>0</v>
      </c>
      <c r="AC361" s="739">
        <f t="shared" si="343"/>
        <v>0</v>
      </c>
    </row>
    <row r="362" spans="1:29">
      <c r="A362" s="739" t="s">
        <v>2025</v>
      </c>
      <c r="B362" s="739" t="s">
        <v>2025</v>
      </c>
      <c r="C362" s="739" t="s">
        <v>2026</v>
      </c>
      <c r="D362" s="739" t="s">
        <v>2026</v>
      </c>
      <c r="E362" s="791">
        <v>380000</v>
      </c>
      <c r="G362" s="739" t="str">
        <f t="shared" si="308"/>
        <v>013801</v>
      </c>
      <c r="J362" s="739">
        <v>4000</v>
      </c>
      <c r="Q362" s="773"/>
      <c r="T362" s="775" t="str">
        <f t="shared" si="309"/>
        <v>023801</v>
      </c>
      <c r="W362" s="739" t="s">
        <v>2032</v>
      </c>
      <c r="Y362" s="775">
        <f t="shared" si="310"/>
        <v>2017</v>
      </c>
      <c r="Z362" s="775">
        <v>12</v>
      </c>
      <c r="AA362" s="739">
        <f>('LedgerLoad Assist'!BE99)*-1</f>
        <v>0</v>
      </c>
      <c r="AB362" s="739">
        <f t="shared" ref="AB362:AC362" si="344">AA362</f>
        <v>0</v>
      </c>
      <c r="AC362" s="739">
        <f t="shared" si="344"/>
        <v>0</v>
      </c>
    </row>
    <row r="363" spans="1:29">
      <c r="A363" s="739" t="s">
        <v>2025</v>
      </c>
      <c r="B363" s="739" t="s">
        <v>2025</v>
      </c>
      <c r="C363" s="739" t="s">
        <v>2026</v>
      </c>
      <c r="D363" s="739" t="s">
        <v>2026</v>
      </c>
      <c r="E363" s="791">
        <v>381000</v>
      </c>
      <c r="G363" s="739" t="str">
        <f t="shared" si="308"/>
        <v>013801</v>
      </c>
      <c r="J363" s="739">
        <v>4000</v>
      </c>
      <c r="Q363" s="773"/>
      <c r="T363" s="775" t="str">
        <f t="shared" si="309"/>
        <v>023801</v>
      </c>
      <c r="W363" s="739" t="s">
        <v>2032</v>
      </c>
      <c r="Y363" s="775">
        <f t="shared" si="310"/>
        <v>2017</v>
      </c>
      <c r="Z363" s="775">
        <v>12</v>
      </c>
      <c r="AA363" s="739">
        <f>('OPER.-NONMAJOR CAP. PROJ(73-74)'!AW37+'OPER.-NONMAJOR CAP. PROJ(73-74)'!AW38+'OPER.-NONMAJOR CAP. PROJ(73-74)'!AW39+'LedgerLoad Assist'!BE100)*-1</f>
        <v>0</v>
      </c>
      <c r="AB363" s="739">
        <f t="shared" ref="AB363:AC363" si="345">AA363</f>
        <v>0</v>
      </c>
      <c r="AC363" s="739">
        <f t="shared" si="345"/>
        <v>0</v>
      </c>
    </row>
    <row r="364" spans="1:29">
      <c r="A364" s="739" t="s">
        <v>2025</v>
      </c>
      <c r="B364" s="739" t="s">
        <v>2025</v>
      </c>
      <c r="C364" s="739" t="s">
        <v>2026</v>
      </c>
      <c r="D364" s="739" t="s">
        <v>2026</v>
      </c>
      <c r="E364" s="791">
        <v>382000</v>
      </c>
      <c r="G364" s="739" t="str">
        <f t="shared" si="308"/>
        <v>013801</v>
      </c>
      <c r="J364" s="739">
        <v>4000</v>
      </c>
      <c r="Q364" s="773"/>
      <c r="T364" s="775" t="str">
        <f t="shared" si="309"/>
        <v>023801</v>
      </c>
      <c r="W364" s="739" t="s">
        <v>2032</v>
      </c>
      <c r="Y364" s="775">
        <f t="shared" si="310"/>
        <v>2017</v>
      </c>
      <c r="Z364" s="775">
        <v>12</v>
      </c>
      <c r="AA364" s="739">
        <f>('OPER.-NONMAJOR CAP. PROJ(73-74)'!AW40+'LedgerLoad Assist'!BE101)*-1</f>
        <v>0</v>
      </c>
      <c r="AB364" s="739">
        <f t="shared" ref="AB364:AC364" si="346">AA364</f>
        <v>0</v>
      </c>
      <c r="AC364" s="739">
        <f t="shared" si="346"/>
        <v>0</v>
      </c>
    </row>
    <row r="365" spans="1:29">
      <c r="A365" s="739" t="s">
        <v>2025</v>
      </c>
      <c r="B365" s="739" t="s">
        <v>2025</v>
      </c>
      <c r="C365" s="739" t="s">
        <v>2026</v>
      </c>
      <c r="D365" s="739" t="s">
        <v>2026</v>
      </c>
      <c r="E365" s="791">
        <v>383000</v>
      </c>
      <c r="G365" s="739" t="str">
        <f t="shared" si="308"/>
        <v>013801</v>
      </c>
      <c r="J365" s="739">
        <v>4000</v>
      </c>
      <c r="Q365" s="773"/>
      <c r="T365" s="775" t="str">
        <f t="shared" si="309"/>
        <v>023801</v>
      </c>
      <c r="W365" s="739" t="s">
        <v>2032</v>
      </c>
      <c r="Y365" s="775">
        <f t="shared" si="310"/>
        <v>2017</v>
      </c>
      <c r="Z365" s="775">
        <v>12</v>
      </c>
      <c r="AA365" s="739">
        <f>('OPER.-NONMAJOR CAP. PROJ(73-74)'!AW41+'LedgerLoad Assist'!BE102)*-1</f>
        <v>-2400</v>
      </c>
      <c r="AB365" s="739">
        <f t="shared" ref="AB365:AC365" si="347">AA365</f>
        <v>-2400</v>
      </c>
      <c r="AC365" s="739">
        <f t="shared" si="347"/>
        <v>-2400</v>
      </c>
    </row>
    <row r="366" spans="1:29">
      <c r="A366" s="739" t="s">
        <v>2025</v>
      </c>
      <c r="B366" s="739" t="s">
        <v>2025</v>
      </c>
      <c r="C366" s="739" t="s">
        <v>2026</v>
      </c>
      <c r="D366" s="739" t="s">
        <v>2026</v>
      </c>
      <c r="E366" s="791">
        <v>384000</v>
      </c>
      <c r="G366" s="739" t="str">
        <f t="shared" si="308"/>
        <v>013801</v>
      </c>
      <c r="J366" s="739">
        <v>4000</v>
      </c>
      <c r="Q366" s="773"/>
      <c r="T366" s="775" t="str">
        <f t="shared" si="309"/>
        <v>023801</v>
      </c>
      <c r="W366" s="739" t="s">
        <v>2032</v>
      </c>
      <c r="Y366" s="775">
        <f t="shared" si="310"/>
        <v>2017</v>
      </c>
      <c r="Z366" s="775">
        <v>12</v>
      </c>
      <c r="AA366" s="739">
        <f>('OPER.-NONMAJOR CAP. PROJ(73-74)'!AW43+'LedgerLoad Assist'!BE103)*-1</f>
        <v>0</v>
      </c>
      <c r="AB366" s="739">
        <f t="shared" ref="AB366:AC366" si="348">AA366</f>
        <v>0</v>
      </c>
      <c r="AC366" s="739">
        <f t="shared" si="348"/>
        <v>0</v>
      </c>
    </row>
    <row r="367" spans="1:29">
      <c r="A367" s="739" t="s">
        <v>2025</v>
      </c>
      <c r="B367" s="739" t="s">
        <v>2025</v>
      </c>
      <c r="C367" s="739" t="s">
        <v>2026</v>
      </c>
      <c r="D367" s="739" t="s">
        <v>2026</v>
      </c>
      <c r="E367" s="791">
        <v>385000</v>
      </c>
      <c r="G367" s="739" t="str">
        <f t="shared" si="308"/>
        <v>013801</v>
      </c>
      <c r="J367" s="739">
        <v>4000</v>
      </c>
      <c r="Q367" s="773"/>
      <c r="T367" s="775" t="str">
        <f t="shared" si="309"/>
        <v>023801</v>
      </c>
      <c r="W367" s="739" t="s">
        <v>2032</v>
      </c>
      <c r="Y367" s="775">
        <f t="shared" si="310"/>
        <v>2017</v>
      </c>
      <c r="Z367" s="775">
        <v>12</v>
      </c>
      <c r="AA367" s="739">
        <f>('OPER.-NONMAJOR CAP. PROJ(73-74)'!AW44+'LedgerLoad Assist'!BE104)*-1</f>
        <v>0</v>
      </c>
      <c r="AB367" s="739">
        <f t="shared" ref="AB367:AC367" si="349">AA367</f>
        <v>0</v>
      </c>
      <c r="AC367" s="739">
        <f t="shared" si="349"/>
        <v>0</v>
      </c>
    </row>
    <row r="368" spans="1:29">
      <c r="A368" s="739" t="s">
        <v>2025</v>
      </c>
      <c r="B368" s="739" t="s">
        <v>2025</v>
      </c>
      <c r="C368" s="739" t="s">
        <v>2026</v>
      </c>
      <c r="D368" s="739" t="s">
        <v>2026</v>
      </c>
      <c r="E368" s="791">
        <v>390000</v>
      </c>
      <c r="G368" s="739" t="str">
        <f t="shared" si="308"/>
        <v>013801</v>
      </c>
      <c r="J368" s="739">
        <v>4000</v>
      </c>
      <c r="Q368" s="773"/>
      <c r="T368" s="775" t="str">
        <f t="shared" si="309"/>
        <v>023801</v>
      </c>
      <c r="W368" s="739" t="s">
        <v>2032</v>
      </c>
      <c r="Y368" s="775">
        <f t="shared" si="310"/>
        <v>2017</v>
      </c>
      <c r="Z368" s="775">
        <v>12</v>
      </c>
      <c r="AA368" s="739">
        <f>('LedgerLoad Assist'!BE105)*-1</f>
        <v>0</v>
      </c>
      <c r="AB368" s="739">
        <f t="shared" ref="AB368:AC368" si="350">AA368</f>
        <v>0</v>
      </c>
      <c r="AC368" s="739">
        <f t="shared" si="350"/>
        <v>0</v>
      </c>
    </row>
    <row r="369" spans="1:29">
      <c r="A369" s="739" t="s">
        <v>2025</v>
      </c>
      <c r="B369" s="739" t="s">
        <v>2025</v>
      </c>
      <c r="C369" s="739" t="s">
        <v>2026</v>
      </c>
      <c r="D369" s="739" t="s">
        <v>2026</v>
      </c>
      <c r="E369" s="791">
        <v>391000</v>
      </c>
      <c r="G369" s="739" t="str">
        <f t="shared" si="308"/>
        <v>013801</v>
      </c>
      <c r="J369" s="739">
        <v>4000</v>
      </c>
      <c r="Q369" s="773"/>
      <c r="T369" s="775" t="str">
        <f t="shared" si="309"/>
        <v>023801</v>
      </c>
      <c r="W369" s="739" t="s">
        <v>2032</v>
      </c>
      <c r="Y369" s="775">
        <f t="shared" si="310"/>
        <v>2017</v>
      </c>
      <c r="Z369" s="775">
        <v>12</v>
      </c>
      <c r="AA369" s="739">
        <f>('LedgerLoad Assist'!BE106)*-1</f>
        <v>0</v>
      </c>
      <c r="AB369" s="739">
        <f t="shared" ref="AB369:AC369" si="351">AA369</f>
        <v>0</v>
      </c>
      <c r="AC369" s="739">
        <f t="shared" si="351"/>
        <v>0</v>
      </c>
    </row>
    <row r="370" spans="1:29">
      <c r="A370" s="739" t="s">
        <v>2025</v>
      </c>
      <c r="B370" s="739" t="s">
        <v>2025</v>
      </c>
      <c r="C370" s="739" t="s">
        <v>2026</v>
      </c>
      <c r="D370" s="739" t="s">
        <v>2026</v>
      </c>
      <c r="E370" s="791">
        <v>392000</v>
      </c>
      <c r="G370" s="739" t="str">
        <f t="shared" si="308"/>
        <v>013801</v>
      </c>
      <c r="J370" s="739">
        <v>4000</v>
      </c>
      <c r="Q370" s="773"/>
      <c r="T370" s="775" t="str">
        <f t="shared" si="309"/>
        <v>023801</v>
      </c>
      <c r="W370" s="739" t="s">
        <v>2032</v>
      </c>
      <c r="Y370" s="775">
        <f t="shared" si="310"/>
        <v>2017</v>
      </c>
      <c r="Z370" s="775">
        <v>12</v>
      </c>
      <c r="AA370" s="739">
        <f>('LedgerLoad Assist'!BE107)*-1</f>
        <v>0</v>
      </c>
      <c r="AB370" s="739">
        <f t="shared" ref="AB370:AC370" si="352">AA370</f>
        <v>0</v>
      </c>
      <c r="AC370" s="739">
        <f t="shared" si="352"/>
        <v>0</v>
      </c>
    </row>
    <row r="371" spans="1:29">
      <c r="A371" s="739" t="s">
        <v>2025</v>
      </c>
      <c r="B371" s="739" t="s">
        <v>2025</v>
      </c>
      <c r="C371" s="739" t="s">
        <v>2026</v>
      </c>
      <c r="D371" s="739" t="s">
        <v>2026</v>
      </c>
      <c r="E371" s="791">
        <v>393000</v>
      </c>
      <c r="G371" s="739" t="str">
        <f t="shared" si="308"/>
        <v>013801</v>
      </c>
      <c r="J371" s="739">
        <v>4000</v>
      </c>
      <c r="Q371" s="773"/>
      <c r="T371" s="775" t="str">
        <f t="shared" si="309"/>
        <v>023801</v>
      </c>
      <c r="W371" s="739" t="s">
        <v>2032</v>
      </c>
      <c r="Y371" s="775">
        <f t="shared" si="310"/>
        <v>2017</v>
      </c>
      <c r="Z371" s="775">
        <v>12</v>
      </c>
      <c r="AA371" s="739">
        <f>('LedgerLoad Assist'!BE108)*-1</f>
        <v>0</v>
      </c>
      <c r="AB371" s="739">
        <f t="shared" ref="AB371:AC371" si="353">AA371</f>
        <v>0</v>
      </c>
      <c r="AC371" s="739">
        <f t="shared" si="353"/>
        <v>0</v>
      </c>
    </row>
    <row r="372" spans="1:29">
      <c r="A372" s="739" t="s">
        <v>2025</v>
      </c>
      <c r="B372" s="739" t="s">
        <v>2025</v>
      </c>
      <c r="C372" s="739" t="s">
        <v>2026</v>
      </c>
      <c r="D372" s="739" t="s">
        <v>2026</v>
      </c>
      <c r="E372" s="791">
        <v>394000</v>
      </c>
      <c r="G372" s="739" t="str">
        <f t="shared" si="308"/>
        <v>013801</v>
      </c>
      <c r="J372" s="739">
        <v>4000</v>
      </c>
      <c r="Q372" s="773"/>
      <c r="T372" s="775" t="str">
        <f t="shared" si="309"/>
        <v>023801</v>
      </c>
      <c r="W372" s="739" t="s">
        <v>2032</v>
      </c>
      <c r="Y372" s="775">
        <f t="shared" si="310"/>
        <v>2017</v>
      </c>
      <c r="Z372" s="775">
        <v>12</v>
      </c>
      <c r="AA372" s="739">
        <f>('LedgerLoad Assist'!BE109)*-1</f>
        <v>0</v>
      </c>
      <c r="AB372" s="739">
        <f t="shared" ref="AB372:AC372" si="354">AA372</f>
        <v>0</v>
      </c>
      <c r="AC372" s="739">
        <f t="shared" si="354"/>
        <v>0</v>
      </c>
    </row>
    <row r="373" spans="1:29">
      <c r="A373" s="739" t="s">
        <v>2025</v>
      </c>
      <c r="B373" s="739" t="s">
        <v>2025</v>
      </c>
      <c r="C373" s="739" t="s">
        <v>2026</v>
      </c>
      <c r="D373" s="739" t="s">
        <v>2026</v>
      </c>
      <c r="E373" s="791">
        <v>395000</v>
      </c>
      <c r="G373" s="739" t="str">
        <f t="shared" si="308"/>
        <v>013801</v>
      </c>
      <c r="J373" s="739">
        <v>4000</v>
      </c>
      <c r="Q373" s="773"/>
      <c r="T373" s="775" t="str">
        <f t="shared" si="309"/>
        <v>023801</v>
      </c>
      <c r="W373" s="739" t="s">
        <v>2032</v>
      </c>
      <c r="Y373" s="775">
        <f t="shared" si="310"/>
        <v>2017</v>
      </c>
      <c r="Z373" s="775">
        <v>12</v>
      </c>
      <c r="AA373" s="739">
        <f>('LedgerLoad Assist'!BE110)*-1</f>
        <v>0</v>
      </c>
      <c r="AB373" s="739">
        <f t="shared" ref="AB373:AC373" si="355">AA373</f>
        <v>0</v>
      </c>
      <c r="AC373" s="739">
        <f t="shared" si="355"/>
        <v>0</v>
      </c>
    </row>
    <row r="374" spans="1:29">
      <c r="A374" s="739" t="s">
        <v>2025</v>
      </c>
      <c r="B374" s="739" t="s">
        <v>2025</v>
      </c>
      <c r="C374" s="739" t="s">
        <v>2026</v>
      </c>
      <c r="D374" s="739" t="s">
        <v>2026</v>
      </c>
      <c r="E374" s="791">
        <v>396000</v>
      </c>
      <c r="G374" s="739" t="str">
        <f t="shared" si="308"/>
        <v>013801</v>
      </c>
      <c r="J374" s="739">
        <v>4000</v>
      </c>
      <c r="Q374" s="773"/>
      <c r="T374" s="775" t="str">
        <f t="shared" si="309"/>
        <v>023801</v>
      </c>
      <c r="W374" s="739" t="s">
        <v>2032</v>
      </c>
      <c r="Y374" s="775">
        <f t="shared" si="310"/>
        <v>2017</v>
      </c>
      <c r="Z374" s="775">
        <v>12</v>
      </c>
      <c r="AA374" s="739">
        <f>('LedgerLoad Assist'!BE111)*-1</f>
        <v>0</v>
      </c>
      <c r="AB374" s="739">
        <f t="shared" ref="AB374:AC374" si="356">AA374</f>
        <v>0</v>
      </c>
      <c r="AC374" s="739">
        <f t="shared" si="356"/>
        <v>0</v>
      </c>
    </row>
    <row r="375" spans="1:29">
      <c r="A375" s="739" t="s">
        <v>2025</v>
      </c>
      <c r="B375" s="739" t="s">
        <v>2025</v>
      </c>
      <c r="C375" s="739" t="s">
        <v>2026</v>
      </c>
      <c r="D375" s="739" t="s">
        <v>2026</v>
      </c>
      <c r="E375" s="791">
        <v>397000</v>
      </c>
      <c r="G375" s="739" t="str">
        <f t="shared" si="308"/>
        <v>013801</v>
      </c>
      <c r="J375" s="739">
        <v>4000</v>
      </c>
      <c r="Q375" s="773"/>
      <c r="T375" s="775" t="str">
        <f t="shared" si="309"/>
        <v>023801</v>
      </c>
      <c r="W375" s="739" t="s">
        <v>2032</v>
      </c>
      <c r="Y375" s="775">
        <f t="shared" si="310"/>
        <v>2017</v>
      </c>
      <c r="Z375" s="775">
        <v>12</v>
      </c>
      <c r="AA375" s="739">
        <f>('LedgerLoad Assist'!BE112)*-1</f>
        <v>0</v>
      </c>
      <c r="AB375" s="739">
        <f t="shared" ref="AB375:AC375" si="357">AA375</f>
        <v>0</v>
      </c>
      <c r="AC375" s="739">
        <f t="shared" si="357"/>
        <v>0</v>
      </c>
    </row>
    <row r="376" spans="1:29">
      <c r="A376" s="739" t="s">
        <v>2025</v>
      </c>
      <c r="B376" s="739" t="s">
        <v>2025</v>
      </c>
      <c r="C376" s="739" t="s">
        <v>2026</v>
      </c>
      <c r="D376" s="739" t="s">
        <v>2026</v>
      </c>
      <c r="E376" s="791">
        <v>410000</v>
      </c>
      <c r="G376" s="739" t="str">
        <f t="shared" si="308"/>
        <v>013801</v>
      </c>
      <c r="J376" s="739">
        <v>4000</v>
      </c>
      <c r="Q376" s="773">
        <v>100</v>
      </c>
      <c r="T376" s="775" t="str">
        <f t="shared" si="309"/>
        <v>023801</v>
      </c>
      <c r="W376" s="739" t="s">
        <v>2032</v>
      </c>
      <c r="Y376" s="775">
        <f t="shared" si="310"/>
        <v>2017</v>
      </c>
      <c r="Z376" s="775">
        <v>12</v>
      </c>
      <c r="AA376" s="739">
        <f>'LedgerLoad Assist'!BE113</f>
        <v>0</v>
      </c>
      <c r="AB376" s="739">
        <f t="shared" ref="AB376:AC376" si="358">AA376</f>
        <v>0</v>
      </c>
      <c r="AC376" s="739">
        <f t="shared" si="358"/>
        <v>0</v>
      </c>
    </row>
    <row r="377" spans="1:29">
      <c r="A377" s="739" t="s">
        <v>2025</v>
      </c>
      <c r="B377" s="739" t="s">
        <v>2025</v>
      </c>
      <c r="C377" s="739" t="s">
        <v>2026</v>
      </c>
      <c r="D377" s="739" t="s">
        <v>2026</v>
      </c>
      <c r="E377" s="791">
        <v>410000</v>
      </c>
      <c r="G377" s="739" t="str">
        <f t="shared" si="308"/>
        <v>013801</v>
      </c>
      <c r="J377" s="739">
        <v>4000</v>
      </c>
      <c r="Q377" s="773" t="s">
        <v>2606</v>
      </c>
      <c r="T377" s="775" t="str">
        <f t="shared" si="309"/>
        <v>023801</v>
      </c>
      <c r="W377" s="739" t="s">
        <v>2032</v>
      </c>
      <c r="Y377" s="775">
        <f t="shared" si="310"/>
        <v>2017</v>
      </c>
      <c r="Z377" s="775">
        <v>12</v>
      </c>
      <c r="AA377" s="739">
        <f>'LedgerLoad Assist'!BE114</f>
        <v>0</v>
      </c>
      <c r="AB377" s="739">
        <f t="shared" ref="AB377:AC377" si="359">AA377</f>
        <v>0</v>
      </c>
      <c r="AC377" s="739">
        <f t="shared" si="359"/>
        <v>0</v>
      </c>
    </row>
    <row r="378" spans="1:29">
      <c r="A378" s="739" t="s">
        <v>2025</v>
      </c>
      <c r="B378" s="739" t="s">
        <v>2025</v>
      </c>
      <c r="C378" s="739" t="s">
        <v>2026</v>
      </c>
      <c r="D378" s="739" t="s">
        <v>2026</v>
      </c>
      <c r="E378" s="791">
        <v>410000</v>
      </c>
      <c r="G378" s="739" t="str">
        <f t="shared" si="308"/>
        <v>013801</v>
      </c>
      <c r="J378" s="739">
        <v>4000</v>
      </c>
      <c r="Q378" s="773">
        <v>610</v>
      </c>
      <c r="T378" s="775" t="str">
        <f t="shared" si="309"/>
        <v>023801</v>
      </c>
      <c r="W378" s="739" t="s">
        <v>2032</v>
      </c>
      <c r="Y378" s="775">
        <f t="shared" si="310"/>
        <v>2017</v>
      </c>
      <c r="Z378" s="775">
        <v>12</v>
      </c>
      <c r="AA378" s="739">
        <f>'LedgerLoad Assist'!BE115</f>
        <v>0</v>
      </c>
      <c r="AB378" s="739">
        <f t="shared" ref="AB378:AC378" si="360">AA378</f>
        <v>0</v>
      </c>
      <c r="AC378" s="739">
        <f t="shared" si="360"/>
        <v>0</v>
      </c>
    </row>
    <row r="379" spans="1:29">
      <c r="A379" s="739" t="s">
        <v>2025</v>
      </c>
      <c r="B379" s="739" t="s">
        <v>2025</v>
      </c>
      <c r="C379" s="739" t="s">
        <v>2026</v>
      </c>
      <c r="D379" s="739" t="s">
        <v>2026</v>
      </c>
      <c r="E379" s="791">
        <v>410000</v>
      </c>
      <c r="G379" s="739" t="str">
        <f t="shared" si="308"/>
        <v>013801</v>
      </c>
      <c r="J379" s="739">
        <v>4000</v>
      </c>
      <c r="Q379" s="773">
        <v>620</v>
      </c>
      <c r="T379" s="775" t="str">
        <f t="shared" si="309"/>
        <v>023801</v>
      </c>
      <c r="W379" s="739" t="s">
        <v>2032</v>
      </c>
      <c r="Y379" s="775">
        <f t="shared" si="310"/>
        <v>2017</v>
      </c>
      <c r="Z379" s="775">
        <v>12</v>
      </c>
      <c r="AA379" s="739">
        <f>'LedgerLoad Assist'!BE116</f>
        <v>0</v>
      </c>
      <c r="AB379" s="739">
        <f t="shared" ref="AB379:AC379" si="361">AA379</f>
        <v>0</v>
      </c>
      <c r="AC379" s="739">
        <f t="shared" si="361"/>
        <v>0</v>
      </c>
    </row>
    <row r="380" spans="1:29">
      <c r="A380" s="739" t="s">
        <v>2025</v>
      </c>
      <c r="B380" s="739" t="s">
        <v>2025</v>
      </c>
      <c r="C380" s="739" t="s">
        <v>2026</v>
      </c>
      <c r="D380" s="739" t="s">
        <v>2026</v>
      </c>
      <c r="E380" s="791">
        <v>410000</v>
      </c>
      <c r="G380" s="739" t="str">
        <f t="shared" si="308"/>
        <v>013801</v>
      </c>
      <c r="J380" s="739">
        <v>4000</v>
      </c>
      <c r="Q380" s="773">
        <v>900</v>
      </c>
      <c r="T380" s="775" t="str">
        <f t="shared" si="309"/>
        <v>023801</v>
      </c>
      <c r="W380" s="739" t="s">
        <v>2032</v>
      </c>
      <c r="Y380" s="775">
        <f t="shared" si="310"/>
        <v>2017</v>
      </c>
      <c r="Z380" s="775">
        <v>12</v>
      </c>
      <c r="AA380" s="739">
        <f>'LedgerLoad Assist'!BE117</f>
        <v>0</v>
      </c>
      <c r="AB380" s="739">
        <f t="shared" ref="AB380:AC380" si="362">AA380</f>
        <v>0</v>
      </c>
      <c r="AC380" s="739">
        <f t="shared" si="362"/>
        <v>0</v>
      </c>
    </row>
    <row r="381" spans="1:29">
      <c r="A381" s="739" t="s">
        <v>2025</v>
      </c>
      <c r="B381" s="739" t="s">
        <v>2025</v>
      </c>
      <c r="C381" s="739" t="s">
        <v>2026</v>
      </c>
      <c r="D381" s="739" t="s">
        <v>2026</v>
      </c>
      <c r="E381" s="791">
        <v>420000</v>
      </c>
      <c r="G381" s="739" t="str">
        <f t="shared" si="308"/>
        <v>013801</v>
      </c>
      <c r="J381" s="739">
        <v>4000</v>
      </c>
      <c r="Q381" s="773">
        <v>100</v>
      </c>
      <c r="T381" s="775" t="str">
        <f t="shared" si="309"/>
        <v>023801</v>
      </c>
      <c r="W381" s="739" t="s">
        <v>2032</v>
      </c>
      <c r="Y381" s="775">
        <f t="shared" si="310"/>
        <v>2017</v>
      </c>
      <c r="Z381" s="775">
        <v>12</v>
      </c>
      <c r="AA381" s="739">
        <f>'LedgerLoad Assist'!BE118</f>
        <v>0</v>
      </c>
      <c r="AB381" s="739">
        <f t="shared" ref="AB381:AC381" si="363">AA381</f>
        <v>0</v>
      </c>
      <c r="AC381" s="739">
        <f t="shared" si="363"/>
        <v>0</v>
      </c>
    </row>
    <row r="382" spans="1:29">
      <c r="A382" s="739" t="s">
        <v>2025</v>
      </c>
      <c r="B382" s="739" t="s">
        <v>2025</v>
      </c>
      <c r="C382" s="739" t="s">
        <v>2026</v>
      </c>
      <c r="D382" s="739" t="s">
        <v>2026</v>
      </c>
      <c r="E382" s="791">
        <v>420000</v>
      </c>
      <c r="G382" s="739" t="str">
        <f t="shared" si="308"/>
        <v>013801</v>
      </c>
      <c r="J382" s="739">
        <v>4000</v>
      </c>
      <c r="Q382" s="773" t="s">
        <v>2606</v>
      </c>
      <c r="T382" s="775" t="str">
        <f t="shared" si="309"/>
        <v>023801</v>
      </c>
      <c r="W382" s="739" t="s">
        <v>2032</v>
      </c>
      <c r="Y382" s="775">
        <f t="shared" si="310"/>
        <v>2017</v>
      </c>
      <c r="Z382" s="775">
        <v>12</v>
      </c>
      <c r="AA382" s="739">
        <f>'LedgerLoad Assist'!BE119</f>
        <v>0</v>
      </c>
      <c r="AB382" s="739">
        <f t="shared" ref="AB382:AC382" si="364">AA382</f>
        <v>0</v>
      </c>
      <c r="AC382" s="739">
        <f t="shared" si="364"/>
        <v>0</v>
      </c>
    </row>
    <row r="383" spans="1:29">
      <c r="A383" s="739" t="s">
        <v>2025</v>
      </c>
      <c r="B383" s="739" t="s">
        <v>2025</v>
      </c>
      <c r="C383" s="739" t="s">
        <v>2026</v>
      </c>
      <c r="D383" s="739" t="s">
        <v>2026</v>
      </c>
      <c r="E383" s="791">
        <v>420000</v>
      </c>
      <c r="G383" s="739" t="str">
        <f t="shared" si="308"/>
        <v>013801</v>
      </c>
      <c r="J383" s="739">
        <v>4000</v>
      </c>
      <c r="Q383" s="773">
        <v>610</v>
      </c>
      <c r="T383" s="775" t="str">
        <f t="shared" si="309"/>
        <v>023801</v>
      </c>
      <c r="W383" s="739" t="s">
        <v>2032</v>
      </c>
      <c r="Y383" s="775">
        <f t="shared" si="310"/>
        <v>2017</v>
      </c>
      <c r="Z383" s="775">
        <v>12</v>
      </c>
      <c r="AA383" s="739">
        <f>'LedgerLoad Assist'!BE120</f>
        <v>0</v>
      </c>
      <c r="AB383" s="739">
        <f t="shared" ref="AB383:AC383" si="365">AA383</f>
        <v>0</v>
      </c>
      <c r="AC383" s="739">
        <f t="shared" si="365"/>
        <v>0</v>
      </c>
    </row>
    <row r="384" spans="1:29">
      <c r="A384" s="739" t="s">
        <v>2025</v>
      </c>
      <c r="B384" s="739" t="s">
        <v>2025</v>
      </c>
      <c r="C384" s="739" t="s">
        <v>2026</v>
      </c>
      <c r="D384" s="739" t="s">
        <v>2026</v>
      </c>
      <c r="E384" s="791">
        <v>420000</v>
      </c>
      <c r="G384" s="739" t="str">
        <f t="shared" si="308"/>
        <v>013801</v>
      </c>
      <c r="J384" s="739">
        <v>4000</v>
      </c>
      <c r="Q384" s="773">
        <v>620</v>
      </c>
      <c r="T384" s="775" t="str">
        <f t="shared" si="309"/>
        <v>023801</v>
      </c>
      <c r="W384" s="739" t="s">
        <v>2032</v>
      </c>
      <c r="Y384" s="775">
        <f t="shared" si="310"/>
        <v>2017</v>
      </c>
      <c r="Z384" s="775">
        <v>12</v>
      </c>
      <c r="AA384" s="739">
        <f>'LedgerLoad Assist'!BE121</f>
        <v>0</v>
      </c>
      <c r="AB384" s="739">
        <f t="shared" ref="AB384:AC384" si="366">AA384</f>
        <v>0</v>
      </c>
      <c r="AC384" s="739">
        <f t="shared" si="366"/>
        <v>0</v>
      </c>
    </row>
    <row r="385" spans="1:29">
      <c r="A385" s="739" t="s">
        <v>2025</v>
      </c>
      <c r="B385" s="739" t="s">
        <v>2025</v>
      </c>
      <c r="C385" s="739" t="s">
        <v>2026</v>
      </c>
      <c r="D385" s="739" t="s">
        <v>2026</v>
      </c>
      <c r="E385" s="791">
        <v>420000</v>
      </c>
      <c r="G385" s="739" t="str">
        <f t="shared" si="308"/>
        <v>013801</v>
      </c>
      <c r="J385" s="739">
        <v>4000</v>
      </c>
      <c r="Q385" s="773">
        <v>900</v>
      </c>
      <c r="T385" s="775" t="str">
        <f t="shared" si="309"/>
        <v>023801</v>
      </c>
      <c r="W385" s="739" t="s">
        <v>2032</v>
      </c>
      <c r="Y385" s="775">
        <f t="shared" si="310"/>
        <v>2017</v>
      </c>
      <c r="Z385" s="775">
        <v>12</v>
      </c>
      <c r="AA385" s="739">
        <f>'LedgerLoad Assist'!BE122</f>
        <v>0</v>
      </c>
      <c r="AB385" s="739">
        <f t="shared" ref="AB385:AC385" si="367">AA385</f>
        <v>0</v>
      </c>
      <c r="AC385" s="739">
        <f t="shared" si="367"/>
        <v>0</v>
      </c>
    </row>
    <row r="386" spans="1:29">
      <c r="A386" s="739" t="s">
        <v>2025</v>
      </c>
      <c r="B386" s="739" t="s">
        <v>2025</v>
      </c>
      <c r="C386" s="739" t="s">
        <v>2026</v>
      </c>
      <c r="D386" s="739" t="s">
        <v>2026</v>
      </c>
      <c r="E386" s="791">
        <v>430000</v>
      </c>
      <c r="G386" s="739" t="str">
        <f t="shared" si="308"/>
        <v>013801</v>
      </c>
      <c r="J386" s="739">
        <v>4000</v>
      </c>
      <c r="Q386" s="773">
        <v>100</v>
      </c>
      <c r="T386" s="775" t="str">
        <f t="shared" si="309"/>
        <v>023801</v>
      </c>
      <c r="W386" s="739" t="s">
        <v>2032</v>
      </c>
      <c r="Y386" s="775">
        <f t="shared" si="310"/>
        <v>2017</v>
      </c>
      <c r="Z386" s="775">
        <v>12</v>
      </c>
      <c r="AA386" s="739">
        <f>'LedgerLoad Assist'!BE123</f>
        <v>0</v>
      </c>
      <c r="AB386" s="739">
        <f t="shared" ref="AB386:AC386" si="368">AA386</f>
        <v>0</v>
      </c>
      <c r="AC386" s="739">
        <f t="shared" si="368"/>
        <v>0</v>
      </c>
    </row>
    <row r="387" spans="1:29">
      <c r="A387" s="739" t="s">
        <v>2025</v>
      </c>
      <c r="B387" s="739" t="s">
        <v>2025</v>
      </c>
      <c r="C387" s="739" t="s">
        <v>2026</v>
      </c>
      <c r="D387" s="739" t="s">
        <v>2026</v>
      </c>
      <c r="E387" s="791">
        <v>430000</v>
      </c>
      <c r="G387" s="739" t="str">
        <f t="shared" si="308"/>
        <v>013801</v>
      </c>
      <c r="J387" s="739">
        <v>4000</v>
      </c>
      <c r="Q387" s="773" t="s">
        <v>2606</v>
      </c>
      <c r="T387" s="775" t="str">
        <f t="shared" si="309"/>
        <v>023801</v>
      </c>
      <c r="W387" s="739" t="s">
        <v>2032</v>
      </c>
      <c r="Y387" s="775">
        <f t="shared" si="310"/>
        <v>2017</v>
      </c>
      <c r="Z387" s="775">
        <v>12</v>
      </c>
      <c r="AA387" s="739">
        <f>'LedgerLoad Assist'!BE124</f>
        <v>0</v>
      </c>
      <c r="AB387" s="739">
        <f t="shared" ref="AB387:AC387" si="369">AA387</f>
        <v>0</v>
      </c>
      <c r="AC387" s="739">
        <f t="shared" si="369"/>
        <v>0</v>
      </c>
    </row>
    <row r="388" spans="1:29">
      <c r="A388" s="739" t="s">
        <v>2025</v>
      </c>
      <c r="B388" s="739" t="s">
        <v>2025</v>
      </c>
      <c r="C388" s="739" t="s">
        <v>2026</v>
      </c>
      <c r="D388" s="739" t="s">
        <v>2026</v>
      </c>
      <c r="E388" s="791">
        <v>430000</v>
      </c>
      <c r="G388" s="739" t="str">
        <f t="shared" si="308"/>
        <v>013801</v>
      </c>
      <c r="J388" s="739">
        <v>4000</v>
      </c>
      <c r="Q388" s="773">
        <v>610</v>
      </c>
      <c r="T388" s="775" t="str">
        <f t="shared" si="309"/>
        <v>023801</v>
      </c>
      <c r="W388" s="739" t="s">
        <v>2032</v>
      </c>
      <c r="Y388" s="775">
        <f t="shared" si="310"/>
        <v>2017</v>
      </c>
      <c r="Z388" s="775">
        <v>12</v>
      </c>
      <c r="AA388" s="739">
        <f>'LedgerLoad Assist'!BE125</f>
        <v>0</v>
      </c>
      <c r="AB388" s="739">
        <f t="shared" ref="AB388:AC388" si="370">AA388</f>
        <v>0</v>
      </c>
      <c r="AC388" s="739">
        <f t="shared" si="370"/>
        <v>0</v>
      </c>
    </row>
    <row r="389" spans="1:29">
      <c r="A389" s="739" t="s">
        <v>2025</v>
      </c>
      <c r="B389" s="739" t="s">
        <v>2025</v>
      </c>
      <c r="C389" s="739" t="s">
        <v>2026</v>
      </c>
      <c r="D389" s="739" t="s">
        <v>2026</v>
      </c>
      <c r="E389" s="791">
        <v>430000</v>
      </c>
      <c r="G389" s="739" t="str">
        <f t="shared" si="308"/>
        <v>013801</v>
      </c>
      <c r="J389" s="739">
        <v>4000</v>
      </c>
      <c r="Q389" s="773">
        <v>620</v>
      </c>
      <c r="T389" s="775" t="str">
        <f t="shared" si="309"/>
        <v>023801</v>
      </c>
      <c r="W389" s="739" t="s">
        <v>2032</v>
      </c>
      <c r="Y389" s="775">
        <f t="shared" si="310"/>
        <v>2017</v>
      </c>
      <c r="Z389" s="775">
        <v>12</v>
      </c>
      <c r="AA389" s="739">
        <f>'LedgerLoad Assist'!BE126</f>
        <v>0</v>
      </c>
      <c r="AB389" s="739">
        <f t="shared" ref="AB389:AC389" si="371">AA389</f>
        <v>0</v>
      </c>
      <c r="AC389" s="739">
        <f t="shared" si="371"/>
        <v>0</v>
      </c>
    </row>
    <row r="390" spans="1:29">
      <c r="A390" s="739" t="s">
        <v>2025</v>
      </c>
      <c r="B390" s="739" t="s">
        <v>2025</v>
      </c>
      <c r="C390" s="739" t="s">
        <v>2026</v>
      </c>
      <c r="D390" s="739" t="s">
        <v>2026</v>
      </c>
      <c r="E390" s="791">
        <v>430000</v>
      </c>
      <c r="G390" s="739" t="str">
        <f t="shared" si="308"/>
        <v>013801</v>
      </c>
      <c r="J390" s="739">
        <v>4000</v>
      </c>
      <c r="Q390" s="773">
        <v>900</v>
      </c>
      <c r="T390" s="775" t="str">
        <f t="shared" si="309"/>
        <v>023801</v>
      </c>
      <c r="W390" s="739" t="s">
        <v>2032</v>
      </c>
      <c r="Y390" s="775">
        <f t="shared" si="310"/>
        <v>2017</v>
      </c>
      <c r="Z390" s="775">
        <v>12</v>
      </c>
      <c r="AA390" s="739">
        <f>'LedgerLoad Assist'!BE127</f>
        <v>0</v>
      </c>
      <c r="AB390" s="739">
        <f t="shared" ref="AB390:AC390" si="372">AA390</f>
        <v>0</v>
      </c>
      <c r="AC390" s="739">
        <f t="shared" si="372"/>
        <v>0</v>
      </c>
    </row>
    <row r="391" spans="1:29">
      <c r="A391" s="739" t="s">
        <v>2025</v>
      </c>
      <c r="B391" s="739" t="s">
        <v>2025</v>
      </c>
      <c r="C391" s="739" t="s">
        <v>2026</v>
      </c>
      <c r="D391" s="739" t="s">
        <v>2026</v>
      </c>
      <c r="E391" s="791">
        <v>440000</v>
      </c>
      <c r="G391" s="739" t="str">
        <f t="shared" si="308"/>
        <v>013801</v>
      </c>
      <c r="J391" s="739">
        <v>4000</v>
      </c>
      <c r="Q391" s="773">
        <v>100</v>
      </c>
      <c r="T391" s="775" t="str">
        <f t="shared" si="309"/>
        <v>023801</v>
      </c>
      <c r="W391" s="739" t="s">
        <v>2032</v>
      </c>
      <c r="Y391" s="775">
        <f t="shared" si="310"/>
        <v>2017</v>
      </c>
      <c r="Z391" s="775">
        <v>12</v>
      </c>
      <c r="AA391" s="739">
        <f>'LedgerLoad Assist'!BE128</f>
        <v>0</v>
      </c>
      <c r="AB391" s="739">
        <f t="shared" ref="AB391:AC391" si="373">AA391</f>
        <v>0</v>
      </c>
      <c r="AC391" s="739">
        <f t="shared" si="373"/>
        <v>0</v>
      </c>
    </row>
    <row r="392" spans="1:29">
      <c r="A392" s="739" t="s">
        <v>2025</v>
      </c>
      <c r="B392" s="739" t="s">
        <v>2025</v>
      </c>
      <c r="C392" s="739" t="s">
        <v>2026</v>
      </c>
      <c r="D392" s="739" t="s">
        <v>2026</v>
      </c>
      <c r="E392" s="791">
        <v>440000</v>
      </c>
      <c r="G392" s="739" t="str">
        <f t="shared" ref="G392:G457" si="374">$G$6</f>
        <v>013801</v>
      </c>
      <c r="J392" s="739">
        <v>4000</v>
      </c>
      <c r="Q392" s="773" t="s">
        <v>2606</v>
      </c>
      <c r="T392" s="775" t="str">
        <f t="shared" ref="T392:T457" si="375">$T$6</f>
        <v>023801</v>
      </c>
      <c r="W392" s="739" t="s">
        <v>2032</v>
      </c>
      <c r="Y392" s="775">
        <f t="shared" ref="Y392:Y457" si="376">$Y$6</f>
        <v>2017</v>
      </c>
      <c r="Z392" s="775">
        <v>12</v>
      </c>
      <c r="AA392" s="739">
        <f>'LedgerLoad Assist'!BE129</f>
        <v>0</v>
      </c>
      <c r="AB392" s="739">
        <f t="shared" ref="AB392:AC392" si="377">AA392</f>
        <v>0</v>
      </c>
      <c r="AC392" s="739">
        <f t="shared" si="377"/>
        <v>0</v>
      </c>
    </row>
    <row r="393" spans="1:29">
      <c r="A393" s="739" t="s">
        <v>2025</v>
      </c>
      <c r="B393" s="739" t="s">
        <v>2025</v>
      </c>
      <c r="C393" s="739" t="s">
        <v>2026</v>
      </c>
      <c r="D393" s="739" t="s">
        <v>2026</v>
      </c>
      <c r="E393" s="791">
        <v>440000</v>
      </c>
      <c r="G393" s="739" t="str">
        <f t="shared" si="374"/>
        <v>013801</v>
      </c>
      <c r="J393" s="739">
        <v>4000</v>
      </c>
      <c r="Q393" s="773">
        <v>610</v>
      </c>
      <c r="T393" s="775" t="str">
        <f t="shared" si="375"/>
        <v>023801</v>
      </c>
      <c r="W393" s="739" t="s">
        <v>2032</v>
      </c>
      <c r="Y393" s="775">
        <f t="shared" si="376"/>
        <v>2017</v>
      </c>
      <c r="Z393" s="775">
        <v>12</v>
      </c>
      <c r="AA393" s="739">
        <f>'LedgerLoad Assist'!BE130</f>
        <v>0</v>
      </c>
      <c r="AB393" s="739">
        <f t="shared" ref="AB393:AC393" si="378">AA393</f>
        <v>0</v>
      </c>
      <c r="AC393" s="739">
        <f t="shared" si="378"/>
        <v>0</v>
      </c>
    </row>
    <row r="394" spans="1:29">
      <c r="A394" s="739" t="s">
        <v>2025</v>
      </c>
      <c r="B394" s="739" t="s">
        <v>2025</v>
      </c>
      <c r="C394" s="739" t="s">
        <v>2026</v>
      </c>
      <c r="D394" s="739" t="s">
        <v>2026</v>
      </c>
      <c r="E394" s="791">
        <v>440000</v>
      </c>
      <c r="G394" s="739" t="str">
        <f t="shared" si="374"/>
        <v>013801</v>
      </c>
      <c r="J394" s="739">
        <v>4000</v>
      </c>
      <c r="Q394" s="773">
        <v>620</v>
      </c>
      <c r="T394" s="775" t="str">
        <f t="shared" si="375"/>
        <v>023801</v>
      </c>
      <c r="W394" s="739" t="s">
        <v>2032</v>
      </c>
      <c r="Y394" s="775">
        <f t="shared" si="376"/>
        <v>2017</v>
      </c>
      <c r="Z394" s="775">
        <v>12</v>
      </c>
      <c r="AA394" s="739">
        <f>'LedgerLoad Assist'!BE131</f>
        <v>0</v>
      </c>
      <c r="AB394" s="739">
        <f t="shared" ref="AB394:AC394" si="379">AA394</f>
        <v>0</v>
      </c>
      <c r="AC394" s="739">
        <f t="shared" si="379"/>
        <v>0</v>
      </c>
    </row>
    <row r="395" spans="1:29">
      <c r="A395" s="739" t="s">
        <v>2025</v>
      </c>
      <c r="B395" s="739" t="s">
        <v>2025</v>
      </c>
      <c r="C395" s="739" t="s">
        <v>2026</v>
      </c>
      <c r="D395" s="739" t="s">
        <v>2026</v>
      </c>
      <c r="E395" s="791">
        <v>440000</v>
      </c>
      <c r="G395" s="739" t="str">
        <f t="shared" si="374"/>
        <v>013801</v>
      </c>
      <c r="J395" s="739">
        <v>4000</v>
      </c>
      <c r="Q395" s="773">
        <v>900</v>
      </c>
      <c r="T395" s="775" t="str">
        <f t="shared" si="375"/>
        <v>023801</v>
      </c>
      <c r="W395" s="739" t="s">
        <v>2032</v>
      </c>
      <c r="Y395" s="775">
        <f t="shared" si="376"/>
        <v>2017</v>
      </c>
      <c r="Z395" s="775">
        <v>12</v>
      </c>
      <c r="AA395" s="739">
        <f>'LedgerLoad Assist'!BE132</f>
        <v>0</v>
      </c>
      <c r="AB395" s="739">
        <f t="shared" ref="AB395:AC395" si="380">AA395</f>
        <v>0</v>
      </c>
      <c r="AC395" s="739">
        <f t="shared" si="380"/>
        <v>0</v>
      </c>
    </row>
    <row r="396" spans="1:29">
      <c r="A396" s="739" t="s">
        <v>2025</v>
      </c>
      <c r="B396" s="739" t="s">
        <v>2025</v>
      </c>
      <c r="C396" s="739" t="s">
        <v>2026</v>
      </c>
      <c r="D396" s="739" t="s">
        <v>2026</v>
      </c>
      <c r="E396" s="791">
        <v>450000</v>
      </c>
      <c r="G396" s="739" t="str">
        <f t="shared" si="374"/>
        <v>013801</v>
      </c>
      <c r="J396" s="739">
        <v>4000</v>
      </c>
      <c r="Q396" s="773">
        <v>100</v>
      </c>
      <c r="T396" s="775" t="str">
        <f t="shared" si="375"/>
        <v>023801</v>
      </c>
      <c r="W396" s="739" t="s">
        <v>2032</v>
      </c>
      <c r="Y396" s="775">
        <f t="shared" si="376"/>
        <v>2017</v>
      </c>
      <c r="Z396" s="775">
        <v>12</v>
      </c>
      <c r="AA396" s="739">
        <f>'LedgerLoad Assist'!BE133</f>
        <v>0</v>
      </c>
      <c r="AB396" s="739">
        <f t="shared" ref="AB396:AC396" si="381">AA396</f>
        <v>0</v>
      </c>
      <c r="AC396" s="739">
        <f t="shared" si="381"/>
        <v>0</v>
      </c>
    </row>
    <row r="397" spans="1:29">
      <c r="A397" s="739" t="s">
        <v>2025</v>
      </c>
      <c r="B397" s="739" t="s">
        <v>2025</v>
      </c>
      <c r="C397" s="739" t="s">
        <v>2026</v>
      </c>
      <c r="D397" s="739" t="s">
        <v>2026</v>
      </c>
      <c r="E397" s="791">
        <v>450000</v>
      </c>
      <c r="G397" s="739" t="str">
        <f t="shared" si="374"/>
        <v>013801</v>
      </c>
      <c r="J397" s="739">
        <v>4000</v>
      </c>
      <c r="Q397" s="773" t="s">
        <v>2606</v>
      </c>
      <c r="T397" s="775" t="str">
        <f t="shared" si="375"/>
        <v>023801</v>
      </c>
      <c r="W397" s="739" t="s">
        <v>2032</v>
      </c>
      <c r="Y397" s="775">
        <f t="shared" si="376"/>
        <v>2017</v>
      </c>
      <c r="Z397" s="775">
        <v>12</v>
      </c>
      <c r="AA397" s="739">
        <f>'LedgerLoad Assist'!BE134</f>
        <v>0</v>
      </c>
      <c r="AB397" s="739">
        <f t="shared" ref="AB397:AC397" si="382">AA397</f>
        <v>0</v>
      </c>
      <c r="AC397" s="739">
        <f t="shared" si="382"/>
        <v>0</v>
      </c>
    </row>
    <row r="398" spans="1:29">
      <c r="A398" s="739" t="s">
        <v>2025</v>
      </c>
      <c r="B398" s="739" t="s">
        <v>2025</v>
      </c>
      <c r="C398" s="739" t="s">
        <v>2026</v>
      </c>
      <c r="D398" s="739" t="s">
        <v>2026</v>
      </c>
      <c r="E398" s="791">
        <v>450000</v>
      </c>
      <c r="G398" s="739" t="str">
        <f t="shared" si="374"/>
        <v>013801</v>
      </c>
      <c r="J398" s="739">
        <v>4000</v>
      </c>
      <c r="Q398" s="773">
        <v>610</v>
      </c>
      <c r="T398" s="775" t="str">
        <f t="shared" si="375"/>
        <v>023801</v>
      </c>
      <c r="W398" s="739" t="s">
        <v>2032</v>
      </c>
      <c r="Y398" s="775">
        <f t="shared" si="376"/>
        <v>2017</v>
      </c>
      <c r="Z398" s="775">
        <v>12</v>
      </c>
      <c r="AA398" s="739">
        <f>'LedgerLoad Assist'!BE135</f>
        <v>0</v>
      </c>
      <c r="AB398" s="739">
        <f t="shared" ref="AB398:AC398" si="383">AA398</f>
        <v>0</v>
      </c>
      <c r="AC398" s="739">
        <f t="shared" si="383"/>
        <v>0</v>
      </c>
    </row>
    <row r="399" spans="1:29">
      <c r="A399" s="739" t="s">
        <v>2025</v>
      </c>
      <c r="B399" s="739" t="s">
        <v>2025</v>
      </c>
      <c r="C399" s="739" t="s">
        <v>2026</v>
      </c>
      <c r="D399" s="739" t="s">
        <v>2026</v>
      </c>
      <c r="E399" s="791">
        <v>450000</v>
      </c>
      <c r="G399" s="739" t="str">
        <f t="shared" si="374"/>
        <v>013801</v>
      </c>
      <c r="J399" s="739">
        <v>4000</v>
      </c>
      <c r="Q399" s="773">
        <v>620</v>
      </c>
      <c r="T399" s="775" t="str">
        <f t="shared" si="375"/>
        <v>023801</v>
      </c>
      <c r="W399" s="739" t="s">
        <v>2032</v>
      </c>
      <c r="Y399" s="775">
        <f t="shared" si="376"/>
        <v>2017</v>
      </c>
      <c r="Z399" s="775">
        <v>12</v>
      </c>
      <c r="AA399" s="739">
        <f>'LedgerLoad Assist'!BE136</f>
        <v>0</v>
      </c>
      <c r="AB399" s="739">
        <f t="shared" ref="AB399:AC399" si="384">AA399</f>
        <v>0</v>
      </c>
      <c r="AC399" s="739">
        <f t="shared" si="384"/>
        <v>0</v>
      </c>
    </row>
    <row r="400" spans="1:29">
      <c r="A400" s="739" t="s">
        <v>2025</v>
      </c>
      <c r="B400" s="739" t="s">
        <v>2025</v>
      </c>
      <c r="C400" s="739" t="s">
        <v>2026</v>
      </c>
      <c r="D400" s="739" t="s">
        <v>2026</v>
      </c>
      <c r="E400" s="791">
        <v>450000</v>
      </c>
      <c r="G400" s="739" t="str">
        <f t="shared" si="374"/>
        <v>013801</v>
      </c>
      <c r="J400" s="739">
        <v>4000</v>
      </c>
      <c r="Q400" s="773">
        <v>900</v>
      </c>
      <c r="T400" s="775" t="str">
        <f t="shared" si="375"/>
        <v>023801</v>
      </c>
      <c r="W400" s="739" t="s">
        <v>2032</v>
      </c>
      <c r="Y400" s="775">
        <f t="shared" si="376"/>
        <v>2017</v>
      </c>
      <c r="Z400" s="775">
        <v>12</v>
      </c>
      <c r="AA400" s="739">
        <f>'LedgerLoad Assist'!BE137</f>
        <v>0</v>
      </c>
      <c r="AB400" s="739">
        <f t="shared" ref="AB400:AC400" si="385">AA400</f>
        <v>0</v>
      </c>
      <c r="AC400" s="739">
        <f t="shared" si="385"/>
        <v>0</v>
      </c>
    </row>
    <row r="401" spans="1:29">
      <c r="A401" s="739" t="s">
        <v>2025</v>
      </c>
      <c r="B401" s="739" t="s">
        <v>2025</v>
      </c>
      <c r="C401" s="739" t="s">
        <v>2026</v>
      </c>
      <c r="D401" s="739" t="s">
        <v>2026</v>
      </c>
      <c r="E401" s="791">
        <v>460000</v>
      </c>
      <c r="G401" s="739" t="str">
        <f t="shared" si="374"/>
        <v>013801</v>
      </c>
      <c r="J401" s="739">
        <v>4000</v>
      </c>
      <c r="Q401" s="773">
        <v>100</v>
      </c>
      <c r="T401" s="775" t="str">
        <f t="shared" si="375"/>
        <v>023801</v>
      </c>
      <c r="W401" s="739" t="s">
        <v>2032</v>
      </c>
      <c r="Y401" s="775">
        <f t="shared" si="376"/>
        <v>2017</v>
      </c>
      <c r="Z401" s="775">
        <v>12</v>
      </c>
      <c r="AA401" s="739">
        <f>'LedgerLoad Assist'!BE138</f>
        <v>0</v>
      </c>
      <c r="AB401" s="739">
        <f t="shared" ref="AB401:AC401" si="386">AA401</f>
        <v>0</v>
      </c>
      <c r="AC401" s="739">
        <f t="shared" si="386"/>
        <v>0</v>
      </c>
    </row>
    <row r="402" spans="1:29">
      <c r="A402" s="739" t="s">
        <v>2025</v>
      </c>
      <c r="B402" s="739" t="s">
        <v>2025</v>
      </c>
      <c r="C402" s="739" t="s">
        <v>2026</v>
      </c>
      <c r="D402" s="739" t="s">
        <v>2026</v>
      </c>
      <c r="E402" s="791">
        <v>460000</v>
      </c>
      <c r="G402" s="739" t="str">
        <f t="shared" si="374"/>
        <v>013801</v>
      </c>
      <c r="J402" s="739">
        <v>4000</v>
      </c>
      <c r="Q402" s="773" t="s">
        <v>2606</v>
      </c>
      <c r="T402" s="775" t="str">
        <f t="shared" si="375"/>
        <v>023801</v>
      </c>
      <c r="W402" s="739" t="s">
        <v>2032</v>
      </c>
      <c r="Y402" s="775">
        <f t="shared" si="376"/>
        <v>2017</v>
      </c>
      <c r="Z402" s="775">
        <v>12</v>
      </c>
      <c r="AA402" s="739">
        <f>'LedgerLoad Assist'!BE139</f>
        <v>0</v>
      </c>
      <c r="AB402" s="739">
        <f t="shared" ref="AB402:AC402" si="387">AA402</f>
        <v>0</v>
      </c>
      <c r="AC402" s="739">
        <f t="shared" si="387"/>
        <v>0</v>
      </c>
    </row>
    <row r="403" spans="1:29">
      <c r="A403" s="739" t="s">
        <v>2025</v>
      </c>
      <c r="B403" s="739" t="s">
        <v>2025</v>
      </c>
      <c r="C403" s="739" t="s">
        <v>2026</v>
      </c>
      <c r="D403" s="739" t="s">
        <v>2026</v>
      </c>
      <c r="E403" s="791">
        <v>460000</v>
      </c>
      <c r="G403" s="739" t="str">
        <f t="shared" si="374"/>
        <v>013801</v>
      </c>
      <c r="J403" s="739">
        <v>4000</v>
      </c>
      <c r="Q403" s="773">
        <v>610</v>
      </c>
      <c r="T403" s="775" t="str">
        <f t="shared" si="375"/>
        <v>023801</v>
      </c>
      <c r="W403" s="739" t="s">
        <v>2032</v>
      </c>
      <c r="Y403" s="775">
        <f t="shared" si="376"/>
        <v>2017</v>
      </c>
      <c r="Z403" s="775">
        <v>12</v>
      </c>
      <c r="AA403" s="739">
        <f>'LedgerLoad Assist'!BE140</f>
        <v>0</v>
      </c>
      <c r="AB403" s="739">
        <f t="shared" ref="AB403:AC403" si="388">AA403</f>
        <v>0</v>
      </c>
      <c r="AC403" s="739">
        <f t="shared" si="388"/>
        <v>0</v>
      </c>
    </row>
    <row r="404" spans="1:29">
      <c r="A404" s="739" t="s">
        <v>2025</v>
      </c>
      <c r="B404" s="739" t="s">
        <v>2025</v>
      </c>
      <c r="C404" s="739" t="s">
        <v>2026</v>
      </c>
      <c r="D404" s="739" t="s">
        <v>2026</v>
      </c>
      <c r="E404" s="791">
        <v>460000</v>
      </c>
      <c r="G404" s="739" t="str">
        <f t="shared" si="374"/>
        <v>013801</v>
      </c>
      <c r="J404" s="739">
        <v>4000</v>
      </c>
      <c r="Q404" s="773">
        <v>620</v>
      </c>
      <c r="T404" s="775" t="str">
        <f t="shared" si="375"/>
        <v>023801</v>
      </c>
      <c r="W404" s="739" t="s">
        <v>2032</v>
      </c>
      <c r="Y404" s="775">
        <f t="shared" si="376"/>
        <v>2017</v>
      </c>
      <c r="Z404" s="775">
        <v>12</v>
      </c>
      <c r="AA404" s="739">
        <f>'LedgerLoad Assist'!BE141</f>
        <v>0</v>
      </c>
      <c r="AB404" s="739">
        <f t="shared" ref="AB404:AC404" si="389">AA404</f>
        <v>0</v>
      </c>
      <c r="AC404" s="739">
        <f t="shared" si="389"/>
        <v>0</v>
      </c>
    </row>
    <row r="405" spans="1:29">
      <c r="A405" s="739" t="s">
        <v>2025</v>
      </c>
      <c r="B405" s="739" t="s">
        <v>2025</v>
      </c>
      <c r="C405" s="739" t="s">
        <v>2026</v>
      </c>
      <c r="D405" s="739" t="s">
        <v>2026</v>
      </c>
      <c r="E405" s="791">
        <v>460000</v>
      </c>
      <c r="G405" s="739" t="str">
        <f t="shared" si="374"/>
        <v>013801</v>
      </c>
      <c r="J405" s="739">
        <v>4000</v>
      </c>
      <c r="Q405" s="773">
        <v>900</v>
      </c>
      <c r="T405" s="775" t="str">
        <f t="shared" si="375"/>
        <v>023801</v>
      </c>
      <c r="W405" s="739" t="s">
        <v>2032</v>
      </c>
      <c r="Y405" s="775">
        <f t="shared" si="376"/>
        <v>2017</v>
      </c>
      <c r="Z405" s="775">
        <v>12</v>
      </c>
      <c r="AA405" s="739">
        <f>'LedgerLoad Assist'!BE142</f>
        <v>0</v>
      </c>
      <c r="AB405" s="739">
        <f t="shared" ref="AB405:AC405" si="390">AA405</f>
        <v>0</v>
      </c>
      <c r="AC405" s="739">
        <f t="shared" si="390"/>
        <v>0</v>
      </c>
    </row>
    <row r="406" spans="1:29">
      <c r="A406" s="739" t="s">
        <v>2025</v>
      </c>
      <c r="B406" s="739" t="s">
        <v>2025</v>
      </c>
      <c r="C406" s="739" t="s">
        <v>2026</v>
      </c>
      <c r="D406" s="739" t="s">
        <v>2026</v>
      </c>
      <c r="E406" s="791">
        <v>470000</v>
      </c>
      <c r="G406" s="739" t="str">
        <f t="shared" si="374"/>
        <v>013801</v>
      </c>
      <c r="J406" s="739">
        <v>4000</v>
      </c>
      <c r="Q406" s="773">
        <v>100</v>
      </c>
      <c r="T406" s="775" t="str">
        <f t="shared" si="375"/>
        <v>023801</v>
      </c>
      <c r="W406" s="739" t="s">
        <v>2032</v>
      </c>
      <c r="Y406" s="775">
        <f t="shared" si="376"/>
        <v>2017</v>
      </c>
      <c r="Z406" s="775">
        <v>12</v>
      </c>
      <c r="AA406" s="739">
        <f>'LedgerLoad Assist'!BE143</f>
        <v>0</v>
      </c>
      <c r="AB406" s="739">
        <f t="shared" ref="AB406:AC406" si="391">AA406</f>
        <v>0</v>
      </c>
      <c r="AC406" s="739">
        <f t="shared" si="391"/>
        <v>0</v>
      </c>
    </row>
    <row r="407" spans="1:29">
      <c r="A407" s="739" t="s">
        <v>2025</v>
      </c>
      <c r="B407" s="739" t="s">
        <v>2025</v>
      </c>
      <c r="C407" s="739" t="s">
        <v>2026</v>
      </c>
      <c r="D407" s="739" t="s">
        <v>2026</v>
      </c>
      <c r="E407" s="791">
        <v>470000</v>
      </c>
      <c r="G407" s="739" t="str">
        <f t="shared" si="374"/>
        <v>013801</v>
      </c>
      <c r="J407" s="739">
        <v>4000</v>
      </c>
      <c r="Q407" s="773" t="s">
        <v>2606</v>
      </c>
      <c r="T407" s="775" t="str">
        <f t="shared" si="375"/>
        <v>023801</v>
      </c>
      <c r="W407" s="739" t="s">
        <v>2032</v>
      </c>
      <c r="Y407" s="775">
        <f t="shared" si="376"/>
        <v>2017</v>
      </c>
      <c r="Z407" s="775">
        <v>12</v>
      </c>
      <c r="AA407" s="739">
        <f>'LedgerLoad Assist'!BE144</f>
        <v>0</v>
      </c>
      <c r="AB407" s="739">
        <f t="shared" ref="AB407:AC407" si="392">AA407</f>
        <v>0</v>
      </c>
      <c r="AC407" s="739">
        <f t="shared" si="392"/>
        <v>0</v>
      </c>
    </row>
    <row r="408" spans="1:29">
      <c r="A408" s="739" t="s">
        <v>2025</v>
      </c>
      <c r="B408" s="739" t="s">
        <v>2025</v>
      </c>
      <c r="C408" s="739" t="s">
        <v>2026</v>
      </c>
      <c r="D408" s="739" t="s">
        <v>2026</v>
      </c>
      <c r="E408" s="791">
        <v>470000</v>
      </c>
      <c r="G408" s="739" t="str">
        <f t="shared" si="374"/>
        <v>013801</v>
      </c>
      <c r="J408" s="739">
        <v>4000</v>
      </c>
      <c r="Q408" s="773">
        <v>610</v>
      </c>
      <c r="T408" s="775" t="str">
        <f t="shared" si="375"/>
        <v>023801</v>
      </c>
      <c r="W408" s="739" t="s">
        <v>2032</v>
      </c>
      <c r="Y408" s="775">
        <f t="shared" si="376"/>
        <v>2017</v>
      </c>
      <c r="Z408" s="775">
        <v>12</v>
      </c>
      <c r="AA408" s="739">
        <f>'LedgerLoad Assist'!BE145</f>
        <v>0</v>
      </c>
      <c r="AB408" s="739">
        <f t="shared" ref="AB408:AC408" si="393">AA408</f>
        <v>0</v>
      </c>
      <c r="AC408" s="739">
        <f t="shared" si="393"/>
        <v>0</v>
      </c>
    </row>
    <row r="409" spans="1:29">
      <c r="A409" s="739" t="s">
        <v>2025</v>
      </c>
      <c r="B409" s="739" t="s">
        <v>2025</v>
      </c>
      <c r="C409" s="739" t="s">
        <v>2026</v>
      </c>
      <c r="D409" s="739" t="s">
        <v>2026</v>
      </c>
      <c r="E409" s="791">
        <v>470000</v>
      </c>
      <c r="G409" s="739" t="str">
        <f t="shared" si="374"/>
        <v>013801</v>
      </c>
      <c r="J409" s="739">
        <v>4000</v>
      </c>
      <c r="Q409" s="773">
        <v>620</v>
      </c>
      <c r="T409" s="775" t="str">
        <f t="shared" si="375"/>
        <v>023801</v>
      </c>
      <c r="W409" s="739" t="s">
        <v>2032</v>
      </c>
      <c r="Y409" s="775">
        <f t="shared" si="376"/>
        <v>2017</v>
      </c>
      <c r="Z409" s="775">
        <v>12</v>
      </c>
      <c r="AA409" s="739">
        <f>'LedgerLoad Assist'!BE146</f>
        <v>0</v>
      </c>
      <c r="AB409" s="739">
        <f t="shared" ref="AB409:AC409" si="394">AA409</f>
        <v>0</v>
      </c>
      <c r="AC409" s="739">
        <f t="shared" si="394"/>
        <v>0</v>
      </c>
    </row>
    <row r="410" spans="1:29">
      <c r="A410" s="739" t="s">
        <v>2025</v>
      </c>
      <c r="B410" s="739" t="s">
        <v>2025</v>
      </c>
      <c r="C410" s="739" t="s">
        <v>2026</v>
      </c>
      <c r="D410" s="739" t="s">
        <v>2026</v>
      </c>
      <c r="E410" s="791">
        <v>470000</v>
      </c>
      <c r="G410" s="739" t="str">
        <f t="shared" si="374"/>
        <v>013801</v>
      </c>
      <c r="J410" s="739">
        <v>4000</v>
      </c>
      <c r="Q410" s="773">
        <v>900</v>
      </c>
      <c r="T410" s="775" t="str">
        <f t="shared" si="375"/>
        <v>023801</v>
      </c>
      <c r="W410" s="739" t="s">
        <v>2032</v>
      </c>
      <c r="Y410" s="775">
        <f t="shared" si="376"/>
        <v>2017</v>
      </c>
      <c r="Z410" s="775">
        <v>12</v>
      </c>
      <c r="AA410" s="739">
        <f>'LedgerLoad Assist'!BE147</f>
        <v>0</v>
      </c>
      <c r="AB410" s="739">
        <f t="shared" ref="AB410:AC410" si="395">AA410</f>
        <v>0</v>
      </c>
      <c r="AC410" s="739">
        <f t="shared" si="395"/>
        <v>0</v>
      </c>
    </row>
    <row r="411" spans="1:29">
      <c r="A411" s="739" t="s">
        <v>2025</v>
      </c>
      <c r="B411" s="739" t="s">
        <v>2025</v>
      </c>
      <c r="C411" s="739" t="s">
        <v>2026</v>
      </c>
      <c r="D411" s="739" t="s">
        <v>2026</v>
      </c>
      <c r="E411" s="791">
        <v>480000</v>
      </c>
      <c r="G411" s="739" t="str">
        <f t="shared" si="374"/>
        <v>013801</v>
      </c>
      <c r="J411" s="739">
        <v>4000</v>
      </c>
      <c r="Q411" s="773">
        <v>100</v>
      </c>
      <c r="T411" s="775" t="str">
        <f t="shared" si="375"/>
        <v>023801</v>
      </c>
      <c r="W411" s="739" t="s">
        <v>2032</v>
      </c>
      <c r="Y411" s="775">
        <f t="shared" si="376"/>
        <v>2017</v>
      </c>
      <c r="Z411" s="775">
        <v>12</v>
      </c>
      <c r="AA411" s="739">
        <f>'LedgerLoad Assist'!BE148</f>
        <v>0</v>
      </c>
      <c r="AB411" s="739">
        <f t="shared" ref="AB411:AC411" si="396">AA411</f>
        <v>0</v>
      </c>
      <c r="AC411" s="739">
        <f t="shared" si="396"/>
        <v>0</v>
      </c>
    </row>
    <row r="412" spans="1:29">
      <c r="A412" s="739" t="s">
        <v>2025</v>
      </c>
      <c r="B412" s="739" t="s">
        <v>2025</v>
      </c>
      <c r="C412" s="739" t="s">
        <v>2026</v>
      </c>
      <c r="D412" s="739" t="s">
        <v>2026</v>
      </c>
      <c r="E412" s="791">
        <v>480000</v>
      </c>
      <c r="G412" s="739" t="str">
        <f t="shared" si="374"/>
        <v>013801</v>
      </c>
      <c r="J412" s="739">
        <v>4000</v>
      </c>
      <c r="Q412" s="773" t="s">
        <v>2606</v>
      </c>
      <c r="T412" s="775" t="str">
        <f t="shared" si="375"/>
        <v>023801</v>
      </c>
      <c r="W412" s="739" t="s">
        <v>2032</v>
      </c>
      <c r="Y412" s="775">
        <f t="shared" si="376"/>
        <v>2017</v>
      </c>
      <c r="Z412" s="775">
        <v>12</v>
      </c>
      <c r="AA412" s="739">
        <f>'LedgerLoad Assist'!BE149</f>
        <v>0</v>
      </c>
      <c r="AB412" s="739">
        <f t="shared" ref="AB412:AC412" si="397">AA412</f>
        <v>0</v>
      </c>
      <c r="AC412" s="739">
        <f t="shared" si="397"/>
        <v>0</v>
      </c>
    </row>
    <row r="413" spans="1:29">
      <c r="A413" s="739" t="s">
        <v>2025</v>
      </c>
      <c r="B413" s="739" t="s">
        <v>2025</v>
      </c>
      <c r="C413" s="739" t="s">
        <v>2026</v>
      </c>
      <c r="D413" s="739" t="s">
        <v>2026</v>
      </c>
      <c r="E413" s="791">
        <v>480000</v>
      </c>
      <c r="G413" s="739" t="str">
        <f t="shared" si="374"/>
        <v>013801</v>
      </c>
      <c r="J413" s="739">
        <v>4000</v>
      </c>
      <c r="Q413" s="773">
        <v>610</v>
      </c>
      <c r="T413" s="775" t="str">
        <f t="shared" si="375"/>
        <v>023801</v>
      </c>
      <c r="W413" s="739" t="s">
        <v>2032</v>
      </c>
      <c r="Y413" s="775">
        <f t="shared" si="376"/>
        <v>2017</v>
      </c>
      <c r="Z413" s="775">
        <v>12</v>
      </c>
      <c r="AA413" s="739">
        <f>'LedgerLoad Assist'!BE150</f>
        <v>0</v>
      </c>
      <c r="AB413" s="739">
        <f t="shared" ref="AB413:AC413" si="398">AA413</f>
        <v>0</v>
      </c>
      <c r="AC413" s="739">
        <f t="shared" si="398"/>
        <v>0</v>
      </c>
    </row>
    <row r="414" spans="1:29">
      <c r="A414" s="739" t="s">
        <v>2025</v>
      </c>
      <c r="B414" s="739" t="s">
        <v>2025</v>
      </c>
      <c r="C414" s="739" t="s">
        <v>2026</v>
      </c>
      <c r="D414" s="739" t="s">
        <v>2026</v>
      </c>
      <c r="E414" s="791">
        <v>480000</v>
      </c>
      <c r="G414" s="739" t="str">
        <f t="shared" si="374"/>
        <v>013801</v>
      </c>
      <c r="J414" s="739">
        <v>4000</v>
      </c>
      <c r="Q414" s="773">
        <v>620</v>
      </c>
      <c r="T414" s="775" t="str">
        <f t="shared" si="375"/>
        <v>023801</v>
      </c>
      <c r="W414" s="739" t="s">
        <v>2032</v>
      </c>
      <c r="Y414" s="775">
        <f t="shared" si="376"/>
        <v>2017</v>
      </c>
      <c r="Z414" s="775">
        <v>12</v>
      </c>
      <c r="AA414" s="739">
        <f>'LedgerLoad Assist'!BE151</f>
        <v>0</v>
      </c>
      <c r="AB414" s="739">
        <f t="shared" ref="AB414:AC414" si="399">AA414</f>
        <v>0</v>
      </c>
      <c r="AC414" s="739">
        <f t="shared" si="399"/>
        <v>0</v>
      </c>
    </row>
    <row r="415" spans="1:29">
      <c r="A415" s="739" t="s">
        <v>2025</v>
      </c>
      <c r="B415" s="739" t="s">
        <v>2025</v>
      </c>
      <c r="C415" s="739" t="s">
        <v>2026</v>
      </c>
      <c r="D415" s="739" t="s">
        <v>2026</v>
      </c>
      <c r="E415" s="791">
        <v>480000</v>
      </c>
      <c r="G415" s="739" t="str">
        <f t="shared" si="374"/>
        <v>013801</v>
      </c>
      <c r="J415" s="739">
        <v>4000</v>
      </c>
      <c r="Q415" s="773">
        <v>900</v>
      </c>
      <c r="T415" s="775" t="str">
        <f t="shared" si="375"/>
        <v>023801</v>
      </c>
      <c r="W415" s="739" t="s">
        <v>2032</v>
      </c>
      <c r="Y415" s="775">
        <f t="shared" si="376"/>
        <v>2017</v>
      </c>
      <c r="Z415" s="775">
        <v>12</v>
      </c>
      <c r="AA415" s="739">
        <f>'LedgerLoad Assist'!BE152</f>
        <v>0</v>
      </c>
      <c r="AB415" s="739">
        <f t="shared" ref="AB415:AC415" si="400">AA415</f>
        <v>0</v>
      </c>
      <c r="AC415" s="739">
        <f t="shared" si="400"/>
        <v>0</v>
      </c>
    </row>
    <row r="416" spans="1:29">
      <c r="A416" s="739" t="s">
        <v>2025</v>
      </c>
      <c r="B416" s="739" t="s">
        <v>2025</v>
      </c>
      <c r="C416" s="739" t="s">
        <v>2026</v>
      </c>
      <c r="D416" s="739" t="s">
        <v>2026</v>
      </c>
      <c r="E416" s="791">
        <v>490000</v>
      </c>
      <c r="G416" s="739" t="str">
        <f t="shared" si="374"/>
        <v>013801</v>
      </c>
      <c r="J416" s="739">
        <v>4000</v>
      </c>
      <c r="Q416" s="773">
        <v>100</v>
      </c>
      <c r="T416" s="775" t="str">
        <f t="shared" si="375"/>
        <v>023801</v>
      </c>
      <c r="W416" s="739" t="s">
        <v>2032</v>
      </c>
      <c r="Y416" s="775">
        <f t="shared" si="376"/>
        <v>2017</v>
      </c>
      <c r="Z416" s="775">
        <v>12</v>
      </c>
      <c r="AA416" s="739">
        <f>'LedgerLoad Assist'!BE153</f>
        <v>0</v>
      </c>
      <c r="AB416" s="739">
        <f t="shared" ref="AB416:AC416" si="401">AA416</f>
        <v>0</v>
      </c>
      <c r="AC416" s="739">
        <f t="shared" si="401"/>
        <v>0</v>
      </c>
    </row>
    <row r="417" spans="1:29">
      <c r="A417" s="739" t="s">
        <v>2025</v>
      </c>
      <c r="B417" s="739" t="s">
        <v>2025</v>
      </c>
      <c r="C417" s="739" t="s">
        <v>2026</v>
      </c>
      <c r="D417" s="739" t="s">
        <v>2026</v>
      </c>
      <c r="E417" s="791">
        <v>490000</v>
      </c>
      <c r="G417" s="739" t="str">
        <f t="shared" si="374"/>
        <v>013801</v>
      </c>
      <c r="J417" s="739">
        <v>4000</v>
      </c>
      <c r="Q417" s="773" t="s">
        <v>2606</v>
      </c>
      <c r="T417" s="775" t="str">
        <f t="shared" si="375"/>
        <v>023801</v>
      </c>
      <c r="W417" s="739" t="s">
        <v>2032</v>
      </c>
      <c r="Y417" s="775">
        <f t="shared" si="376"/>
        <v>2017</v>
      </c>
      <c r="Z417" s="775">
        <v>12</v>
      </c>
      <c r="AA417" s="739">
        <f>'LedgerLoad Assist'!BE154</f>
        <v>0</v>
      </c>
      <c r="AB417" s="739">
        <f t="shared" ref="AB417:AC417" si="402">AA417</f>
        <v>0</v>
      </c>
      <c r="AC417" s="739">
        <f t="shared" si="402"/>
        <v>0</v>
      </c>
    </row>
    <row r="418" spans="1:29">
      <c r="A418" s="739" t="s">
        <v>2025</v>
      </c>
      <c r="B418" s="739" t="s">
        <v>2025</v>
      </c>
      <c r="C418" s="739" t="s">
        <v>2026</v>
      </c>
      <c r="D418" s="739" t="s">
        <v>2026</v>
      </c>
      <c r="E418" s="791">
        <v>490000</v>
      </c>
      <c r="G418" s="739" t="str">
        <f t="shared" si="374"/>
        <v>013801</v>
      </c>
      <c r="J418" s="739">
        <v>4000</v>
      </c>
      <c r="Q418" s="773">
        <v>610</v>
      </c>
      <c r="T418" s="775" t="str">
        <f t="shared" si="375"/>
        <v>023801</v>
      </c>
      <c r="W418" s="739" t="s">
        <v>2032</v>
      </c>
      <c r="Y418" s="775">
        <f t="shared" si="376"/>
        <v>2017</v>
      </c>
      <c r="Z418" s="775">
        <v>12</v>
      </c>
      <c r="AA418" s="739">
        <f>'LedgerLoad Assist'!BE155</f>
        <v>0</v>
      </c>
      <c r="AB418" s="739">
        <f t="shared" ref="AB418:AC418" si="403">AA418</f>
        <v>0</v>
      </c>
      <c r="AC418" s="739">
        <f t="shared" si="403"/>
        <v>0</v>
      </c>
    </row>
    <row r="419" spans="1:29">
      <c r="A419" s="739" t="s">
        <v>2025</v>
      </c>
      <c r="B419" s="739" t="s">
        <v>2025</v>
      </c>
      <c r="C419" s="739" t="s">
        <v>2026</v>
      </c>
      <c r="D419" s="739" t="s">
        <v>2026</v>
      </c>
      <c r="E419" s="791">
        <v>490000</v>
      </c>
      <c r="G419" s="739" t="str">
        <f t="shared" si="374"/>
        <v>013801</v>
      </c>
      <c r="J419" s="739">
        <v>4000</v>
      </c>
      <c r="Q419" s="773">
        <v>620</v>
      </c>
      <c r="T419" s="775" t="str">
        <f t="shared" si="375"/>
        <v>023801</v>
      </c>
      <c r="W419" s="739" t="s">
        <v>2032</v>
      </c>
      <c r="Y419" s="775">
        <f t="shared" si="376"/>
        <v>2017</v>
      </c>
      <c r="Z419" s="775">
        <v>12</v>
      </c>
      <c r="AA419" s="739">
        <f>'LedgerLoad Assist'!BE156</f>
        <v>0</v>
      </c>
      <c r="AB419" s="739">
        <f t="shared" ref="AB419:AC419" si="404">AA419</f>
        <v>0</v>
      </c>
      <c r="AC419" s="739">
        <f t="shared" si="404"/>
        <v>0</v>
      </c>
    </row>
    <row r="420" spans="1:29">
      <c r="A420" s="739" t="s">
        <v>2025</v>
      </c>
      <c r="B420" s="739" t="s">
        <v>2025</v>
      </c>
      <c r="C420" s="739" t="s">
        <v>2026</v>
      </c>
      <c r="D420" s="739" t="s">
        <v>2026</v>
      </c>
      <c r="E420" s="791">
        <v>490000</v>
      </c>
      <c r="G420" s="739" t="str">
        <f t="shared" si="374"/>
        <v>013801</v>
      </c>
      <c r="J420" s="739">
        <v>4000</v>
      </c>
      <c r="Q420" s="773">
        <v>900</v>
      </c>
      <c r="T420" s="775" t="str">
        <f t="shared" si="375"/>
        <v>023801</v>
      </c>
      <c r="W420" s="739" t="s">
        <v>2032</v>
      </c>
      <c r="Y420" s="775">
        <f t="shared" si="376"/>
        <v>2017</v>
      </c>
      <c r="Z420" s="775">
        <v>12</v>
      </c>
      <c r="AA420" s="739">
        <f>'LedgerLoad Assist'!BE157</f>
        <v>0</v>
      </c>
      <c r="AB420" s="739">
        <f t="shared" ref="AB420:AC420" si="405">AA420</f>
        <v>0</v>
      </c>
      <c r="AC420" s="739">
        <f t="shared" si="405"/>
        <v>0</v>
      </c>
    </row>
    <row r="421" spans="1:29">
      <c r="A421" s="739" t="s">
        <v>2025</v>
      </c>
      <c r="B421" s="739" t="s">
        <v>2025</v>
      </c>
      <c r="C421" s="739" t="s">
        <v>2026</v>
      </c>
      <c r="D421" s="739" t="s">
        <v>2026</v>
      </c>
      <c r="E421" s="791">
        <v>500000</v>
      </c>
      <c r="G421" s="739" t="str">
        <f t="shared" si="374"/>
        <v>013801</v>
      </c>
      <c r="J421" s="739">
        <v>4000</v>
      </c>
      <c r="Q421" s="773">
        <v>100</v>
      </c>
      <c r="T421" s="775" t="str">
        <f t="shared" si="375"/>
        <v>023801</v>
      </c>
      <c r="W421" s="739" t="s">
        <v>2032</v>
      </c>
      <c r="Y421" s="775">
        <f t="shared" si="376"/>
        <v>2017</v>
      </c>
      <c r="Z421" s="775">
        <v>12</v>
      </c>
      <c r="AA421" s="739">
        <f>'LedgerLoad Assist'!BE158</f>
        <v>0</v>
      </c>
      <c r="AB421" s="739">
        <f t="shared" ref="AB421:AC421" si="406">AA421</f>
        <v>0</v>
      </c>
      <c r="AC421" s="739">
        <f t="shared" si="406"/>
        <v>0</v>
      </c>
    </row>
    <row r="422" spans="1:29">
      <c r="A422" s="739" t="s">
        <v>2025</v>
      </c>
      <c r="B422" s="739" t="s">
        <v>2025</v>
      </c>
      <c r="C422" s="739" t="s">
        <v>2026</v>
      </c>
      <c r="D422" s="739" t="s">
        <v>2026</v>
      </c>
      <c r="E422" s="791">
        <v>500000</v>
      </c>
      <c r="G422" s="739" t="str">
        <f t="shared" si="374"/>
        <v>013801</v>
      </c>
      <c r="J422" s="739">
        <v>4000</v>
      </c>
      <c r="Q422" s="773" t="s">
        <v>2606</v>
      </c>
      <c r="T422" s="775" t="str">
        <f t="shared" si="375"/>
        <v>023801</v>
      </c>
      <c r="W422" s="739" t="s">
        <v>2032</v>
      </c>
      <c r="Y422" s="775">
        <f t="shared" si="376"/>
        <v>2017</v>
      </c>
      <c r="Z422" s="775">
        <v>12</v>
      </c>
      <c r="AA422" s="739">
        <f>'LedgerLoad Assist'!BE159</f>
        <v>0</v>
      </c>
      <c r="AB422" s="739">
        <f t="shared" ref="AB422:AC422" si="407">AA422</f>
        <v>0</v>
      </c>
      <c r="AC422" s="739">
        <f t="shared" si="407"/>
        <v>0</v>
      </c>
    </row>
    <row r="423" spans="1:29">
      <c r="A423" s="739" t="s">
        <v>2025</v>
      </c>
      <c r="B423" s="739" t="s">
        <v>2025</v>
      </c>
      <c r="C423" s="739" t="s">
        <v>2026</v>
      </c>
      <c r="D423" s="739" t="s">
        <v>2026</v>
      </c>
      <c r="E423" s="791">
        <v>500000</v>
      </c>
      <c r="G423" s="739" t="str">
        <f t="shared" si="374"/>
        <v>013801</v>
      </c>
      <c r="J423" s="739">
        <v>4000</v>
      </c>
      <c r="Q423" s="773">
        <v>610</v>
      </c>
      <c r="T423" s="775" t="str">
        <f t="shared" si="375"/>
        <v>023801</v>
      </c>
      <c r="W423" s="739" t="s">
        <v>2032</v>
      </c>
      <c r="Y423" s="775">
        <f t="shared" si="376"/>
        <v>2017</v>
      </c>
      <c r="Z423" s="775">
        <v>12</v>
      </c>
      <c r="AA423" s="739">
        <f>'LedgerLoad Assist'!BE160</f>
        <v>0</v>
      </c>
      <c r="AB423" s="739">
        <f t="shared" ref="AB423:AC423" si="408">AA423</f>
        <v>0</v>
      </c>
      <c r="AC423" s="739">
        <f t="shared" si="408"/>
        <v>0</v>
      </c>
    </row>
    <row r="424" spans="1:29">
      <c r="A424" s="739" t="s">
        <v>2025</v>
      </c>
      <c r="B424" s="739" t="s">
        <v>2025</v>
      </c>
      <c r="C424" s="739" t="s">
        <v>2026</v>
      </c>
      <c r="D424" s="739" t="s">
        <v>2026</v>
      </c>
      <c r="E424" s="791">
        <v>500000</v>
      </c>
      <c r="G424" s="739" t="str">
        <f t="shared" si="374"/>
        <v>013801</v>
      </c>
      <c r="J424" s="739">
        <v>4000</v>
      </c>
      <c r="Q424" s="773">
        <v>620</v>
      </c>
      <c r="T424" s="775" t="str">
        <f t="shared" si="375"/>
        <v>023801</v>
      </c>
      <c r="W424" s="739" t="s">
        <v>2032</v>
      </c>
      <c r="Y424" s="775">
        <f t="shared" si="376"/>
        <v>2017</v>
      </c>
      <c r="Z424" s="775">
        <v>12</v>
      </c>
      <c r="AA424" s="739">
        <f>'LedgerLoad Assist'!BE161</f>
        <v>0</v>
      </c>
      <c r="AB424" s="739">
        <f t="shared" ref="AB424:AC424" si="409">AA424</f>
        <v>0</v>
      </c>
      <c r="AC424" s="739">
        <f t="shared" si="409"/>
        <v>0</v>
      </c>
    </row>
    <row r="425" spans="1:29">
      <c r="A425" s="739" t="s">
        <v>2025</v>
      </c>
      <c r="B425" s="739" t="s">
        <v>2025</v>
      </c>
      <c r="C425" s="739" t="s">
        <v>2026</v>
      </c>
      <c r="D425" s="739" t="s">
        <v>2026</v>
      </c>
      <c r="E425" s="791">
        <v>500000</v>
      </c>
      <c r="G425" s="739" t="str">
        <f t="shared" si="374"/>
        <v>013801</v>
      </c>
      <c r="J425" s="739">
        <v>4000</v>
      </c>
      <c r="Q425" s="773">
        <v>900</v>
      </c>
      <c r="T425" s="775" t="str">
        <f t="shared" si="375"/>
        <v>023801</v>
      </c>
      <c r="W425" s="739" t="s">
        <v>2032</v>
      </c>
      <c r="Y425" s="775">
        <f t="shared" si="376"/>
        <v>2017</v>
      </c>
      <c r="Z425" s="775">
        <v>12</v>
      </c>
      <c r="AA425" s="739">
        <f>'LedgerLoad Assist'!BE162</f>
        <v>0</v>
      </c>
      <c r="AB425" s="739">
        <f t="shared" ref="AB425:AC425" si="410">AA425</f>
        <v>0</v>
      </c>
      <c r="AC425" s="739">
        <f t="shared" si="410"/>
        <v>0</v>
      </c>
    </row>
    <row r="426" spans="1:29">
      <c r="A426" s="739" t="s">
        <v>2025</v>
      </c>
      <c r="B426" s="739" t="s">
        <v>2025</v>
      </c>
      <c r="C426" s="739" t="s">
        <v>2026</v>
      </c>
      <c r="D426" s="739" t="s">
        <v>2026</v>
      </c>
      <c r="E426" s="791">
        <v>510000</v>
      </c>
      <c r="G426" s="739" t="str">
        <f t="shared" si="374"/>
        <v>013801</v>
      </c>
      <c r="J426" s="739">
        <v>4000</v>
      </c>
      <c r="Q426" s="773">
        <v>100</v>
      </c>
      <c r="T426" s="775" t="str">
        <f t="shared" si="375"/>
        <v>023801</v>
      </c>
      <c r="W426" s="739" t="s">
        <v>2032</v>
      </c>
      <c r="Y426" s="775">
        <f t="shared" si="376"/>
        <v>2017</v>
      </c>
      <c r="Z426" s="775">
        <v>12</v>
      </c>
      <c r="AB426" s="739">
        <f t="shared" ref="AB426:AC426" si="411">AA426</f>
        <v>0</v>
      </c>
      <c r="AC426" s="739">
        <f t="shared" si="411"/>
        <v>0</v>
      </c>
    </row>
    <row r="427" spans="1:29">
      <c r="A427" s="739" t="s">
        <v>2025</v>
      </c>
      <c r="B427" s="739" t="s">
        <v>2025</v>
      </c>
      <c r="C427" s="739" t="s">
        <v>2026</v>
      </c>
      <c r="D427" s="739" t="s">
        <v>2026</v>
      </c>
      <c r="E427" s="791">
        <v>510000</v>
      </c>
      <c r="G427" s="739" t="str">
        <f t="shared" si="374"/>
        <v>013801</v>
      </c>
      <c r="J427" s="739">
        <v>4000</v>
      </c>
      <c r="Q427" s="773" t="s">
        <v>2606</v>
      </c>
      <c r="T427" s="775" t="str">
        <f t="shared" si="375"/>
        <v>023801</v>
      </c>
      <c r="W427" s="739" t="s">
        <v>2032</v>
      </c>
      <c r="Y427" s="775">
        <f t="shared" si="376"/>
        <v>2017</v>
      </c>
      <c r="Z427" s="775">
        <v>12</v>
      </c>
      <c r="AA427" s="739">
        <f>'OPER.-NONMAJOR CAP. PROJ(73-74)'!AW32+'LedgerLoad Assist'!BE164</f>
        <v>0</v>
      </c>
      <c r="AB427" s="739">
        <f t="shared" ref="AB427:AC427" si="412">AA427</f>
        <v>0</v>
      </c>
      <c r="AC427" s="739">
        <f t="shared" si="412"/>
        <v>0</v>
      </c>
    </row>
    <row r="428" spans="1:29">
      <c r="A428" s="739" t="s">
        <v>2025</v>
      </c>
      <c r="B428" s="739" t="s">
        <v>2025</v>
      </c>
      <c r="C428" s="739" t="s">
        <v>2026</v>
      </c>
      <c r="D428" s="739" t="s">
        <v>2026</v>
      </c>
      <c r="E428" s="791">
        <v>510000</v>
      </c>
      <c r="G428" s="739" t="str">
        <f t="shared" si="374"/>
        <v>013801</v>
      </c>
      <c r="J428" s="739">
        <v>4000</v>
      </c>
      <c r="Q428" s="773">
        <v>610</v>
      </c>
      <c r="T428" s="775" t="str">
        <f t="shared" si="375"/>
        <v>023801</v>
      </c>
      <c r="W428" s="739" t="s">
        <v>2032</v>
      </c>
      <c r="Y428" s="775">
        <f t="shared" si="376"/>
        <v>2017</v>
      </c>
      <c r="Z428" s="775">
        <v>12</v>
      </c>
      <c r="AB428" s="739">
        <f t="shared" ref="AB428:AC428" si="413">AA428</f>
        <v>0</v>
      </c>
      <c r="AC428" s="739">
        <f t="shared" si="413"/>
        <v>0</v>
      </c>
    </row>
    <row r="429" spans="1:29">
      <c r="A429" s="739" t="s">
        <v>2025</v>
      </c>
      <c r="B429" s="739" t="s">
        <v>2025</v>
      </c>
      <c r="C429" s="739" t="s">
        <v>2026</v>
      </c>
      <c r="D429" s="739" t="s">
        <v>2026</v>
      </c>
      <c r="E429" s="791">
        <v>510000</v>
      </c>
      <c r="G429" s="739" t="str">
        <f t="shared" si="374"/>
        <v>013801</v>
      </c>
      <c r="J429" s="739">
        <v>4000</v>
      </c>
      <c r="Q429" s="773">
        <v>620</v>
      </c>
      <c r="T429" s="775" t="str">
        <f t="shared" si="375"/>
        <v>023801</v>
      </c>
      <c r="W429" s="739" t="s">
        <v>2032</v>
      </c>
      <c r="Y429" s="775">
        <f t="shared" si="376"/>
        <v>2017</v>
      </c>
      <c r="Z429" s="775">
        <v>12</v>
      </c>
      <c r="AB429" s="739">
        <f t="shared" ref="AB429:AC429" si="414">AA429</f>
        <v>0</v>
      </c>
      <c r="AC429" s="739">
        <f t="shared" si="414"/>
        <v>0</v>
      </c>
    </row>
    <row r="430" spans="1:29">
      <c r="A430" s="739" t="s">
        <v>2025</v>
      </c>
      <c r="B430" s="739" t="s">
        <v>2025</v>
      </c>
      <c r="C430" s="739" t="s">
        <v>2026</v>
      </c>
      <c r="D430" s="739" t="s">
        <v>2026</v>
      </c>
      <c r="E430" s="791">
        <v>510000</v>
      </c>
      <c r="G430" s="739" t="str">
        <f t="shared" si="374"/>
        <v>013801</v>
      </c>
      <c r="J430" s="739">
        <v>4000</v>
      </c>
      <c r="Q430" s="773">
        <v>900</v>
      </c>
      <c r="T430" s="775" t="str">
        <f t="shared" si="375"/>
        <v>023801</v>
      </c>
      <c r="W430" s="739" t="s">
        <v>2032</v>
      </c>
      <c r="Y430" s="775">
        <f t="shared" si="376"/>
        <v>2017</v>
      </c>
      <c r="Z430" s="775">
        <v>12</v>
      </c>
      <c r="AA430" s="739">
        <f>'OPER.-NONMAJOR CAP. PROJ(73-74)'!AW33+'LedgerLoad Assist'!BE167</f>
        <v>0</v>
      </c>
      <c r="AB430" s="739">
        <f t="shared" ref="AB430:AC430" si="415">AA430</f>
        <v>0</v>
      </c>
      <c r="AC430" s="739">
        <f t="shared" si="415"/>
        <v>0</v>
      </c>
    </row>
    <row r="431" spans="1:29">
      <c r="A431" s="739" t="s">
        <v>2025</v>
      </c>
      <c r="B431" s="739" t="s">
        <v>2025</v>
      </c>
      <c r="C431" s="739" t="s">
        <v>2026</v>
      </c>
      <c r="D431" s="739" t="s">
        <v>2026</v>
      </c>
      <c r="E431" s="791">
        <v>520000</v>
      </c>
      <c r="G431" s="739" t="str">
        <f t="shared" si="374"/>
        <v>013801</v>
      </c>
      <c r="J431" s="739">
        <v>4000</v>
      </c>
      <c r="Q431" s="773">
        <v>100</v>
      </c>
      <c r="T431" s="775" t="str">
        <f t="shared" si="375"/>
        <v>023801</v>
      </c>
      <c r="W431" s="739" t="s">
        <v>2032</v>
      </c>
      <c r="Y431" s="775">
        <f t="shared" si="376"/>
        <v>2017</v>
      </c>
      <c r="Z431" s="775">
        <v>12</v>
      </c>
      <c r="AB431" s="739">
        <f t="shared" ref="AB431:AC431" si="416">AA431</f>
        <v>0</v>
      </c>
      <c r="AC431" s="739">
        <f t="shared" si="416"/>
        <v>0</v>
      </c>
    </row>
    <row r="432" spans="1:29">
      <c r="A432" s="739" t="s">
        <v>2025</v>
      </c>
      <c r="B432" s="739" t="s">
        <v>2025</v>
      </c>
      <c r="C432" s="739" t="s">
        <v>2026</v>
      </c>
      <c r="D432" s="739" t="s">
        <v>2026</v>
      </c>
      <c r="E432" s="791">
        <v>520000</v>
      </c>
      <c r="G432" s="739" t="str">
        <f t="shared" si="374"/>
        <v>013801</v>
      </c>
      <c r="J432" s="739">
        <v>4000</v>
      </c>
      <c r="Q432" s="773" t="s">
        <v>2606</v>
      </c>
      <c r="T432" s="775" t="str">
        <f t="shared" si="375"/>
        <v>023801</v>
      </c>
      <c r="W432" s="739" t="s">
        <v>2032</v>
      </c>
      <c r="Y432" s="775">
        <f t="shared" si="376"/>
        <v>2017</v>
      </c>
      <c r="Z432" s="775">
        <v>12</v>
      </c>
      <c r="AA432" s="739">
        <f>-'OPER.-NONMAJOR CAP. PROJ(73-74)'!AW42-'OPER.-NONMAJOR CAP. PROJ(73-74)'!AW45-'OPER.-NONMAJOR CAP. PROJ(73-74)'!AW46-'LedgerLoad Assist'!BE169</f>
        <v>0</v>
      </c>
      <c r="AB432" s="739">
        <f t="shared" ref="AB432:AC432" si="417">AA432</f>
        <v>0</v>
      </c>
      <c r="AC432" s="739">
        <f t="shared" si="417"/>
        <v>0</v>
      </c>
    </row>
    <row r="433" spans="1:29">
      <c r="A433" s="739" t="s">
        <v>2025</v>
      </c>
      <c r="B433" s="739" t="s">
        <v>2025</v>
      </c>
      <c r="C433" s="739" t="s">
        <v>2026</v>
      </c>
      <c r="D433" s="739" t="s">
        <v>2026</v>
      </c>
      <c r="E433" s="791">
        <v>520000</v>
      </c>
      <c r="G433" s="739" t="str">
        <f t="shared" si="374"/>
        <v>013801</v>
      </c>
      <c r="J433" s="739">
        <v>4000</v>
      </c>
      <c r="Q433" s="773">
        <v>610</v>
      </c>
      <c r="T433" s="775" t="str">
        <f t="shared" si="375"/>
        <v>023801</v>
      </c>
      <c r="W433" s="739" t="s">
        <v>2032</v>
      </c>
      <c r="Y433" s="775">
        <f t="shared" si="376"/>
        <v>2017</v>
      </c>
      <c r="Z433" s="775">
        <v>12</v>
      </c>
      <c r="AB433" s="739">
        <f t="shared" ref="AB433:AC433" si="418">AA433</f>
        <v>0</v>
      </c>
      <c r="AC433" s="739">
        <f t="shared" si="418"/>
        <v>0</v>
      </c>
    </row>
    <row r="434" spans="1:29">
      <c r="A434" s="739" t="s">
        <v>2025</v>
      </c>
      <c r="B434" s="739" t="s">
        <v>2025</v>
      </c>
      <c r="C434" s="739" t="s">
        <v>2026</v>
      </c>
      <c r="D434" s="739" t="s">
        <v>2026</v>
      </c>
      <c r="E434" s="791">
        <v>520000</v>
      </c>
      <c r="G434" s="739" t="str">
        <f t="shared" si="374"/>
        <v>013801</v>
      </c>
      <c r="J434" s="739">
        <v>4000</v>
      </c>
      <c r="Q434" s="773">
        <v>620</v>
      </c>
      <c r="T434" s="775" t="str">
        <f t="shared" si="375"/>
        <v>023801</v>
      </c>
      <c r="W434" s="739" t="s">
        <v>2032</v>
      </c>
      <c r="Y434" s="775">
        <f t="shared" si="376"/>
        <v>2017</v>
      </c>
      <c r="Z434" s="775">
        <v>12</v>
      </c>
      <c r="AB434" s="739">
        <f t="shared" ref="AB434:AC434" si="419">AA434</f>
        <v>0</v>
      </c>
      <c r="AC434" s="739">
        <f t="shared" si="419"/>
        <v>0</v>
      </c>
    </row>
    <row r="435" spans="1:29">
      <c r="A435" s="739" t="s">
        <v>2025</v>
      </c>
      <c r="B435" s="739" t="s">
        <v>2025</v>
      </c>
      <c r="C435" s="739" t="s">
        <v>2026</v>
      </c>
      <c r="D435" s="739" t="s">
        <v>2026</v>
      </c>
      <c r="E435" s="791">
        <v>520000</v>
      </c>
      <c r="G435" s="739" t="str">
        <f t="shared" si="374"/>
        <v>013801</v>
      </c>
      <c r="J435" s="739">
        <v>4000</v>
      </c>
      <c r="Q435" s="773">
        <v>900</v>
      </c>
      <c r="T435" s="775" t="str">
        <f t="shared" si="375"/>
        <v>023801</v>
      </c>
      <c r="W435" s="739" t="s">
        <v>2032</v>
      </c>
      <c r="Y435" s="775">
        <f t="shared" si="376"/>
        <v>2017</v>
      </c>
      <c r="Z435" s="775">
        <v>12</v>
      </c>
      <c r="AB435" s="739">
        <f t="shared" ref="AB435:AC435" si="420">AA435</f>
        <v>0</v>
      </c>
      <c r="AC435" s="739">
        <f t="shared" si="420"/>
        <v>0</v>
      </c>
    </row>
    <row r="436" spans="1:29">
      <c r="A436" s="739" t="s">
        <v>2025</v>
      </c>
      <c r="B436" s="739" t="s">
        <v>2025</v>
      </c>
      <c r="C436" s="739" t="s">
        <v>2026</v>
      </c>
      <c r="D436" s="739" t="s">
        <v>2026</v>
      </c>
      <c r="E436" s="791">
        <v>100000</v>
      </c>
      <c r="G436" s="739" t="str">
        <f t="shared" si="374"/>
        <v>013801</v>
      </c>
      <c r="J436" s="739">
        <v>5000</v>
      </c>
      <c r="Q436" s="773"/>
      <c r="T436" s="775" t="str">
        <f t="shared" si="375"/>
        <v>023801</v>
      </c>
      <c r="W436" s="739" t="s">
        <v>2032</v>
      </c>
      <c r="Y436" s="775">
        <f t="shared" si="376"/>
        <v>2017</v>
      </c>
      <c r="Z436" s="775">
        <v>12</v>
      </c>
      <c r="AA436" s="739">
        <f>'NET POSITION-PROPRIETARY(18)'!H13+'NET POSITION-PROPRIETARY(18)'!H14+'NET POSITION-PROPRIETARY(18)'!H15+'NET POSITION-PROPRIETARY(18)'!H25+'NET POSITION-PROPRIETARY(18)'!H26</f>
        <v>334310.7</v>
      </c>
      <c r="AB436" s="739">
        <f t="shared" ref="AB436:AC436" si="421">AA436</f>
        <v>334310.7</v>
      </c>
      <c r="AC436" s="739">
        <f t="shared" si="421"/>
        <v>334310.7</v>
      </c>
    </row>
    <row r="437" spans="1:29">
      <c r="A437" s="739" t="s">
        <v>2025</v>
      </c>
      <c r="B437" s="739" t="s">
        <v>2025</v>
      </c>
      <c r="C437" s="739" t="s">
        <v>2026</v>
      </c>
      <c r="D437" s="739" t="s">
        <v>2026</v>
      </c>
      <c r="E437" s="791">
        <v>110000</v>
      </c>
      <c r="G437" s="739" t="str">
        <f t="shared" si="374"/>
        <v>013801</v>
      </c>
      <c r="J437" s="739">
        <v>5000</v>
      </c>
      <c r="Q437" s="773"/>
      <c r="T437" s="775" t="str">
        <f t="shared" si="375"/>
        <v>023801</v>
      </c>
      <c r="W437" s="739" t="s">
        <v>2032</v>
      </c>
      <c r="Y437" s="775">
        <f t="shared" si="376"/>
        <v>2017</v>
      </c>
      <c r="Z437" s="775">
        <v>12</v>
      </c>
      <c r="AA437" s="739">
        <f>'NET POSITION-PROPRIETARY(18)'!H16</f>
        <v>0</v>
      </c>
      <c r="AB437" s="739">
        <f t="shared" ref="AB437:AC437" si="422">AA437</f>
        <v>0</v>
      </c>
      <c r="AC437" s="739">
        <f t="shared" si="422"/>
        <v>0</v>
      </c>
    </row>
    <row r="438" spans="1:29">
      <c r="A438" s="739" t="s">
        <v>2025</v>
      </c>
      <c r="B438" s="739" t="s">
        <v>2025</v>
      </c>
      <c r="C438" s="739" t="s">
        <v>2026</v>
      </c>
      <c r="D438" s="739" t="s">
        <v>2026</v>
      </c>
      <c r="E438" s="791">
        <v>120000</v>
      </c>
      <c r="G438" s="739" t="str">
        <f t="shared" si="374"/>
        <v>013801</v>
      </c>
      <c r="J438" s="739">
        <v>5000</v>
      </c>
      <c r="Q438" s="773"/>
      <c r="T438" s="775" t="str">
        <f t="shared" si="375"/>
        <v>023801</v>
      </c>
      <c r="W438" s="739" t="s">
        <v>2032</v>
      </c>
      <c r="Y438" s="775">
        <f t="shared" si="376"/>
        <v>2017</v>
      </c>
      <c r="Z438" s="775">
        <v>12</v>
      </c>
      <c r="AA438" s="739">
        <f>'NET POSITION-PROPRIETARY(18)'!H17</f>
        <v>36156.79</v>
      </c>
      <c r="AB438" s="739">
        <f t="shared" ref="AB438:AC438" si="423">AA438</f>
        <v>36156.79</v>
      </c>
      <c r="AC438" s="739">
        <f t="shared" si="423"/>
        <v>36156.79</v>
      </c>
    </row>
    <row r="439" spans="1:29">
      <c r="A439" s="739" t="s">
        <v>2025</v>
      </c>
      <c r="B439" s="739" t="s">
        <v>2025</v>
      </c>
      <c r="C439" s="739" t="s">
        <v>2026</v>
      </c>
      <c r="D439" s="739" t="s">
        <v>2026</v>
      </c>
      <c r="E439" s="791">
        <v>130000</v>
      </c>
      <c r="G439" s="739" t="str">
        <f t="shared" si="374"/>
        <v>013801</v>
      </c>
      <c r="J439" s="739">
        <v>5000</v>
      </c>
      <c r="Q439" s="773"/>
      <c r="T439" s="775" t="str">
        <f t="shared" si="375"/>
        <v>023801</v>
      </c>
      <c r="W439" s="739" t="s">
        <v>2032</v>
      </c>
      <c r="Y439" s="775">
        <f t="shared" si="376"/>
        <v>2017</v>
      </c>
      <c r="Z439" s="775">
        <v>12</v>
      </c>
      <c r="AA439" s="739">
        <f>'NET POSITION-PROPRIETARY(18)'!H18+'NET POSITION-PROPRIETARY(18)'!H19+'NET POSITION-PROPRIETARY(18)'!H27</f>
        <v>0</v>
      </c>
      <c r="AB439" s="739">
        <f t="shared" ref="AB439:AC439" si="424">AA439</f>
        <v>0</v>
      </c>
      <c r="AC439" s="739">
        <f t="shared" si="424"/>
        <v>0</v>
      </c>
    </row>
    <row r="440" spans="1:29">
      <c r="A440" s="739" t="s">
        <v>2025</v>
      </c>
      <c r="B440" s="739" t="s">
        <v>2025</v>
      </c>
      <c r="C440" s="739" t="s">
        <v>2026</v>
      </c>
      <c r="D440" s="739" t="s">
        <v>2026</v>
      </c>
      <c r="E440" s="791">
        <v>140000</v>
      </c>
      <c r="G440" s="739" t="str">
        <f t="shared" si="374"/>
        <v>013801</v>
      </c>
      <c r="J440" s="739">
        <v>5000</v>
      </c>
      <c r="Q440" s="773"/>
      <c r="T440" s="775" t="str">
        <f t="shared" si="375"/>
        <v>023801</v>
      </c>
      <c r="W440" s="739" t="s">
        <v>2032</v>
      </c>
      <c r="Y440" s="775">
        <f t="shared" si="376"/>
        <v>2017</v>
      </c>
      <c r="Z440" s="775">
        <v>12</v>
      </c>
      <c r="AA440" s="739">
        <f>'NET POSITION-PROPRIETARY(18)'!H20</f>
        <v>0</v>
      </c>
      <c r="AB440" s="739">
        <f t="shared" ref="AB440:AC440" si="425">AA440</f>
        <v>0</v>
      </c>
      <c r="AC440" s="739">
        <f t="shared" si="425"/>
        <v>0</v>
      </c>
    </row>
    <row r="441" spans="1:29">
      <c r="A441" s="739" t="s">
        <v>2025</v>
      </c>
      <c r="B441" s="739" t="s">
        <v>2025</v>
      </c>
      <c r="C441" s="739" t="s">
        <v>2026</v>
      </c>
      <c r="D441" s="739" t="s">
        <v>2026</v>
      </c>
      <c r="E441" s="791">
        <v>150000</v>
      </c>
      <c r="G441" s="739" t="str">
        <f t="shared" si="374"/>
        <v>013801</v>
      </c>
      <c r="J441" s="739">
        <v>5000</v>
      </c>
      <c r="Q441" s="773"/>
      <c r="T441" s="775" t="str">
        <f t="shared" si="375"/>
        <v>023801</v>
      </c>
      <c r="W441" s="739" t="s">
        <v>2032</v>
      </c>
      <c r="Y441" s="775">
        <f t="shared" si="376"/>
        <v>2017</v>
      </c>
      <c r="Z441" s="775">
        <v>12</v>
      </c>
      <c r="AA441" s="739">
        <f>'NET POSITION-PROPRIETARY(18)'!H21</f>
        <v>0</v>
      </c>
      <c r="AB441" s="739">
        <f t="shared" ref="AB441:AC441" si="426">AA441</f>
        <v>0</v>
      </c>
      <c r="AC441" s="739">
        <f t="shared" si="426"/>
        <v>0</v>
      </c>
    </row>
    <row r="442" spans="1:29">
      <c r="A442" s="739" t="s">
        <v>2025</v>
      </c>
      <c r="B442" s="739" t="s">
        <v>2025</v>
      </c>
      <c r="C442" s="739" t="s">
        <v>2026</v>
      </c>
      <c r="D442" s="739" t="s">
        <v>2026</v>
      </c>
      <c r="E442" s="791">
        <v>160000</v>
      </c>
      <c r="G442" s="739" t="str">
        <f t="shared" si="374"/>
        <v>013801</v>
      </c>
      <c r="J442" s="739">
        <v>5000</v>
      </c>
      <c r="Q442" s="773"/>
      <c r="T442" s="775" t="str">
        <f t="shared" si="375"/>
        <v>023801</v>
      </c>
      <c r="W442" s="739" t="s">
        <v>2032</v>
      </c>
      <c r="Y442" s="775">
        <f t="shared" si="376"/>
        <v>2017</v>
      </c>
      <c r="Z442" s="775">
        <v>12</v>
      </c>
      <c r="AB442" s="739">
        <f t="shared" ref="AB442:AC443" si="427">AA442</f>
        <v>0</v>
      </c>
      <c r="AC442" s="739">
        <f t="shared" si="427"/>
        <v>0</v>
      </c>
    </row>
    <row r="443" spans="1:29">
      <c r="A443" s="739" t="s">
        <v>2025</v>
      </c>
      <c r="B443" s="739" t="s">
        <v>2025</v>
      </c>
      <c r="C443" s="739" t="s">
        <v>2026</v>
      </c>
      <c r="D443" s="739" t="s">
        <v>2026</v>
      </c>
      <c r="E443" s="791">
        <v>170000</v>
      </c>
      <c r="G443" s="739" t="str">
        <f t="shared" si="374"/>
        <v>013801</v>
      </c>
      <c r="J443" s="739">
        <v>5000</v>
      </c>
      <c r="Q443" s="773"/>
      <c r="T443" s="775" t="str">
        <f t="shared" si="375"/>
        <v>023801</v>
      </c>
      <c r="W443" s="739" t="s">
        <v>2032</v>
      </c>
      <c r="Y443" s="775">
        <f t="shared" si="376"/>
        <v>2017</v>
      </c>
      <c r="Z443" s="775">
        <v>12</v>
      </c>
      <c r="AA443" s="739">
        <f>'NET POSITION-PROPRIETARY(18)'!H28</f>
        <v>0</v>
      </c>
      <c r="AB443" s="739">
        <f>AA443</f>
        <v>0</v>
      </c>
      <c r="AC443" s="739">
        <f t="shared" si="427"/>
        <v>0</v>
      </c>
    </row>
    <row r="444" spans="1:29">
      <c r="A444" s="739" t="s">
        <v>2025</v>
      </c>
      <c r="B444" s="739" t="s">
        <v>2025</v>
      </c>
      <c r="C444" s="739" t="s">
        <v>2026</v>
      </c>
      <c r="D444" s="739" t="s">
        <v>2026</v>
      </c>
      <c r="E444" s="791">
        <v>180000</v>
      </c>
      <c r="G444" s="739" t="str">
        <f t="shared" si="374"/>
        <v>013801</v>
      </c>
      <c r="J444" s="739">
        <v>5000</v>
      </c>
      <c r="Q444" s="773"/>
      <c r="T444" s="775" t="str">
        <f t="shared" si="375"/>
        <v>023801</v>
      </c>
      <c r="W444" s="739" t="s">
        <v>2032</v>
      </c>
      <c r="Y444" s="775">
        <f t="shared" si="376"/>
        <v>2017</v>
      </c>
      <c r="Z444" s="775">
        <v>12</v>
      </c>
      <c r="AA444" s="739">
        <f>'NET POSITION-PROPRIETARY(18)'!H37</f>
        <v>117787.71999999994</v>
      </c>
      <c r="AB444" s="739">
        <f t="shared" ref="AB444:AC444" si="428">AA444</f>
        <v>117787.71999999994</v>
      </c>
      <c r="AC444" s="739">
        <f t="shared" si="428"/>
        <v>117787.71999999994</v>
      </c>
    </row>
    <row r="445" spans="1:29">
      <c r="A445" s="739" t="s">
        <v>2025</v>
      </c>
      <c r="B445" s="739" t="s">
        <v>2025</v>
      </c>
      <c r="C445" s="739" t="s">
        <v>2026</v>
      </c>
      <c r="D445" s="739" t="s">
        <v>2026</v>
      </c>
      <c r="E445" s="791">
        <v>190000</v>
      </c>
      <c r="G445" s="739" t="str">
        <f t="shared" si="374"/>
        <v>013801</v>
      </c>
      <c r="J445" s="739">
        <v>5000</v>
      </c>
      <c r="Q445" s="773"/>
      <c r="T445" s="775" t="str">
        <f t="shared" si="375"/>
        <v>023801</v>
      </c>
      <c r="W445" s="739" t="s">
        <v>2032</v>
      </c>
      <c r="Y445" s="775">
        <f t="shared" si="376"/>
        <v>2017</v>
      </c>
      <c r="Z445" s="775">
        <v>12</v>
      </c>
      <c r="AA445" s="739">
        <f>'NET POSITION-PROPRIETARY(18)'!H44</f>
        <v>19840.18</v>
      </c>
      <c r="AB445" s="739">
        <f t="shared" ref="AB445:AC445" si="429">AA445</f>
        <v>19840.18</v>
      </c>
      <c r="AC445" s="739">
        <f t="shared" si="429"/>
        <v>19840.18</v>
      </c>
    </row>
    <row r="446" spans="1:29">
      <c r="A446" s="739" t="s">
        <v>2025</v>
      </c>
      <c r="B446" s="739" t="s">
        <v>2025</v>
      </c>
      <c r="C446" s="739" t="s">
        <v>2026</v>
      </c>
      <c r="D446" s="739" t="s">
        <v>2026</v>
      </c>
      <c r="E446" s="791">
        <v>200000</v>
      </c>
      <c r="G446" s="739" t="str">
        <f t="shared" si="374"/>
        <v>013801</v>
      </c>
      <c r="J446" s="739">
        <v>5000</v>
      </c>
      <c r="Q446" s="773"/>
      <c r="T446" s="775" t="str">
        <f t="shared" si="375"/>
        <v>023801</v>
      </c>
      <c r="W446" s="739" t="s">
        <v>2032</v>
      </c>
      <c r="Y446" s="775">
        <f t="shared" si="376"/>
        <v>2017</v>
      </c>
      <c r="Z446" s="775">
        <v>12</v>
      </c>
      <c r="AA446" s="739">
        <f>('NET POSITION-PROPRIETARY(18)'!H48+'NET POSITION-PROPRIETARY(18)'!H49+'NET POSITION-PROPRIETARY(18)'!H50+'NET POSITION-PROPRIETARY(18)'!H51+'NET POSITION-PROPRIETARY(18)'!H52+'NET POSITION-PROPRIETARY(18)'!H53)*-1</f>
        <v>-2333.9899999999998</v>
      </c>
      <c r="AB446" s="739">
        <f t="shared" ref="AB446:AC446" si="430">AA446</f>
        <v>-2333.9899999999998</v>
      </c>
      <c r="AC446" s="739">
        <f t="shared" si="430"/>
        <v>-2333.9899999999998</v>
      </c>
    </row>
    <row r="447" spans="1:29">
      <c r="A447" s="739" t="s">
        <v>2025</v>
      </c>
      <c r="B447" s="739" t="s">
        <v>2025</v>
      </c>
      <c r="C447" s="739" t="s">
        <v>2026</v>
      </c>
      <c r="D447" s="739" t="s">
        <v>2026</v>
      </c>
      <c r="E447" s="791">
        <v>210000</v>
      </c>
      <c r="G447" s="739" t="str">
        <f t="shared" si="374"/>
        <v>013801</v>
      </c>
      <c r="J447" s="739">
        <v>5000</v>
      </c>
      <c r="Q447" s="773"/>
      <c r="T447" s="775" t="str">
        <f t="shared" si="375"/>
        <v>023801</v>
      </c>
      <c r="W447" s="739" t="s">
        <v>2032</v>
      </c>
      <c r="Y447" s="775">
        <f t="shared" si="376"/>
        <v>2017</v>
      </c>
      <c r="Z447" s="775">
        <v>12</v>
      </c>
      <c r="AA447" s="739">
        <f>('NET POSITION-PROPRIETARY(18)'!H54+'NET POSITION-PROPRIETARY(18)'!H55+'NET POSITION-PROPRIETARY(18)'!H56+'NET POSITION-PROPRIETARY(18)'!H57)*-1</f>
        <v>0</v>
      </c>
      <c r="AB447" s="739">
        <f t="shared" ref="AB447:AC447" si="431">AA447</f>
        <v>0</v>
      </c>
      <c r="AC447" s="739">
        <f t="shared" si="431"/>
        <v>0</v>
      </c>
    </row>
    <row r="448" spans="1:29">
      <c r="A448" s="739" t="s">
        <v>2025</v>
      </c>
      <c r="B448" s="739" t="s">
        <v>2025</v>
      </c>
      <c r="C448" s="739" t="s">
        <v>2026</v>
      </c>
      <c r="D448" s="739" t="s">
        <v>2026</v>
      </c>
      <c r="E448" s="791">
        <v>216000</v>
      </c>
      <c r="G448" s="739" t="str">
        <f t="shared" si="374"/>
        <v>013801</v>
      </c>
      <c r="J448" s="739">
        <v>5000</v>
      </c>
      <c r="Q448" s="773"/>
      <c r="T448" s="775" t="str">
        <f t="shared" si="375"/>
        <v>023801</v>
      </c>
      <c r="W448" s="739" t="s">
        <v>2032</v>
      </c>
      <c r="Y448" s="775">
        <f t="shared" si="376"/>
        <v>2017</v>
      </c>
      <c r="Z448" s="775">
        <v>12</v>
      </c>
      <c r="AA448" s="739">
        <v>0</v>
      </c>
    </row>
    <row r="449" spans="1:29">
      <c r="A449" s="739" t="s">
        <v>2025</v>
      </c>
      <c r="B449" s="739" t="s">
        <v>2025</v>
      </c>
      <c r="C449" s="739" t="s">
        <v>2026</v>
      </c>
      <c r="D449" s="739" t="s">
        <v>2026</v>
      </c>
      <c r="E449" s="791">
        <v>220000</v>
      </c>
      <c r="G449" s="739" t="str">
        <f t="shared" si="374"/>
        <v>013801</v>
      </c>
      <c r="J449" s="739">
        <v>5000</v>
      </c>
      <c r="Q449" s="773"/>
      <c r="T449" s="775" t="str">
        <f t="shared" si="375"/>
        <v>023801</v>
      </c>
      <c r="W449" s="739" t="s">
        <v>2032</v>
      </c>
      <c r="Y449" s="775">
        <f t="shared" si="376"/>
        <v>2017</v>
      </c>
      <c r="Z449" s="775">
        <v>12</v>
      </c>
      <c r="AA449" s="739">
        <f>('NET POSITION-PROPRIETARY(18)'!H75)*-1</f>
        <v>-356.53000000000003</v>
      </c>
      <c r="AB449" s="739">
        <f t="shared" ref="AB449:AC449" si="432">AA449</f>
        <v>-356.53000000000003</v>
      </c>
      <c r="AC449" s="739">
        <f t="shared" si="432"/>
        <v>-356.53000000000003</v>
      </c>
    </row>
    <row r="450" spans="1:29">
      <c r="A450" s="739" t="s">
        <v>2025</v>
      </c>
      <c r="B450" s="739" t="s">
        <v>2025</v>
      </c>
      <c r="C450" s="739" t="s">
        <v>2026</v>
      </c>
      <c r="D450" s="739" t="s">
        <v>2026</v>
      </c>
      <c r="E450" s="791">
        <v>230000</v>
      </c>
      <c r="G450" s="739" t="str">
        <f t="shared" si="374"/>
        <v>013801</v>
      </c>
      <c r="J450" s="739">
        <v>5000</v>
      </c>
      <c r="Q450" s="773"/>
      <c r="T450" s="775" t="str">
        <f t="shared" si="375"/>
        <v>023801</v>
      </c>
      <c r="W450" s="739" t="s">
        <v>2032</v>
      </c>
      <c r="Y450" s="775">
        <f t="shared" si="376"/>
        <v>2017</v>
      </c>
      <c r="Z450" s="775">
        <v>12</v>
      </c>
      <c r="AA450" s="739">
        <f>('NET POSITION-PROPRIETARY(18)'!H68-'NET POSITION-PROPRIETARY(18)'!H65-'NET POSITION-PROPRIETARY(18)'!H66)*-1</f>
        <v>-8530.5899999999965</v>
      </c>
      <c r="AB450" s="739">
        <f t="shared" ref="AB450:AC450" si="433">AA450</f>
        <v>-8530.5899999999965</v>
      </c>
      <c r="AC450" s="739">
        <f t="shared" si="433"/>
        <v>-8530.5899999999965</v>
      </c>
    </row>
    <row r="451" spans="1:29">
      <c r="A451" s="739" t="s">
        <v>2025</v>
      </c>
      <c r="B451" s="739" t="s">
        <v>2025</v>
      </c>
      <c r="C451" s="739" t="s">
        <v>2026</v>
      </c>
      <c r="D451" s="739" t="s">
        <v>2026</v>
      </c>
      <c r="E451" s="791">
        <v>237000</v>
      </c>
      <c r="G451" s="739" t="str">
        <f t="shared" si="374"/>
        <v>013801</v>
      </c>
      <c r="J451" s="739">
        <v>5000</v>
      </c>
      <c r="Q451" s="773"/>
      <c r="T451" s="775" t="str">
        <f t="shared" si="375"/>
        <v>023801</v>
      </c>
      <c r="W451" s="739" t="s">
        <v>2032</v>
      </c>
      <c r="Y451" s="775">
        <f t="shared" si="376"/>
        <v>2017</v>
      </c>
      <c r="Z451" s="775">
        <v>12</v>
      </c>
      <c r="AA451" s="739">
        <f>('NET POSITION-PROPRIETARY(18)'!H65)*-1</f>
        <v>0</v>
      </c>
      <c r="AB451" s="739">
        <f t="shared" ref="AB451" si="434">AA451</f>
        <v>0</v>
      </c>
      <c r="AC451" s="739">
        <f t="shared" ref="AC451" si="435">AB451</f>
        <v>0</v>
      </c>
    </row>
    <row r="452" spans="1:29">
      <c r="A452" s="739" t="s">
        <v>2025</v>
      </c>
      <c r="B452" s="739" t="s">
        <v>2025</v>
      </c>
      <c r="C452" s="739" t="s">
        <v>2026</v>
      </c>
      <c r="D452" s="739" t="s">
        <v>2026</v>
      </c>
      <c r="E452" s="791">
        <v>238000</v>
      </c>
      <c r="G452" s="739" t="str">
        <f t="shared" si="374"/>
        <v>013801</v>
      </c>
      <c r="J452" s="739">
        <v>5000</v>
      </c>
      <c r="Q452" s="773"/>
      <c r="T452" s="775" t="str">
        <f t="shared" si="375"/>
        <v>023801</v>
      </c>
      <c r="W452" s="739" t="s">
        <v>2032</v>
      </c>
      <c r="Y452" s="775">
        <f t="shared" si="376"/>
        <v>2017</v>
      </c>
      <c r="Z452" s="775">
        <v>12</v>
      </c>
      <c r="AA452" s="739">
        <f>('NET POSITION-PROPRIETARY(18)'!H66)*-1</f>
        <v>-107708.26000000001</v>
      </c>
      <c r="AB452" s="739">
        <f t="shared" ref="AB452" si="436">AA452</f>
        <v>-107708.26000000001</v>
      </c>
      <c r="AC452" s="739">
        <f t="shared" ref="AC452" si="437">AB452</f>
        <v>-107708.26000000001</v>
      </c>
    </row>
    <row r="453" spans="1:29">
      <c r="A453" s="739" t="s">
        <v>2025</v>
      </c>
      <c r="B453" s="739" t="s">
        <v>2025</v>
      </c>
      <c r="C453" s="739" t="s">
        <v>2026</v>
      </c>
      <c r="D453" s="739" t="s">
        <v>2026</v>
      </c>
      <c r="E453" s="791">
        <v>240000</v>
      </c>
      <c r="G453" s="739" t="str">
        <f t="shared" si="374"/>
        <v>013801</v>
      </c>
      <c r="J453" s="739">
        <v>5000</v>
      </c>
      <c r="Q453" s="773"/>
      <c r="T453" s="775" t="str">
        <f t="shared" si="375"/>
        <v>023801</v>
      </c>
      <c r="W453" s="739" t="s">
        <v>2032</v>
      </c>
      <c r="Y453" s="775">
        <f t="shared" si="376"/>
        <v>2017</v>
      </c>
      <c r="Z453" s="775">
        <v>12</v>
      </c>
      <c r="AA453" s="739">
        <v>0</v>
      </c>
      <c r="AB453" s="739">
        <f t="shared" ref="AB453:AC453" si="438">AA453</f>
        <v>0</v>
      </c>
      <c r="AC453" s="739">
        <f t="shared" si="438"/>
        <v>0</v>
      </c>
    </row>
    <row r="454" spans="1:29">
      <c r="A454" s="739" t="s">
        <v>2025</v>
      </c>
      <c r="B454" s="739" t="s">
        <v>2025</v>
      </c>
      <c r="C454" s="739" t="s">
        <v>2026</v>
      </c>
      <c r="D454" s="739" t="s">
        <v>2026</v>
      </c>
      <c r="E454" s="791">
        <v>250000</v>
      </c>
      <c r="G454" s="739" t="str">
        <f t="shared" si="374"/>
        <v>013801</v>
      </c>
      <c r="J454" s="739">
        <v>5000</v>
      </c>
      <c r="Q454" s="773"/>
      <c r="T454" s="775" t="str">
        <f t="shared" si="375"/>
        <v>023801</v>
      </c>
      <c r="W454" s="739" t="s">
        <v>2032</v>
      </c>
      <c r="Y454" s="775">
        <f t="shared" si="376"/>
        <v>2017</v>
      </c>
      <c r="Z454" s="775">
        <v>12</v>
      </c>
      <c r="AA454" s="739">
        <v>0</v>
      </c>
      <c r="AB454" s="739">
        <f t="shared" ref="AB454:AC454" si="439">AA454</f>
        <v>0</v>
      </c>
      <c r="AC454" s="739">
        <f t="shared" si="439"/>
        <v>0</v>
      </c>
    </row>
    <row r="455" spans="1:29">
      <c r="A455" s="739" t="s">
        <v>2025</v>
      </c>
      <c r="B455" s="739" t="s">
        <v>2025</v>
      </c>
      <c r="C455" s="739" t="s">
        <v>2026</v>
      </c>
      <c r="D455" s="739" t="s">
        <v>2026</v>
      </c>
      <c r="E455" s="791">
        <v>260000</v>
      </c>
      <c r="G455" s="739" t="str">
        <f t="shared" si="374"/>
        <v>013801</v>
      </c>
      <c r="J455" s="739">
        <v>5000</v>
      </c>
      <c r="Q455" s="773"/>
      <c r="T455" s="775" t="str">
        <f t="shared" si="375"/>
        <v>023801</v>
      </c>
      <c r="W455" s="739" t="s">
        <v>2032</v>
      </c>
      <c r="Y455" s="775">
        <f t="shared" si="376"/>
        <v>2017</v>
      </c>
      <c r="Z455" s="775">
        <v>12</v>
      </c>
      <c r="AA455" s="739">
        <v>0</v>
      </c>
      <c r="AB455" s="739">
        <f t="shared" ref="AB455:AC455" si="440">AA455</f>
        <v>0</v>
      </c>
      <c r="AC455" s="739">
        <f t="shared" si="440"/>
        <v>0</v>
      </c>
    </row>
    <row r="456" spans="1:29">
      <c r="A456" s="739" t="s">
        <v>2025</v>
      </c>
      <c r="B456" s="739" t="s">
        <v>2025</v>
      </c>
      <c r="C456" s="739" t="s">
        <v>2026</v>
      </c>
      <c r="D456" s="739" t="s">
        <v>2026</v>
      </c>
      <c r="E456" s="791">
        <v>270000</v>
      </c>
      <c r="G456" s="739" t="str">
        <f t="shared" si="374"/>
        <v>013801</v>
      </c>
      <c r="J456" s="739">
        <v>5000</v>
      </c>
      <c r="Q456" s="773"/>
      <c r="T456" s="775" t="str">
        <f t="shared" si="375"/>
        <v>023801</v>
      </c>
      <c r="W456" s="739" t="s">
        <v>2032</v>
      </c>
      <c r="Y456" s="775">
        <f t="shared" si="376"/>
        <v>2017</v>
      </c>
      <c r="Z456" s="775">
        <v>12</v>
      </c>
      <c r="AA456" s="739">
        <f>('NET POSITION-PROPRIETARY(18)'!H85)*-1</f>
        <v>-389166.0199999999</v>
      </c>
      <c r="AB456" s="739">
        <f t="shared" ref="AB456:AC456" si="441">AA456</f>
        <v>-389166.0199999999</v>
      </c>
      <c r="AC456" s="739">
        <f t="shared" si="441"/>
        <v>-389166.0199999999</v>
      </c>
    </row>
    <row r="457" spans="1:29">
      <c r="A457" s="739" t="s">
        <v>2025</v>
      </c>
      <c r="B457" s="739" t="s">
        <v>2025</v>
      </c>
      <c r="C457" s="739" t="s">
        <v>2026</v>
      </c>
      <c r="D457" s="739" t="s">
        <v>2026</v>
      </c>
      <c r="E457" s="791">
        <v>310000</v>
      </c>
      <c r="G457" s="739" t="str">
        <f t="shared" si="374"/>
        <v>013801</v>
      </c>
      <c r="J457" s="739">
        <v>5000</v>
      </c>
      <c r="Q457" s="773"/>
      <c r="T457" s="775" t="str">
        <f t="shared" si="375"/>
        <v>023801</v>
      </c>
      <c r="W457" s="739" t="s">
        <v>2032</v>
      </c>
      <c r="Y457" s="775">
        <f t="shared" si="376"/>
        <v>2017</v>
      </c>
      <c r="Z457" s="775">
        <v>12</v>
      </c>
      <c r="AA457" s="739">
        <v>0</v>
      </c>
    </row>
    <row r="458" spans="1:29">
      <c r="A458" s="739" t="s">
        <v>2025</v>
      </c>
      <c r="B458" s="739" t="s">
        <v>2025</v>
      </c>
      <c r="C458" s="739" t="s">
        <v>2026</v>
      </c>
      <c r="D458" s="739" t="s">
        <v>2026</v>
      </c>
      <c r="E458" s="791">
        <v>311000</v>
      </c>
      <c r="G458" s="739" t="str">
        <f t="shared" ref="G458:G521" si="442">$G$6</f>
        <v>013801</v>
      </c>
      <c r="J458" s="739">
        <v>5000</v>
      </c>
      <c r="Q458" s="773"/>
      <c r="T458" s="775" t="str">
        <f t="shared" ref="T458:T521" si="443">$T$6</f>
        <v>023801</v>
      </c>
      <c r="W458" s="739" t="s">
        <v>2032</v>
      </c>
      <c r="Y458" s="775">
        <f t="shared" ref="Y458:Y521" si="444">$Y$6</f>
        <v>2017</v>
      </c>
      <c r="Z458" s="775">
        <v>12</v>
      </c>
      <c r="AA458" s="739">
        <f>('CHANGE NET POSITION-PROP.(19)'!H30)*-1</f>
        <v>0</v>
      </c>
      <c r="AB458" s="739">
        <f>AA458</f>
        <v>0</v>
      </c>
      <c r="AC458" s="739">
        <f>AA458</f>
        <v>0</v>
      </c>
    </row>
    <row r="459" spans="1:29">
      <c r="A459" s="739" t="s">
        <v>2025</v>
      </c>
      <c r="B459" s="739" t="s">
        <v>2025</v>
      </c>
      <c r="C459" s="739" t="s">
        <v>2026</v>
      </c>
      <c r="D459" s="739" t="s">
        <v>2026</v>
      </c>
      <c r="E459" s="791">
        <v>312000</v>
      </c>
      <c r="G459" s="739" t="str">
        <f t="shared" si="442"/>
        <v>013801</v>
      </c>
      <c r="J459" s="739">
        <v>5000</v>
      </c>
      <c r="Q459" s="773"/>
      <c r="T459" s="775" t="str">
        <f t="shared" si="443"/>
        <v>023801</v>
      </c>
      <c r="W459" s="739" t="s">
        <v>2032</v>
      </c>
      <c r="Y459" s="775">
        <f t="shared" si="444"/>
        <v>2017</v>
      </c>
      <c r="Z459" s="775">
        <v>12</v>
      </c>
      <c r="AA459" s="739">
        <v>0</v>
      </c>
    </row>
    <row r="460" spans="1:29">
      <c r="A460" s="739" t="s">
        <v>2025</v>
      </c>
      <c r="B460" s="739" t="s">
        <v>2025</v>
      </c>
      <c r="C460" s="739" t="s">
        <v>2026</v>
      </c>
      <c r="D460" s="739" t="s">
        <v>2026</v>
      </c>
      <c r="E460" s="791">
        <v>313000</v>
      </c>
      <c r="G460" s="739" t="str">
        <f t="shared" si="442"/>
        <v>013801</v>
      </c>
      <c r="J460" s="739">
        <v>5000</v>
      </c>
      <c r="Q460" s="773"/>
      <c r="T460" s="775" t="str">
        <f t="shared" si="443"/>
        <v>023801</v>
      </c>
      <c r="W460" s="739" t="s">
        <v>2032</v>
      </c>
      <c r="Y460" s="775">
        <f t="shared" si="444"/>
        <v>2017</v>
      </c>
      <c r="Z460" s="775">
        <v>12</v>
      </c>
      <c r="AA460" s="739">
        <v>0</v>
      </c>
    </row>
    <row r="461" spans="1:29">
      <c r="A461" s="739" t="s">
        <v>2025</v>
      </c>
      <c r="B461" s="739" t="s">
        <v>2025</v>
      </c>
      <c r="C461" s="739" t="s">
        <v>2026</v>
      </c>
      <c r="D461" s="739" t="s">
        <v>2026</v>
      </c>
      <c r="E461" s="791">
        <v>314000</v>
      </c>
      <c r="G461" s="739" t="str">
        <f t="shared" si="442"/>
        <v>013801</v>
      </c>
      <c r="J461" s="739">
        <v>5000</v>
      </c>
      <c r="Q461" s="773"/>
      <c r="T461" s="775" t="str">
        <f t="shared" si="443"/>
        <v>023801</v>
      </c>
      <c r="W461" s="739" t="s">
        <v>2032</v>
      </c>
      <c r="Y461" s="775">
        <f t="shared" si="444"/>
        <v>2017</v>
      </c>
      <c r="Z461" s="775">
        <v>12</v>
      </c>
      <c r="AA461" s="739">
        <v>0</v>
      </c>
    </row>
    <row r="462" spans="1:29">
      <c r="A462" s="739" t="s">
        <v>2025</v>
      </c>
      <c r="B462" s="739" t="s">
        <v>2025</v>
      </c>
      <c r="C462" s="739" t="s">
        <v>2026</v>
      </c>
      <c r="D462" s="739" t="s">
        <v>2026</v>
      </c>
      <c r="E462" s="791">
        <v>315000</v>
      </c>
      <c r="G462" s="739" t="str">
        <f t="shared" si="442"/>
        <v>013801</v>
      </c>
      <c r="J462" s="739">
        <v>5000</v>
      </c>
      <c r="Q462" s="773"/>
      <c r="T462" s="775" t="str">
        <f t="shared" si="443"/>
        <v>023801</v>
      </c>
      <c r="W462" s="739" t="s">
        <v>2032</v>
      </c>
      <c r="Y462" s="775">
        <f t="shared" si="444"/>
        <v>2017</v>
      </c>
      <c r="Z462" s="775">
        <v>12</v>
      </c>
      <c r="AA462" s="739">
        <v>0</v>
      </c>
    </row>
    <row r="463" spans="1:29">
      <c r="A463" s="739" t="s">
        <v>2025</v>
      </c>
      <c r="B463" s="739" t="s">
        <v>2025</v>
      </c>
      <c r="C463" s="739" t="s">
        <v>2026</v>
      </c>
      <c r="D463" s="739" t="s">
        <v>2026</v>
      </c>
      <c r="E463" s="791">
        <v>316000</v>
      </c>
      <c r="G463" s="739" t="str">
        <f t="shared" si="442"/>
        <v>013801</v>
      </c>
      <c r="J463" s="739">
        <v>5000</v>
      </c>
      <c r="Q463" s="773"/>
      <c r="T463" s="775" t="str">
        <f t="shared" si="443"/>
        <v>023801</v>
      </c>
      <c r="W463" s="739" t="s">
        <v>2032</v>
      </c>
      <c r="Y463" s="775">
        <f t="shared" si="444"/>
        <v>2017</v>
      </c>
      <c r="Z463" s="775">
        <v>12</v>
      </c>
      <c r="AA463" s="739">
        <v>0</v>
      </c>
    </row>
    <row r="464" spans="1:29">
      <c r="A464" s="739" t="s">
        <v>2025</v>
      </c>
      <c r="B464" s="739" t="s">
        <v>2025</v>
      </c>
      <c r="C464" s="739" t="s">
        <v>2026</v>
      </c>
      <c r="D464" s="739" t="s">
        <v>2026</v>
      </c>
      <c r="E464" s="791">
        <v>320000</v>
      </c>
      <c r="G464" s="739" t="str">
        <f t="shared" si="442"/>
        <v>013801</v>
      </c>
      <c r="J464" s="739">
        <v>5000</v>
      </c>
      <c r="Q464" s="773"/>
      <c r="T464" s="775" t="str">
        <f t="shared" si="443"/>
        <v>023801</v>
      </c>
      <c r="W464" s="739" t="s">
        <v>2032</v>
      </c>
      <c r="Y464" s="775">
        <f t="shared" si="444"/>
        <v>2017</v>
      </c>
      <c r="Z464" s="775">
        <v>12</v>
      </c>
      <c r="AA464" s="739">
        <f>('CHANGE NET POSITION-PROP.(19)'!H31)*-1</f>
        <v>0</v>
      </c>
      <c r="AB464" s="739">
        <f>AA464</f>
        <v>0</v>
      </c>
      <c r="AC464" s="739">
        <f>AB464</f>
        <v>0</v>
      </c>
    </row>
    <row r="465" spans="1:29">
      <c r="A465" s="739" t="s">
        <v>2025</v>
      </c>
      <c r="B465" s="739" t="s">
        <v>2025</v>
      </c>
      <c r="C465" s="739" t="s">
        <v>2026</v>
      </c>
      <c r="D465" s="739" t="s">
        <v>2026</v>
      </c>
      <c r="E465" s="791">
        <v>322000</v>
      </c>
      <c r="G465" s="739" t="str">
        <f t="shared" si="442"/>
        <v>013801</v>
      </c>
      <c r="J465" s="739">
        <v>5000</v>
      </c>
      <c r="Q465" s="773"/>
      <c r="T465" s="775" t="str">
        <f t="shared" si="443"/>
        <v>023801</v>
      </c>
      <c r="W465" s="739" t="s">
        <v>2032</v>
      </c>
      <c r="Y465" s="775">
        <f t="shared" si="444"/>
        <v>2017</v>
      </c>
      <c r="Z465" s="775">
        <v>12</v>
      </c>
      <c r="AA465" s="739">
        <v>0</v>
      </c>
    </row>
    <row r="466" spans="1:29">
      <c r="A466" s="739" t="s">
        <v>2025</v>
      </c>
      <c r="B466" s="739" t="s">
        <v>2025</v>
      </c>
      <c r="C466" s="739" t="s">
        <v>2026</v>
      </c>
      <c r="D466" s="739" t="s">
        <v>2026</v>
      </c>
      <c r="E466" s="791">
        <v>323000</v>
      </c>
      <c r="G466" s="739" t="str">
        <f t="shared" si="442"/>
        <v>013801</v>
      </c>
      <c r="J466" s="739">
        <v>5000</v>
      </c>
      <c r="Q466" s="773"/>
      <c r="T466" s="775" t="str">
        <f t="shared" si="443"/>
        <v>023801</v>
      </c>
      <c r="W466" s="739" t="s">
        <v>2032</v>
      </c>
      <c r="Y466" s="775">
        <f t="shared" si="444"/>
        <v>2017</v>
      </c>
      <c r="Z466" s="775">
        <v>12</v>
      </c>
      <c r="AA466" s="739">
        <v>0</v>
      </c>
    </row>
    <row r="467" spans="1:29">
      <c r="A467" s="739" t="s">
        <v>2025</v>
      </c>
      <c r="B467" s="739" t="s">
        <v>2025</v>
      </c>
      <c r="C467" s="739" t="s">
        <v>2026</v>
      </c>
      <c r="D467" s="739" t="s">
        <v>2026</v>
      </c>
      <c r="E467" s="791">
        <v>330000</v>
      </c>
      <c r="G467" s="739" t="str">
        <f t="shared" si="442"/>
        <v>013801</v>
      </c>
      <c r="J467" s="739">
        <v>5000</v>
      </c>
      <c r="Q467" s="773"/>
      <c r="T467" s="775" t="str">
        <f t="shared" si="443"/>
        <v>023801</v>
      </c>
      <c r="W467" s="739" t="s">
        <v>2032</v>
      </c>
      <c r="Y467" s="775">
        <f t="shared" si="444"/>
        <v>2017</v>
      </c>
      <c r="Z467" s="775">
        <v>12</v>
      </c>
      <c r="AA467" s="739">
        <f>('CHANGE NET POSITION-PROP.(19)'!H32)*-1</f>
        <v>-13010.1</v>
      </c>
      <c r="AB467" s="739">
        <f>AA467</f>
        <v>-13010.1</v>
      </c>
      <c r="AC467" s="739">
        <f>AB467</f>
        <v>-13010.1</v>
      </c>
    </row>
    <row r="468" spans="1:29">
      <c r="A468" s="739" t="s">
        <v>2025</v>
      </c>
      <c r="B468" s="739" t="s">
        <v>2025</v>
      </c>
      <c r="C468" s="739" t="s">
        <v>2026</v>
      </c>
      <c r="D468" s="739" t="s">
        <v>2026</v>
      </c>
      <c r="E468" s="791">
        <v>331000</v>
      </c>
      <c r="G468" s="739" t="str">
        <f t="shared" si="442"/>
        <v>013801</v>
      </c>
      <c r="J468" s="739">
        <v>5000</v>
      </c>
      <c r="Q468" s="773"/>
      <c r="T468" s="775" t="str">
        <f t="shared" si="443"/>
        <v>023801</v>
      </c>
      <c r="W468" s="739" t="s">
        <v>2032</v>
      </c>
      <c r="Y468" s="775">
        <f t="shared" si="444"/>
        <v>2017</v>
      </c>
      <c r="Z468" s="775">
        <v>12</v>
      </c>
      <c r="AA468" s="739">
        <v>0</v>
      </c>
    </row>
    <row r="469" spans="1:29">
      <c r="A469" s="739" t="s">
        <v>2025</v>
      </c>
      <c r="B469" s="739" t="s">
        <v>2025</v>
      </c>
      <c r="C469" s="739" t="s">
        <v>2026</v>
      </c>
      <c r="D469" s="739" t="s">
        <v>2026</v>
      </c>
      <c r="E469" s="791">
        <v>332000</v>
      </c>
      <c r="G469" s="739" t="str">
        <f t="shared" si="442"/>
        <v>013801</v>
      </c>
      <c r="J469" s="739">
        <v>5000</v>
      </c>
      <c r="Q469" s="773"/>
      <c r="T469" s="775" t="str">
        <f t="shared" si="443"/>
        <v>023801</v>
      </c>
      <c r="W469" s="739" t="s">
        <v>2032</v>
      </c>
      <c r="Y469" s="775">
        <f t="shared" si="444"/>
        <v>2017</v>
      </c>
      <c r="Z469" s="775">
        <v>12</v>
      </c>
      <c r="AA469" s="739">
        <v>0</v>
      </c>
    </row>
    <row r="470" spans="1:29">
      <c r="A470" s="739" t="s">
        <v>2025</v>
      </c>
      <c r="B470" s="739" t="s">
        <v>2025</v>
      </c>
      <c r="C470" s="739" t="s">
        <v>2026</v>
      </c>
      <c r="D470" s="739" t="s">
        <v>2026</v>
      </c>
      <c r="E470" s="791">
        <v>333000</v>
      </c>
      <c r="G470" s="739" t="str">
        <f t="shared" si="442"/>
        <v>013801</v>
      </c>
      <c r="J470" s="739">
        <v>5000</v>
      </c>
      <c r="Q470" s="773"/>
      <c r="T470" s="775" t="str">
        <f t="shared" si="443"/>
        <v>023801</v>
      </c>
      <c r="W470" s="739" t="s">
        <v>2032</v>
      </c>
      <c r="Y470" s="775">
        <f t="shared" si="444"/>
        <v>2017</v>
      </c>
      <c r="Z470" s="775">
        <v>12</v>
      </c>
      <c r="AA470" s="739">
        <v>0</v>
      </c>
    </row>
    <row r="471" spans="1:29">
      <c r="A471" s="739" t="s">
        <v>2025</v>
      </c>
      <c r="B471" s="739" t="s">
        <v>2025</v>
      </c>
      <c r="C471" s="739" t="s">
        <v>2026</v>
      </c>
      <c r="D471" s="739" t="s">
        <v>2026</v>
      </c>
      <c r="E471" s="791">
        <v>334000</v>
      </c>
      <c r="G471" s="739" t="str">
        <f t="shared" si="442"/>
        <v>013801</v>
      </c>
      <c r="J471" s="739">
        <v>5000</v>
      </c>
      <c r="Q471" s="773"/>
      <c r="T471" s="775" t="str">
        <f t="shared" si="443"/>
        <v>023801</v>
      </c>
      <c r="W471" s="739" t="s">
        <v>2032</v>
      </c>
      <c r="Y471" s="775">
        <f t="shared" si="444"/>
        <v>2017</v>
      </c>
      <c r="Z471" s="775">
        <v>12</v>
      </c>
      <c r="AA471" s="739">
        <v>0</v>
      </c>
    </row>
    <row r="472" spans="1:29">
      <c r="A472" s="739" t="s">
        <v>2025</v>
      </c>
      <c r="B472" s="739" t="s">
        <v>2025</v>
      </c>
      <c r="C472" s="739" t="s">
        <v>2026</v>
      </c>
      <c r="D472" s="739" t="s">
        <v>2026</v>
      </c>
      <c r="E472" s="791">
        <v>335000</v>
      </c>
      <c r="G472" s="739" t="str">
        <f t="shared" si="442"/>
        <v>013801</v>
      </c>
      <c r="J472" s="739">
        <v>5000</v>
      </c>
      <c r="Q472" s="773"/>
      <c r="T472" s="775" t="str">
        <f t="shared" si="443"/>
        <v>023801</v>
      </c>
      <c r="W472" s="739" t="s">
        <v>2032</v>
      </c>
      <c r="Y472" s="775">
        <f t="shared" si="444"/>
        <v>2017</v>
      </c>
      <c r="Z472" s="775">
        <v>12</v>
      </c>
      <c r="AA472" s="739">
        <v>0</v>
      </c>
    </row>
    <row r="473" spans="1:29">
      <c r="A473" s="739" t="s">
        <v>2025</v>
      </c>
      <c r="B473" s="739" t="s">
        <v>2025</v>
      </c>
      <c r="C473" s="739" t="s">
        <v>2026</v>
      </c>
      <c r="D473" s="739" t="s">
        <v>2026</v>
      </c>
      <c r="E473" s="791">
        <v>336000</v>
      </c>
      <c r="G473" s="739" t="str">
        <f t="shared" si="442"/>
        <v>013801</v>
      </c>
      <c r="J473" s="739">
        <v>5000</v>
      </c>
      <c r="Q473" s="773"/>
      <c r="T473" s="775" t="str">
        <f t="shared" si="443"/>
        <v>023801</v>
      </c>
      <c r="W473" s="739" t="s">
        <v>2032</v>
      </c>
      <c r="Y473" s="775">
        <f t="shared" si="444"/>
        <v>2017</v>
      </c>
      <c r="Z473" s="775">
        <v>12</v>
      </c>
      <c r="AA473" s="739">
        <v>0</v>
      </c>
    </row>
    <row r="474" spans="1:29">
      <c r="A474" s="739" t="s">
        <v>2025</v>
      </c>
      <c r="B474" s="739" t="s">
        <v>2025</v>
      </c>
      <c r="C474" s="739" t="s">
        <v>2026</v>
      </c>
      <c r="D474" s="739" t="s">
        <v>2026</v>
      </c>
      <c r="E474" s="791">
        <v>337000</v>
      </c>
      <c r="G474" s="739" t="str">
        <f t="shared" si="442"/>
        <v>013801</v>
      </c>
      <c r="J474" s="739">
        <v>5000</v>
      </c>
      <c r="Q474" s="773"/>
      <c r="T474" s="775" t="str">
        <f t="shared" si="443"/>
        <v>023801</v>
      </c>
      <c r="W474" s="739" t="s">
        <v>2032</v>
      </c>
      <c r="Y474" s="775">
        <f t="shared" si="444"/>
        <v>2017</v>
      </c>
      <c r="Z474" s="775">
        <v>12</v>
      </c>
      <c r="AA474" s="739">
        <v>0</v>
      </c>
    </row>
    <row r="475" spans="1:29">
      <c r="A475" s="739" t="s">
        <v>2025</v>
      </c>
      <c r="B475" s="739" t="s">
        <v>2025</v>
      </c>
      <c r="C475" s="739" t="s">
        <v>2026</v>
      </c>
      <c r="D475" s="739" t="s">
        <v>2026</v>
      </c>
      <c r="E475" s="791">
        <v>338000</v>
      </c>
      <c r="G475" s="739" t="str">
        <f t="shared" si="442"/>
        <v>013801</v>
      </c>
      <c r="J475" s="739">
        <v>5000</v>
      </c>
      <c r="Q475" s="773"/>
      <c r="T475" s="775" t="str">
        <f t="shared" si="443"/>
        <v>023801</v>
      </c>
      <c r="W475" s="739" t="s">
        <v>2032</v>
      </c>
      <c r="Y475" s="775">
        <f t="shared" si="444"/>
        <v>2017</v>
      </c>
      <c r="Z475" s="775">
        <v>12</v>
      </c>
      <c r="AA475" s="739">
        <v>0</v>
      </c>
    </row>
    <row r="476" spans="1:29">
      <c r="A476" s="739" t="s">
        <v>2025</v>
      </c>
      <c r="B476" s="739" t="s">
        <v>2025</v>
      </c>
      <c r="C476" s="739" t="s">
        <v>2026</v>
      </c>
      <c r="D476" s="739" t="s">
        <v>2026</v>
      </c>
      <c r="E476" s="791">
        <v>339000</v>
      </c>
      <c r="G476" s="739" t="str">
        <f t="shared" si="442"/>
        <v>013801</v>
      </c>
      <c r="J476" s="739">
        <v>5000</v>
      </c>
      <c r="Q476" s="773"/>
      <c r="T476" s="775" t="str">
        <f t="shared" si="443"/>
        <v>023801</v>
      </c>
      <c r="W476" s="739" t="s">
        <v>2032</v>
      </c>
      <c r="Y476" s="775">
        <f t="shared" si="444"/>
        <v>2017</v>
      </c>
      <c r="Z476" s="775">
        <v>12</v>
      </c>
      <c r="AA476" s="739">
        <v>0</v>
      </c>
    </row>
    <row r="477" spans="1:29">
      <c r="A477" s="739" t="s">
        <v>2025</v>
      </c>
      <c r="B477" s="739" t="s">
        <v>2025</v>
      </c>
      <c r="C477" s="739" t="s">
        <v>2026</v>
      </c>
      <c r="D477" s="739" t="s">
        <v>2026</v>
      </c>
      <c r="E477" s="791">
        <v>340000</v>
      </c>
      <c r="G477" s="739" t="str">
        <f t="shared" si="442"/>
        <v>013801</v>
      </c>
      <c r="J477" s="739">
        <v>5000</v>
      </c>
      <c r="Q477" s="773"/>
      <c r="T477" s="775" t="str">
        <f t="shared" si="443"/>
        <v>023801</v>
      </c>
      <c r="W477" s="739" t="s">
        <v>2032</v>
      </c>
      <c r="Y477" s="775">
        <f t="shared" si="444"/>
        <v>2017</v>
      </c>
      <c r="Z477" s="775">
        <v>12</v>
      </c>
      <c r="AA477" s="739">
        <f>('CHANGE NET POSITION-PROP.(19)'!H12)*-1</f>
        <v>-263860.65000000002</v>
      </c>
      <c r="AB477" s="739">
        <f>AA477</f>
        <v>-263860.65000000002</v>
      </c>
      <c r="AC477" s="739">
        <f>AB477</f>
        <v>-263860.65000000002</v>
      </c>
    </row>
    <row r="478" spans="1:29">
      <c r="A478" s="739" t="s">
        <v>2025</v>
      </c>
      <c r="B478" s="739" t="s">
        <v>2025</v>
      </c>
      <c r="C478" s="739" t="s">
        <v>2026</v>
      </c>
      <c r="D478" s="739" t="s">
        <v>2026</v>
      </c>
      <c r="E478" s="791">
        <v>341000</v>
      </c>
      <c r="G478" s="739" t="str">
        <f t="shared" si="442"/>
        <v>013801</v>
      </c>
      <c r="J478" s="739">
        <v>5000</v>
      </c>
      <c r="Q478" s="773"/>
      <c r="T478" s="775" t="str">
        <f t="shared" si="443"/>
        <v>023801</v>
      </c>
      <c r="W478" s="739" t="s">
        <v>2032</v>
      </c>
      <c r="Y478" s="775">
        <f t="shared" si="444"/>
        <v>2017</v>
      </c>
      <c r="Z478" s="775">
        <v>12</v>
      </c>
      <c r="AA478" s="739">
        <v>0</v>
      </c>
    </row>
    <row r="479" spans="1:29">
      <c r="A479" s="739" t="s">
        <v>2025</v>
      </c>
      <c r="B479" s="739" t="s">
        <v>2025</v>
      </c>
      <c r="C479" s="739" t="s">
        <v>2026</v>
      </c>
      <c r="D479" s="739" t="s">
        <v>2026</v>
      </c>
      <c r="E479" s="791">
        <v>342000</v>
      </c>
      <c r="G479" s="739" t="str">
        <f t="shared" si="442"/>
        <v>013801</v>
      </c>
      <c r="J479" s="739">
        <v>5000</v>
      </c>
      <c r="Q479" s="773"/>
      <c r="T479" s="775" t="str">
        <f t="shared" si="443"/>
        <v>023801</v>
      </c>
      <c r="W479" s="739" t="s">
        <v>2032</v>
      </c>
      <c r="Y479" s="775">
        <f t="shared" si="444"/>
        <v>2017</v>
      </c>
      <c r="Z479" s="775">
        <v>12</v>
      </c>
      <c r="AA479" s="739">
        <v>0</v>
      </c>
    </row>
    <row r="480" spans="1:29">
      <c r="A480" s="739" t="s">
        <v>2025</v>
      </c>
      <c r="B480" s="739" t="s">
        <v>2025</v>
      </c>
      <c r="C480" s="739" t="s">
        <v>2026</v>
      </c>
      <c r="D480" s="739" t="s">
        <v>2026</v>
      </c>
      <c r="E480" s="791">
        <v>343000</v>
      </c>
      <c r="G480" s="739" t="str">
        <f t="shared" si="442"/>
        <v>013801</v>
      </c>
      <c r="J480" s="739">
        <v>5000</v>
      </c>
      <c r="Q480" s="773"/>
      <c r="T480" s="775" t="str">
        <f t="shared" si="443"/>
        <v>023801</v>
      </c>
      <c r="W480" s="739" t="s">
        <v>2032</v>
      </c>
      <c r="Y480" s="775">
        <f t="shared" si="444"/>
        <v>2017</v>
      </c>
      <c r="Z480" s="775">
        <v>12</v>
      </c>
      <c r="AA480" s="739">
        <v>0</v>
      </c>
    </row>
    <row r="481" spans="1:29">
      <c r="A481" s="739" t="s">
        <v>2025</v>
      </c>
      <c r="B481" s="739" t="s">
        <v>2025</v>
      </c>
      <c r="C481" s="739" t="s">
        <v>2026</v>
      </c>
      <c r="D481" s="739" t="s">
        <v>2026</v>
      </c>
      <c r="E481" s="791">
        <v>344000</v>
      </c>
      <c r="G481" s="739" t="str">
        <f t="shared" si="442"/>
        <v>013801</v>
      </c>
      <c r="J481" s="739">
        <v>5000</v>
      </c>
      <c r="Q481" s="773"/>
      <c r="T481" s="775" t="str">
        <f t="shared" si="443"/>
        <v>023801</v>
      </c>
      <c r="W481" s="739" t="s">
        <v>2032</v>
      </c>
      <c r="Y481" s="775">
        <f t="shared" si="444"/>
        <v>2017</v>
      </c>
      <c r="Z481" s="775">
        <v>12</v>
      </c>
      <c r="AA481" s="739">
        <v>0</v>
      </c>
    </row>
    <row r="482" spans="1:29">
      <c r="A482" s="739" t="s">
        <v>2025</v>
      </c>
      <c r="B482" s="739" t="s">
        <v>2025</v>
      </c>
      <c r="C482" s="739" t="s">
        <v>2026</v>
      </c>
      <c r="D482" s="739" t="s">
        <v>2026</v>
      </c>
      <c r="E482" s="791">
        <v>345000</v>
      </c>
      <c r="G482" s="739" t="str">
        <f t="shared" si="442"/>
        <v>013801</v>
      </c>
      <c r="J482" s="739">
        <v>5000</v>
      </c>
      <c r="Q482" s="773"/>
      <c r="T482" s="775" t="str">
        <f t="shared" si="443"/>
        <v>023801</v>
      </c>
      <c r="W482" s="739" t="s">
        <v>2032</v>
      </c>
      <c r="Y482" s="775">
        <f t="shared" si="444"/>
        <v>2017</v>
      </c>
      <c r="Z482" s="775">
        <v>12</v>
      </c>
      <c r="AA482" s="739">
        <v>0</v>
      </c>
    </row>
    <row r="483" spans="1:29">
      <c r="A483" s="739" t="s">
        <v>2025</v>
      </c>
      <c r="B483" s="739" t="s">
        <v>2025</v>
      </c>
      <c r="C483" s="739" t="s">
        <v>2026</v>
      </c>
      <c r="D483" s="739" t="s">
        <v>2026</v>
      </c>
      <c r="E483" s="791">
        <v>346000</v>
      </c>
      <c r="G483" s="739" t="str">
        <f t="shared" si="442"/>
        <v>013801</v>
      </c>
      <c r="J483" s="739">
        <v>5000</v>
      </c>
      <c r="Q483" s="773"/>
      <c r="T483" s="775" t="str">
        <f t="shared" si="443"/>
        <v>023801</v>
      </c>
      <c r="W483" s="739" t="s">
        <v>2032</v>
      </c>
      <c r="Y483" s="775">
        <f t="shared" si="444"/>
        <v>2017</v>
      </c>
      <c r="Z483" s="775">
        <v>12</v>
      </c>
      <c r="AA483" s="739">
        <v>0</v>
      </c>
    </row>
    <row r="484" spans="1:29">
      <c r="A484" s="739" t="s">
        <v>2025</v>
      </c>
      <c r="B484" s="739" t="s">
        <v>2025</v>
      </c>
      <c r="C484" s="739" t="s">
        <v>2026</v>
      </c>
      <c r="D484" s="739" t="s">
        <v>2026</v>
      </c>
      <c r="E484" s="791">
        <v>350000</v>
      </c>
      <c r="G484" s="739" t="str">
        <f t="shared" si="442"/>
        <v>013801</v>
      </c>
      <c r="J484" s="739">
        <v>5000</v>
      </c>
      <c r="Q484" s="773"/>
      <c r="T484" s="775" t="str">
        <f t="shared" si="443"/>
        <v>023801</v>
      </c>
      <c r="W484" s="739" t="s">
        <v>2032</v>
      </c>
      <c r="Y484" s="775">
        <f t="shared" si="444"/>
        <v>2017</v>
      </c>
      <c r="Z484" s="775">
        <v>12</v>
      </c>
      <c r="AA484" s="739">
        <v>0</v>
      </c>
    </row>
    <row r="485" spans="1:29">
      <c r="A485" s="739" t="s">
        <v>2025</v>
      </c>
      <c r="B485" s="739" t="s">
        <v>2025</v>
      </c>
      <c r="C485" s="739" t="s">
        <v>2026</v>
      </c>
      <c r="D485" s="739" t="s">
        <v>2026</v>
      </c>
      <c r="E485" s="791">
        <v>351000</v>
      </c>
      <c r="G485" s="739" t="str">
        <f t="shared" si="442"/>
        <v>013801</v>
      </c>
      <c r="J485" s="739">
        <v>5000</v>
      </c>
      <c r="Q485" s="773"/>
      <c r="T485" s="775" t="str">
        <f t="shared" si="443"/>
        <v>023801</v>
      </c>
      <c r="W485" s="739" t="s">
        <v>2032</v>
      </c>
      <c r="Y485" s="775">
        <f t="shared" si="444"/>
        <v>2017</v>
      </c>
      <c r="Z485" s="775">
        <v>12</v>
      </c>
      <c r="AA485" s="739">
        <v>0</v>
      </c>
    </row>
    <row r="486" spans="1:29">
      <c r="A486" s="739" t="s">
        <v>2025</v>
      </c>
      <c r="B486" s="739" t="s">
        <v>2025</v>
      </c>
      <c r="C486" s="739" t="s">
        <v>2026</v>
      </c>
      <c r="D486" s="739" t="s">
        <v>2026</v>
      </c>
      <c r="E486" s="792">
        <v>362000</v>
      </c>
      <c r="G486" s="739" t="str">
        <f t="shared" si="442"/>
        <v>013801</v>
      </c>
      <c r="J486" s="739">
        <v>5000</v>
      </c>
      <c r="Q486" s="773"/>
      <c r="T486" s="775" t="str">
        <f t="shared" si="443"/>
        <v>023801</v>
      </c>
      <c r="W486" s="739" t="s">
        <v>2032</v>
      </c>
      <c r="Y486" s="775">
        <f t="shared" si="444"/>
        <v>2017</v>
      </c>
      <c r="Z486" s="775">
        <v>12</v>
      </c>
      <c r="AA486" s="739">
        <f>('CHANGE NET POSITION-PROP.(19)'!H13)*-1</f>
        <v>0</v>
      </c>
      <c r="AB486" s="739">
        <f>AA486</f>
        <v>0</v>
      </c>
      <c r="AC486" s="739">
        <f>AB486</f>
        <v>0</v>
      </c>
    </row>
    <row r="487" spans="1:29">
      <c r="A487" s="739" t="s">
        <v>2025</v>
      </c>
      <c r="B487" s="739" t="s">
        <v>2025</v>
      </c>
      <c r="C487" s="739" t="s">
        <v>2026</v>
      </c>
      <c r="D487" s="739" t="s">
        <v>2026</v>
      </c>
      <c r="E487" s="791">
        <v>361000</v>
      </c>
      <c r="G487" s="739" t="str">
        <f t="shared" si="442"/>
        <v>013801</v>
      </c>
      <c r="J487" s="739">
        <v>5000</v>
      </c>
      <c r="Q487" s="773"/>
      <c r="T487" s="775" t="str">
        <f t="shared" si="443"/>
        <v>023801</v>
      </c>
      <c r="W487" s="739" t="s">
        <v>2032</v>
      </c>
      <c r="Y487" s="775">
        <f t="shared" si="444"/>
        <v>2017</v>
      </c>
      <c r="Z487" s="775">
        <v>12</v>
      </c>
      <c r="AA487" s="739">
        <v>0</v>
      </c>
    </row>
    <row r="488" spans="1:29">
      <c r="A488" s="739" t="s">
        <v>2025</v>
      </c>
      <c r="B488" s="739" t="s">
        <v>2025</v>
      </c>
      <c r="C488" s="739" t="s">
        <v>2026</v>
      </c>
      <c r="D488" s="739" t="s">
        <v>2026</v>
      </c>
      <c r="E488" s="792">
        <v>360000</v>
      </c>
      <c r="G488" s="739" t="str">
        <f t="shared" si="442"/>
        <v>013801</v>
      </c>
      <c r="J488" s="739">
        <v>5000</v>
      </c>
      <c r="Q488" s="773"/>
      <c r="T488" s="775" t="str">
        <f t="shared" si="443"/>
        <v>023801</v>
      </c>
      <c r="W488" s="739" t="s">
        <v>2032</v>
      </c>
      <c r="Y488" s="775">
        <f t="shared" si="444"/>
        <v>2017</v>
      </c>
      <c r="Z488" s="775">
        <v>12</v>
      </c>
      <c r="AA488" s="739">
        <v>0</v>
      </c>
    </row>
    <row r="489" spans="1:29">
      <c r="A489" s="739" t="s">
        <v>2025</v>
      </c>
      <c r="B489" s="739" t="s">
        <v>2025</v>
      </c>
      <c r="C489" s="739" t="s">
        <v>2026</v>
      </c>
      <c r="D489" s="739" t="s">
        <v>2026</v>
      </c>
      <c r="E489" s="791">
        <v>363000</v>
      </c>
      <c r="G489" s="739" t="str">
        <f t="shared" si="442"/>
        <v>013801</v>
      </c>
      <c r="J489" s="739">
        <v>5000</v>
      </c>
      <c r="Q489" s="773"/>
      <c r="T489" s="775" t="str">
        <f t="shared" si="443"/>
        <v>023801</v>
      </c>
      <c r="W489" s="739" t="s">
        <v>2032</v>
      </c>
      <c r="Y489" s="775">
        <f t="shared" si="444"/>
        <v>2017</v>
      </c>
      <c r="Z489" s="775">
        <v>12</v>
      </c>
      <c r="AA489" s="739">
        <f>('CHANGE NET POSITION-PROP.(19)'!H14)*-1</f>
        <v>0</v>
      </c>
      <c r="AB489" s="739">
        <f>AA489</f>
        <v>0</v>
      </c>
      <c r="AC489" s="739">
        <f>AB489</f>
        <v>0</v>
      </c>
    </row>
    <row r="490" spans="1:29">
      <c r="A490" s="739" t="s">
        <v>2025</v>
      </c>
      <c r="B490" s="739" t="s">
        <v>2025</v>
      </c>
      <c r="C490" s="739" t="s">
        <v>2026</v>
      </c>
      <c r="D490" s="739" t="s">
        <v>2026</v>
      </c>
      <c r="E490" s="791">
        <v>365000</v>
      </c>
      <c r="G490" s="739" t="str">
        <f t="shared" si="442"/>
        <v>013801</v>
      </c>
      <c r="J490" s="739">
        <v>5000</v>
      </c>
      <c r="Q490" s="773"/>
      <c r="T490" s="775" t="str">
        <f t="shared" si="443"/>
        <v>023801</v>
      </c>
      <c r="W490" s="739" t="s">
        <v>2032</v>
      </c>
      <c r="Y490" s="775">
        <f t="shared" si="444"/>
        <v>2017</v>
      </c>
      <c r="Z490" s="775">
        <v>12</v>
      </c>
      <c r="AA490" s="739">
        <v>0</v>
      </c>
    </row>
    <row r="491" spans="1:29">
      <c r="A491" s="739" t="s">
        <v>2025</v>
      </c>
      <c r="B491" s="739" t="s">
        <v>2025</v>
      </c>
      <c r="C491" s="739" t="s">
        <v>2026</v>
      </c>
      <c r="D491" s="739" t="s">
        <v>2026</v>
      </c>
      <c r="E491" s="791">
        <v>366000</v>
      </c>
      <c r="G491" s="739" t="str">
        <f t="shared" si="442"/>
        <v>013801</v>
      </c>
      <c r="J491" s="739">
        <v>5000</v>
      </c>
      <c r="Q491" s="773"/>
      <c r="T491" s="775" t="str">
        <f t="shared" si="443"/>
        <v>023801</v>
      </c>
      <c r="W491" s="739" t="s">
        <v>2032</v>
      </c>
      <c r="Y491" s="775">
        <f t="shared" si="444"/>
        <v>2017</v>
      </c>
      <c r="Z491" s="775">
        <v>12</v>
      </c>
      <c r="AA491" s="739">
        <v>0</v>
      </c>
    </row>
    <row r="492" spans="1:29">
      <c r="A492" s="739" t="s">
        <v>2025</v>
      </c>
      <c r="B492" s="739" t="s">
        <v>2025</v>
      </c>
      <c r="C492" s="739" t="s">
        <v>2026</v>
      </c>
      <c r="D492" s="739" t="s">
        <v>2026</v>
      </c>
      <c r="E492" s="791">
        <v>367000</v>
      </c>
      <c r="G492" s="739" t="str">
        <f t="shared" si="442"/>
        <v>013801</v>
      </c>
      <c r="J492" s="739">
        <v>5000</v>
      </c>
      <c r="Q492" s="773"/>
      <c r="T492" s="775" t="str">
        <f t="shared" si="443"/>
        <v>023801</v>
      </c>
      <c r="W492" s="739" t="s">
        <v>2032</v>
      </c>
      <c r="Y492" s="775">
        <f t="shared" si="444"/>
        <v>2017</v>
      </c>
      <c r="Z492" s="775">
        <v>12</v>
      </c>
      <c r="AA492" s="739">
        <v>0</v>
      </c>
    </row>
    <row r="493" spans="1:29">
      <c r="A493" s="739" t="s">
        <v>2025</v>
      </c>
      <c r="B493" s="739" t="s">
        <v>2025</v>
      </c>
      <c r="C493" s="739" t="s">
        <v>2026</v>
      </c>
      <c r="D493" s="739" t="s">
        <v>2026</v>
      </c>
      <c r="E493" s="791">
        <v>368000</v>
      </c>
      <c r="G493" s="739" t="str">
        <f t="shared" si="442"/>
        <v>013801</v>
      </c>
      <c r="J493" s="739">
        <v>5000</v>
      </c>
      <c r="Q493" s="773"/>
      <c r="T493" s="775" t="str">
        <f t="shared" si="443"/>
        <v>023801</v>
      </c>
      <c r="W493" s="739" t="s">
        <v>2032</v>
      </c>
      <c r="Y493" s="775">
        <f t="shared" si="444"/>
        <v>2017</v>
      </c>
      <c r="Z493" s="775">
        <v>12</v>
      </c>
      <c r="AA493" s="739">
        <f>('CHANGE NET POSITION-PROP.(19)'!H42)*-1</f>
        <v>0</v>
      </c>
      <c r="AB493" s="739">
        <f>AA493</f>
        <v>0</v>
      </c>
      <c r="AC493" s="739">
        <f>AB493</f>
        <v>0</v>
      </c>
    </row>
    <row r="494" spans="1:29">
      <c r="A494" s="739" t="s">
        <v>2025</v>
      </c>
      <c r="B494" s="739" t="s">
        <v>2025</v>
      </c>
      <c r="C494" s="739" t="s">
        <v>2026</v>
      </c>
      <c r="D494" s="739" t="s">
        <v>2026</v>
      </c>
      <c r="E494" s="791">
        <v>370000</v>
      </c>
      <c r="G494" s="739" t="str">
        <f t="shared" si="442"/>
        <v>013801</v>
      </c>
      <c r="J494" s="739">
        <v>5000</v>
      </c>
      <c r="Q494" s="773"/>
      <c r="T494" s="775" t="str">
        <f t="shared" si="443"/>
        <v>023801</v>
      </c>
      <c r="W494" s="739" t="s">
        <v>2032</v>
      </c>
      <c r="Y494" s="775">
        <f t="shared" si="444"/>
        <v>2017</v>
      </c>
      <c r="Z494" s="775">
        <v>12</v>
      </c>
      <c r="AA494" s="739">
        <v>0</v>
      </c>
      <c r="AB494" s="739">
        <f>AA494</f>
        <v>0</v>
      </c>
      <c r="AC494" s="739">
        <f>AB494</f>
        <v>0</v>
      </c>
    </row>
    <row r="495" spans="1:29">
      <c r="A495" s="739" t="s">
        <v>2025</v>
      </c>
      <c r="B495" s="739" t="s">
        <v>2025</v>
      </c>
      <c r="C495" s="739" t="s">
        <v>2026</v>
      </c>
      <c r="D495" s="739" t="s">
        <v>2026</v>
      </c>
      <c r="E495" s="791">
        <v>371000</v>
      </c>
      <c r="G495" s="739" t="str">
        <f t="shared" si="442"/>
        <v>013801</v>
      </c>
      <c r="J495" s="739">
        <v>5000</v>
      </c>
      <c r="Q495" s="773"/>
      <c r="T495" s="775" t="str">
        <f t="shared" si="443"/>
        <v>023801</v>
      </c>
      <c r="W495" s="739" t="s">
        <v>2032</v>
      </c>
      <c r="Y495" s="775">
        <f t="shared" si="444"/>
        <v>2017</v>
      </c>
      <c r="Z495" s="775">
        <v>12</v>
      </c>
      <c r="AA495" s="739">
        <f>('CHANGE NET POSITION-PROP.(19)'!H33)*-1</f>
        <v>-438.76000000000005</v>
      </c>
      <c r="AB495" s="739">
        <f>AA495</f>
        <v>-438.76000000000005</v>
      </c>
      <c r="AC495" s="739">
        <f>AA495</f>
        <v>-438.76000000000005</v>
      </c>
    </row>
    <row r="496" spans="1:29">
      <c r="A496" s="739" t="s">
        <v>2025</v>
      </c>
      <c r="B496" s="739" t="s">
        <v>2025</v>
      </c>
      <c r="C496" s="739" t="s">
        <v>2026</v>
      </c>
      <c r="D496" s="739" t="s">
        <v>2026</v>
      </c>
      <c r="E496" s="791">
        <v>372000</v>
      </c>
      <c r="G496" s="739" t="str">
        <f t="shared" si="442"/>
        <v>013801</v>
      </c>
      <c r="J496" s="739">
        <v>5000</v>
      </c>
      <c r="Q496" s="773"/>
      <c r="T496" s="775" t="str">
        <f t="shared" si="443"/>
        <v>023801</v>
      </c>
      <c r="W496" s="739" t="s">
        <v>2032</v>
      </c>
      <c r="Y496" s="775">
        <f t="shared" si="444"/>
        <v>2017</v>
      </c>
      <c r="Z496" s="775">
        <v>12</v>
      </c>
      <c r="AA496" s="739">
        <v>0</v>
      </c>
    </row>
    <row r="497" spans="1:29">
      <c r="A497" s="739" t="s">
        <v>2025</v>
      </c>
      <c r="B497" s="739" t="s">
        <v>2025</v>
      </c>
      <c r="C497" s="739" t="s">
        <v>2026</v>
      </c>
      <c r="D497" s="739" t="s">
        <v>2026</v>
      </c>
      <c r="E497" s="791">
        <v>373000</v>
      </c>
      <c r="G497" s="739" t="str">
        <f t="shared" si="442"/>
        <v>013801</v>
      </c>
      <c r="J497" s="739">
        <v>5000</v>
      </c>
      <c r="Q497" s="773"/>
      <c r="T497" s="775" t="str">
        <f t="shared" si="443"/>
        <v>023801</v>
      </c>
      <c r="W497" s="739" t="s">
        <v>2032</v>
      </c>
      <c r="Y497" s="775">
        <f t="shared" si="444"/>
        <v>2017</v>
      </c>
      <c r="Z497" s="775">
        <v>12</v>
      </c>
      <c r="AA497" s="739">
        <v>0</v>
      </c>
    </row>
    <row r="498" spans="1:29">
      <c r="A498" s="739" t="s">
        <v>2025</v>
      </c>
      <c r="B498" s="739" t="s">
        <v>2025</v>
      </c>
      <c r="C498" s="739" t="s">
        <v>2026</v>
      </c>
      <c r="D498" s="739" t="s">
        <v>2026</v>
      </c>
      <c r="E498" s="791">
        <v>380000</v>
      </c>
      <c r="G498" s="739" t="str">
        <f t="shared" si="442"/>
        <v>013801</v>
      </c>
      <c r="J498" s="739">
        <v>5000</v>
      </c>
      <c r="Q498" s="773"/>
      <c r="T498" s="775" t="str">
        <f t="shared" si="443"/>
        <v>023801</v>
      </c>
      <c r="W498" s="739" t="s">
        <v>2032</v>
      </c>
      <c r="Y498" s="775">
        <f t="shared" si="444"/>
        <v>2017</v>
      </c>
      <c r="Z498" s="775">
        <v>12</v>
      </c>
      <c r="AA498" s="739">
        <v>0</v>
      </c>
    </row>
    <row r="499" spans="1:29">
      <c r="A499" s="739" t="s">
        <v>2025</v>
      </c>
      <c r="B499" s="739" t="s">
        <v>2025</v>
      </c>
      <c r="C499" s="739" t="s">
        <v>2026</v>
      </c>
      <c r="D499" s="739" t="s">
        <v>2026</v>
      </c>
      <c r="E499" s="791">
        <v>381000</v>
      </c>
      <c r="G499" s="739" t="str">
        <f t="shared" si="442"/>
        <v>013801</v>
      </c>
      <c r="J499" s="739">
        <v>5000</v>
      </c>
      <c r="Q499" s="773"/>
      <c r="T499" s="775" t="str">
        <f t="shared" si="443"/>
        <v>023801</v>
      </c>
      <c r="W499" s="739" t="s">
        <v>2032</v>
      </c>
      <c r="Y499" s="775">
        <f t="shared" si="444"/>
        <v>2017</v>
      </c>
      <c r="Z499" s="775">
        <v>12</v>
      </c>
      <c r="AA499" s="739">
        <v>0</v>
      </c>
    </row>
    <row r="500" spans="1:29">
      <c r="A500" s="739" t="s">
        <v>2025</v>
      </c>
      <c r="B500" s="739" t="s">
        <v>2025</v>
      </c>
      <c r="C500" s="739" t="s">
        <v>2026</v>
      </c>
      <c r="D500" s="739" t="s">
        <v>2026</v>
      </c>
      <c r="E500" s="791">
        <v>382000</v>
      </c>
      <c r="G500" s="739" t="str">
        <f t="shared" si="442"/>
        <v>013801</v>
      </c>
      <c r="J500" s="739">
        <v>5000</v>
      </c>
      <c r="Q500" s="773"/>
      <c r="T500" s="775" t="str">
        <f t="shared" si="443"/>
        <v>023801</v>
      </c>
      <c r="W500" s="739" t="s">
        <v>2032</v>
      </c>
      <c r="Y500" s="775">
        <f t="shared" si="444"/>
        <v>2017</v>
      </c>
      <c r="Z500" s="775">
        <v>12</v>
      </c>
      <c r="AA500" s="739">
        <f>(IF('CHANGE NET POSITION-PROP.(19)'!H34&lt;1,-'CHANGE NET POSITION-PROP.(19)'!H34)+IF('CHANGE NET POSITION-PROP.(19)'!H34&gt;1,'CHANGE NET POSITION-PROP.(19)'!H34))*-1</f>
        <v>0</v>
      </c>
      <c r="AB500" s="739">
        <f t="shared" ref="AB500:AC500" si="445">AA500</f>
        <v>0</v>
      </c>
      <c r="AC500" s="739">
        <f t="shared" si="445"/>
        <v>0</v>
      </c>
    </row>
    <row r="501" spans="1:29">
      <c r="A501" s="739" t="s">
        <v>2025</v>
      </c>
      <c r="B501" s="739" t="s">
        <v>2025</v>
      </c>
      <c r="C501" s="739" t="s">
        <v>2026</v>
      </c>
      <c r="D501" s="739" t="s">
        <v>2026</v>
      </c>
      <c r="E501" s="791">
        <v>383000</v>
      </c>
      <c r="G501" s="739" t="str">
        <f t="shared" si="442"/>
        <v>013801</v>
      </c>
      <c r="J501" s="739">
        <v>5000</v>
      </c>
      <c r="Q501" s="773"/>
      <c r="T501" s="775" t="str">
        <f t="shared" si="443"/>
        <v>023801</v>
      </c>
      <c r="W501" s="739" t="s">
        <v>2032</v>
      </c>
      <c r="Y501" s="775">
        <f t="shared" si="444"/>
        <v>2017</v>
      </c>
      <c r="Z501" s="775">
        <v>12</v>
      </c>
      <c r="AA501" s="739">
        <f>(IF('CHANGE NET POSITION-PROP.(19)'!H43&gt;0,'CHANGE NET POSITION-PROP.(19)'!H43,0))*-1</f>
        <v>0</v>
      </c>
      <c r="AB501" s="739">
        <f t="shared" ref="AB501:AC501" si="446">AA501</f>
        <v>0</v>
      </c>
      <c r="AC501" s="739">
        <f t="shared" si="446"/>
        <v>0</v>
      </c>
    </row>
    <row r="502" spans="1:29">
      <c r="A502" s="739" t="s">
        <v>2025</v>
      </c>
      <c r="B502" s="739" t="s">
        <v>2025</v>
      </c>
      <c r="C502" s="739" t="s">
        <v>2026</v>
      </c>
      <c r="D502" s="739" t="s">
        <v>2026</v>
      </c>
      <c r="E502" s="791">
        <v>384000</v>
      </c>
      <c r="G502" s="739" t="str">
        <f t="shared" si="442"/>
        <v>013801</v>
      </c>
      <c r="J502" s="739">
        <v>5000</v>
      </c>
      <c r="Q502" s="773"/>
      <c r="T502" s="775" t="str">
        <f t="shared" si="443"/>
        <v>023801</v>
      </c>
      <c r="W502" s="739" t="s">
        <v>2032</v>
      </c>
      <c r="Y502" s="775">
        <f t="shared" si="444"/>
        <v>2017</v>
      </c>
      <c r="Z502" s="775">
        <v>12</v>
      </c>
      <c r="AA502" s="739">
        <f>('CHANGE NET POSITION-PROP.(19)'!H36)*-1</f>
        <v>0</v>
      </c>
      <c r="AB502" s="739">
        <f t="shared" ref="AB502:AC502" si="447">AA502</f>
        <v>0</v>
      </c>
      <c r="AC502" s="739">
        <f t="shared" si="447"/>
        <v>0</v>
      </c>
    </row>
    <row r="503" spans="1:29">
      <c r="A503" s="739" t="s">
        <v>2025</v>
      </c>
      <c r="B503" s="739" t="s">
        <v>2025</v>
      </c>
      <c r="C503" s="739" t="s">
        <v>2026</v>
      </c>
      <c r="D503" s="739" t="s">
        <v>2026</v>
      </c>
      <c r="E503" s="791">
        <v>385000</v>
      </c>
      <c r="G503" s="739" t="str">
        <f t="shared" si="442"/>
        <v>013801</v>
      </c>
      <c r="J503" s="739">
        <v>5000</v>
      </c>
      <c r="Q503" s="773"/>
      <c r="T503" s="775" t="str">
        <f t="shared" si="443"/>
        <v>023801</v>
      </c>
      <c r="W503" s="739" t="s">
        <v>2032</v>
      </c>
      <c r="Y503" s="775">
        <f t="shared" si="444"/>
        <v>2017</v>
      </c>
      <c r="Z503" s="775">
        <v>12</v>
      </c>
      <c r="AA503" s="739">
        <f>('CHANGE NET POSITION-PROP.(19)'!H37)*-1</f>
        <v>-900</v>
      </c>
      <c r="AB503" s="739">
        <f t="shared" ref="AB503:AC503" si="448">AA503</f>
        <v>-900</v>
      </c>
      <c r="AC503" s="739">
        <f t="shared" si="448"/>
        <v>-900</v>
      </c>
    </row>
    <row r="504" spans="1:29">
      <c r="A504" s="739" t="s">
        <v>2025</v>
      </c>
      <c r="B504" s="739" t="s">
        <v>2025</v>
      </c>
      <c r="C504" s="739" t="s">
        <v>2026</v>
      </c>
      <c r="D504" s="739" t="s">
        <v>2026</v>
      </c>
      <c r="E504" s="791">
        <v>390000</v>
      </c>
      <c r="G504" s="739" t="str">
        <f t="shared" si="442"/>
        <v>013801</v>
      </c>
      <c r="J504" s="739">
        <v>5000</v>
      </c>
      <c r="Q504" s="773"/>
      <c r="T504" s="775" t="str">
        <f t="shared" si="443"/>
        <v>023801</v>
      </c>
      <c r="W504" s="739" t="s">
        <v>2032</v>
      </c>
      <c r="Y504" s="775">
        <f t="shared" si="444"/>
        <v>2017</v>
      </c>
      <c r="Z504" s="775">
        <v>12</v>
      </c>
      <c r="AA504" s="739">
        <v>0</v>
      </c>
    </row>
    <row r="505" spans="1:29">
      <c r="A505" s="739" t="s">
        <v>2025</v>
      </c>
      <c r="B505" s="739" t="s">
        <v>2025</v>
      </c>
      <c r="C505" s="739" t="s">
        <v>2026</v>
      </c>
      <c r="D505" s="739" t="s">
        <v>2026</v>
      </c>
      <c r="E505" s="791">
        <v>391000</v>
      </c>
      <c r="G505" s="739" t="str">
        <f t="shared" si="442"/>
        <v>013801</v>
      </c>
      <c r="J505" s="739">
        <v>5000</v>
      </c>
      <c r="Q505" s="773"/>
      <c r="T505" s="775" t="str">
        <f t="shared" si="443"/>
        <v>023801</v>
      </c>
      <c r="W505" s="739" t="s">
        <v>2032</v>
      </c>
      <c r="Y505" s="775">
        <f t="shared" si="444"/>
        <v>2017</v>
      </c>
      <c r="Z505" s="775">
        <v>12</v>
      </c>
      <c r="AA505" s="739">
        <v>0</v>
      </c>
    </row>
    <row r="506" spans="1:29">
      <c r="A506" s="739" t="s">
        <v>2025</v>
      </c>
      <c r="B506" s="739" t="s">
        <v>2025</v>
      </c>
      <c r="C506" s="739" t="s">
        <v>2026</v>
      </c>
      <c r="D506" s="739" t="s">
        <v>2026</v>
      </c>
      <c r="E506" s="791">
        <v>392000</v>
      </c>
      <c r="G506" s="739" t="str">
        <f t="shared" si="442"/>
        <v>013801</v>
      </c>
      <c r="J506" s="739">
        <v>5000</v>
      </c>
      <c r="Q506" s="773"/>
      <c r="T506" s="775" t="str">
        <f t="shared" si="443"/>
        <v>023801</v>
      </c>
      <c r="W506" s="739" t="s">
        <v>2032</v>
      </c>
      <c r="Y506" s="775">
        <f t="shared" si="444"/>
        <v>2017</v>
      </c>
      <c r="Z506" s="775">
        <v>12</v>
      </c>
      <c r="AA506" s="739">
        <v>0</v>
      </c>
    </row>
    <row r="507" spans="1:29">
      <c r="A507" s="739" t="s">
        <v>2025</v>
      </c>
      <c r="B507" s="739" t="s">
        <v>2025</v>
      </c>
      <c r="C507" s="739" t="s">
        <v>2026</v>
      </c>
      <c r="D507" s="739" t="s">
        <v>2026</v>
      </c>
      <c r="E507" s="791">
        <v>393000</v>
      </c>
      <c r="G507" s="739" t="str">
        <f t="shared" si="442"/>
        <v>013801</v>
      </c>
      <c r="J507" s="739">
        <v>5000</v>
      </c>
      <c r="Q507" s="773"/>
      <c r="T507" s="775" t="str">
        <f t="shared" si="443"/>
        <v>023801</v>
      </c>
      <c r="W507" s="739" t="s">
        <v>2032</v>
      </c>
      <c r="Y507" s="775">
        <f t="shared" si="444"/>
        <v>2017</v>
      </c>
      <c r="Z507" s="775">
        <v>12</v>
      </c>
      <c r="AA507" s="739">
        <v>0</v>
      </c>
    </row>
    <row r="508" spans="1:29">
      <c r="A508" s="739" t="s">
        <v>2025</v>
      </c>
      <c r="B508" s="739" t="s">
        <v>2025</v>
      </c>
      <c r="C508" s="739" t="s">
        <v>2026</v>
      </c>
      <c r="D508" s="739" t="s">
        <v>2026</v>
      </c>
      <c r="E508" s="791">
        <v>394000</v>
      </c>
      <c r="G508" s="739" t="str">
        <f t="shared" si="442"/>
        <v>013801</v>
      </c>
      <c r="J508" s="739">
        <v>5000</v>
      </c>
      <c r="Q508" s="773"/>
      <c r="T508" s="775" t="str">
        <f t="shared" si="443"/>
        <v>023801</v>
      </c>
      <c r="W508" s="739" t="s">
        <v>2032</v>
      </c>
      <c r="Y508" s="775">
        <f t="shared" si="444"/>
        <v>2017</v>
      </c>
      <c r="Z508" s="775">
        <v>12</v>
      </c>
      <c r="AA508" s="739">
        <v>0</v>
      </c>
    </row>
    <row r="509" spans="1:29">
      <c r="A509" s="739" t="s">
        <v>2025</v>
      </c>
      <c r="B509" s="739" t="s">
        <v>2025</v>
      </c>
      <c r="C509" s="739" t="s">
        <v>2026</v>
      </c>
      <c r="D509" s="739" t="s">
        <v>2026</v>
      </c>
      <c r="E509" s="791">
        <v>395000</v>
      </c>
      <c r="G509" s="739" t="str">
        <f t="shared" si="442"/>
        <v>013801</v>
      </c>
      <c r="J509" s="739">
        <v>5000</v>
      </c>
      <c r="Q509" s="773"/>
      <c r="T509" s="775" t="str">
        <f t="shared" si="443"/>
        <v>023801</v>
      </c>
      <c r="W509" s="739" t="s">
        <v>2032</v>
      </c>
      <c r="Y509" s="775">
        <f t="shared" si="444"/>
        <v>2017</v>
      </c>
      <c r="Z509" s="775">
        <v>12</v>
      </c>
      <c r="AA509" s="739">
        <v>0</v>
      </c>
    </row>
    <row r="510" spans="1:29">
      <c r="A510" s="739" t="s">
        <v>2025</v>
      </c>
      <c r="B510" s="739" t="s">
        <v>2025</v>
      </c>
      <c r="C510" s="739" t="s">
        <v>2026</v>
      </c>
      <c r="D510" s="739" t="s">
        <v>2026</v>
      </c>
      <c r="E510" s="791">
        <v>396000</v>
      </c>
      <c r="G510" s="739" t="str">
        <f t="shared" si="442"/>
        <v>013801</v>
      </c>
      <c r="J510" s="739">
        <v>5000</v>
      </c>
      <c r="Q510" s="773"/>
      <c r="T510" s="775" t="str">
        <f t="shared" si="443"/>
        <v>023801</v>
      </c>
      <c r="W510" s="739" t="s">
        <v>2032</v>
      </c>
      <c r="Y510" s="775">
        <f t="shared" si="444"/>
        <v>2017</v>
      </c>
      <c r="Z510" s="775">
        <v>12</v>
      </c>
      <c r="AA510" s="739">
        <v>0</v>
      </c>
    </row>
    <row r="511" spans="1:29">
      <c r="A511" s="739" t="s">
        <v>2025</v>
      </c>
      <c r="B511" s="739" t="s">
        <v>2025</v>
      </c>
      <c r="C511" s="739" t="s">
        <v>2026</v>
      </c>
      <c r="D511" s="739" t="s">
        <v>2026</v>
      </c>
      <c r="E511" s="791">
        <v>397000</v>
      </c>
      <c r="G511" s="739" t="str">
        <f t="shared" si="442"/>
        <v>013801</v>
      </c>
      <c r="J511" s="739">
        <v>5000</v>
      </c>
      <c r="Q511" s="773"/>
      <c r="T511" s="775" t="str">
        <f t="shared" si="443"/>
        <v>023801</v>
      </c>
      <c r="W511" s="739" t="s">
        <v>2032</v>
      </c>
      <c r="Y511" s="775">
        <f t="shared" si="444"/>
        <v>2017</v>
      </c>
      <c r="Z511" s="775">
        <v>12</v>
      </c>
      <c r="AA511" s="739">
        <v>0</v>
      </c>
    </row>
    <row r="512" spans="1:29">
      <c r="A512" s="739" t="s">
        <v>2025</v>
      </c>
      <c r="B512" s="739" t="s">
        <v>2025</v>
      </c>
      <c r="C512" s="739" t="s">
        <v>2026</v>
      </c>
      <c r="D512" s="739" t="s">
        <v>2026</v>
      </c>
      <c r="E512" s="774" t="s">
        <v>2607</v>
      </c>
      <c r="G512" s="739" t="str">
        <f t="shared" si="442"/>
        <v>013801</v>
      </c>
      <c r="J512" s="739">
        <v>5000</v>
      </c>
      <c r="Q512" s="773">
        <v>100</v>
      </c>
      <c r="T512" s="775" t="str">
        <f t="shared" si="443"/>
        <v>023801</v>
      </c>
      <c r="W512" s="739" t="s">
        <v>2032</v>
      </c>
      <c r="Y512" s="775">
        <f t="shared" si="444"/>
        <v>2017</v>
      </c>
      <c r="Z512" s="775">
        <v>12</v>
      </c>
      <c r="AA512" s="739">
        <f>'CHANGE NET POSITION-PROP.(19)'!H19</f>
        <v>146186.55000000002</v>
      </c>
      <c r="AB512" s="739">
        <f t="shared" ref="AB512:AC512" si="449">AA512</f>
        <v>146186.55000000002</v>
      </c>
      <c r="AC512" s="739">
        <f t="shared" si="449"/>
        <v>146186.55000000002</v>
      </c>
    </row>
    <row r="513" spans="1:29">
      <c r="A513" s="739" t="s">
        <v>2025</v>
      </c>
      <c r="B513" s="739" t="s">
        <v>2025</v>
      </c>
      <c r="C513" s="739" t="s">
        <v>2026</v>
      </c>
      <c r="D513" s="739" t="s">
        <v>2026</v>
      </c>
      <c r="E513" s="774" t="s">
        <v>2607</v>
      </c>
      <c r="G513" s="739" t="str">
        <f t="shared" si="442"/>
        <v>013801</v>
      </c>
      <c r="J513" s="739">
        <v>5000</v>
      </c>
      <c r="Q513" s="773">
        <v>200</v>
      </c>
      <c r="T513" s="775" t="str">
        <f t="shared" si="443"/>
        <v>023801</v>
      </c>
      <c r="W513" s="739" t="s">
        <v>2032</v>
      </c>
      <c r="Y513" s="775">
        <f t="shared" si="444"/>
        <v>2017</v>
      </c>
      <c r="Z513" s="775">
        <v>12</v>
      </c>
      <c r="AA513" s="739">
        <f>'CHANGE NET POSITION-PROP.(19)'!H20</f>
        <v>26078.82</v>
      </c>
      <c r="AB513" s="739">
        <f t="shared" ref="AB513:AC513" si="450">AA513</f>
        <v>26078.82</v>
      </c>
      <c r="AC513" s="739">
        <f t="shared" si="450"/>
        <v>26078.82</v>
      </c>
    </row>
    <row r="514" spans="1:29">
      <c r="A514" s="739" t="s">
        <v>2025</v>
      </c>
      <c r="B514" s="739" t="s">
        <v>2025</v>
      </c>
      <c r="C514" s="739" t="s">
        <v>2026</v>
      </c>
      <c r="D514" s="739" t="s">
        <v>2026</v>
      </c>
      <c r="E514" s="774" t="s">
        <v>2607</v>
      </c>
      <c r="G514" s="739" t="str">
        <f t="shared" si="442"/>
        <v>013801</v>
      </c>
      <c r="J514" s="739">
        <v>5000</v>
      </c>
      <c r="Q514" s="773">
        <v>300</v>
      </c>
      <c r="T514" s="775" t="str">
        <f t="shared" si="443"/>
        <v>023801</v>
      </c>
      <c r="W514" s="739" t="s">
        <v>2032</v>
      </c>
      <c r="Y514" s="775">
        <f t="shared" si="444"/>
        <v>2017</v>
      </c>
      <c r="Z514" s="775">
        <v>12</v>
      </c>
      <c r="AA514" s="739">
        <f>'CHANGE NET POSITION-PROP.(19)'!H21</f>
        <v>34129.899999999994</v>
      </c>
      <c r="AB514" s="739">
        <f t="shared" ref="AB514:AC514" si="451">AA514</f>
        <v>34129.899999999994</v>
      </c>
      <c r="AC514" s="739">
        <f t="shared" si="451"/>
        <v>34129.899999999994</v>
      </c>
    </row>
    <row r="515" spans="1:29">
      <c r="A515" s="739" t="s">
        <v>2025</v>
      </c>
      <c r="B515" s="739" t="s">
        <v>2025</v>
      </c>
      <c r="C515" s="739" t="s">
        <v>2026</v>
      </c>
      <c r="D515" s="739" t="s">
        <v>2026</v>
      </c>
      <c r="E515" s="774" t="s">
        <v>2607</v>
      </c>
      <c r="G515" s="739" t="str">
        <f t="shared" si="442"/>
        <v>013801</v>
      </c>
      <c r="J515" s="739">
        <v>5000</v>
      </c>
      <c r="Q515" s="773">
        <v>400</v>
      </c>
      <c r="T515" s="775" t="str">
        <f t="shared" si="443"/>
        <v>023801</v>
      </c>
      <c r="W515" s="739" t="s">
        <v>2032</v>
      </c>
      <c r="Y515" s="775">
        <f t="shared" si="444"/>
        <v>2017</v>
      </c>
      <c r="Z515" s="775">
        <v>12</v>
      </c>
      <c r="AA515" s="739">
        <f>'CHANGE NET POSITION-PROP.(19)'!H22</f>
        <v>0</v>
      </c>
      <c r="AB515" s="739">
        <f t="shared" ref="AB515:AC515" si="452">AA515</f>
        <v>0</v>
      </c>
      <c r="AC515" s="739">
        <f t="shared" si="452"/>
        <v>0</v>
      </c>
    </row>
    <row r="516" spans="1:29">
      <c r="A516" s="739" t="s">
        <v>2025</v>
      </c>
      <c r="B516" s="739" t="s">
        <v>2025</v>
      </c>
      <c r="C516" s="739" t="s">
        <v>2026</v>
      </c>
      <c r="D516" s="739" t="s">
        <v>2026</v>
      </c>
      <c r="E516" s="774" t="s">
        <v>2607</v>
      </c>
      <c r="G516" s="739" t="str">
        <f t="shared" si="442"/>
        <v>013801</v>
      </c>
      <c r="J516" s="739">
        <v>5000</v>
      </c>
      <c r="Q516" s="773">
        <v>500</v>
      </c>
      <c r="T516" s="775" t="str">
        <f t="shared" si="443"/>
        <v>023801</v>
      </c>
      <c r="W516" s="739" t="s">
        <v>2032</v>
      </c>
      <c r="Y516" s="775">
        <f t="shared" si="444"/>
        <v>2017</v>
      </c>
      <c r="Z516" s="775">
        <v>12</v>
      </c>
      <c r="AA516" s="739">
        <f>'CHANGE NET POSITION-PROP.(19)'!H23</f>
        <v>0</v>
      </c>
      <c r="AB516" s="739">
        <f t="shared" ref="AB516:AC516" si="453">AA516</f>
        <v>0</v>
      </c>
      <c r="AC516" s="739">
        <f t="shared" si="453"/>
        <v>0</v>
      </c>
    </row>
    <row r="517" spans="1:29">
      <c r="A517" s="739" t="s">
        <v>2025</v>
      </c>
      <c r="B517" s="739" t="s">
        <v>2025</v>
      </c>
      <c r="C517" s="739" t="s">
        <v>2026</v>
      </c>
      <c r="D517" s="739" t="s">
        <v>2026</v>
      </c>
      <c r="E517" s="774" t="s">
        <v>2607</v>
      </c>
      <c r="G517" s="739" t="str">
        <f t="shared" si="442"/>
        <v>013801</v>
      </c>
      <c r="J517" s="739">
        <v>5000</v>
      </c>
      <c r="Q517" s="773">
        <v>600</v>
      </c>
      <c r="T517" s="775" t="str">
        <f t="shared" si="443"/>
        <v>023801</v>
      </c>
      <c r="W517" s="739" t="s">
        <v>2032</v>
      </c>
      <c r="Y517" s="775">
        <f t="shared" si="444"/>
        <v>2017</v>
      </c>
      <c r="Z517" s="775">
        <v>12</v>
      </c>
      <c r="AA517" s="739">
        <f>-'CHANGE NET POSITION-PROP.(19)'!H35</f>
        <v>0</v>
      </c>
      <c r="AB517" s="739">
        <f t="shared" ref="AB517:AC517" si="454">AA517</f>
        <v>0</v>
      </c>
      <c r="AC517" s="739">
        <f t="shared" si="454"/>
        <v>0</v>
      </c>
    </row>
    <row r="518" spans="1:29">
      <c r="A518" s="739" t="s">
        <v>2025</v>
      </c>
      <c r="B518" s="739" t="s">
        <v>2025</v>
      </c>
      <c r="C518" s="739" t="s">
        <v>2026</v>
      </c>
      <c r="D518" s="739" t="s">
        <v>2026</v>
      </c>
      <c r="E518" s="774" t="s">
        <v>2607</v>
      </c>
      <c r="G518" s="739" t="str">
        <f t="shared" si="442"/>
        <v>013801</v>
      </c>
      <c r="J518" s="739">
        <v>5000</v>
      </c>
      <c r="Q518" s="773">
        <v>700</v>
      </c>
      <c r="T518" s="775" t="str">
        <f t="shared" si="443"/>
        <v>023801</v>
      </c>
      <c r="W518" s="739" t="s">
        <v>2032</v>
      </c>
      <c r="Y518" s="775">
        <f t="shared" si="444"/>
        <v>2017</v>
      </c>
      <c r="Z518" s="775">
        <v>12</v>
      </c>
      <c r="AA518" s="739">
        <v>0</v>
      </c>
      <c r="AB518" s="739">
        <f t="shared" ref="AB518:AC518" si="455">AA518</f>
        <v>0</v>
      </c>
      <c r="AC518" s="739">
        <f t="shared" si="455"/>
        <v>0</v>
      </c>
    </row>
    <row r="519" spans="1:29">
      <c r="A519" s="739" t="s">
        <v>2025</v>
      </c>
      <c r="B519" s="739" t="s">
        <v>2025</v>
      </c>
      <c r="C519" s="739" t="s">
        <v>2026</v>
      </c>
      <c r="D519" s="739" t="s">
        <v>2026</v>
      </c>
      <c r="E519" s="774" t="s">
        <v>2607</v>
      </c>
      <c r="G519" s="739" t="str">
        <f t="shared" si="442"/>
        <v>013801</v>
      </c>
      <c r="J519" s="739">
        <v>5000</v>
      </c>
      <c r="Q519" s="773">
        <v>800</v>
      </c>
      <c r="T519" s="775" t="str">
        <f t="shared" si="443"/>
        <v>023801</v>
      </c>
      <c r="W519" s="739" t="s">
        <v>2032</v>
      </c>
      <c r="Y519" s="775">
        <f t="shared" si="444"/>
        <v>2017</v>
      </c>
      <c r="Z519" s="775">
        <v>12</v>
      </c>
      <c r="AA519" s="739">
        <f>'CHANGE NET POSITION-PROP.(19)'!H24+'CHANGE NET POSITION-PROP.(19)'!H25</f>
        <v>10066.92</v>
      </c>
      <c r="AB519" s="739">
        <f t="shared" ref="AB519:AC519" si="456">AA519</f>
        <v>10066.92</v>
      </c>
      <c r="AC519" s="739">
        <f t="shared" si="456"/>
        <v>10066.92</v>
      </c>
    </row>
    <row r="520" spans="1:29">
      <c r="A520" s="739" t="s">
        <v>2025</v>
      </c>
      <c r="B520" s="739" t="s">
        <v>2025</v>
      </c>
      <c r="C520" s="739" t="s">
        <v>2026</v>
      </c>
      <c r="D520" s="739" t="s">
        <v>2026</v>
      </c>
      <c r="E520" s="791">
        <v>520000</v>
      </c>
      <c r="G520" s="739" t="str">
        <f t="shared" si="442"/>
        <v>013801</v>
      </c>
      <c r="J520" s="739">
        <v>5000</v>
      </c>
      <c r="Q520" s="773"/>
      <c r="T520" s="775" t="str">
        <f t="shared" si="443"/>
        <v>023801</v>
      </c>
      <c r="W520" s="739" t="s">
        <v>2032</v>
      </c>
      <c r="Y520" s="775">
        <f t="shared" si="444"/>
        <v>2017</v>
      </c>
      <c r="Z520" s="775">
        <v>12</v>
      </c>
      <c r="AA520" s="739">
        <f>IF('CHANGE NET POSITION-PROP.(19)'!H43&lt;1,-'CHANGE NET POSITION-PROP.(19)'!H43,0)+'CHANGE NET POSITION-PROP.(19)'!H38+'CHANGE NET POSITION-PROP.(19)'!H39</f>
        <v>0</v>
      </c>
      <c r="AB520" s="739">
        <f t="shared" ref="AB520:AC520" si="457">AA520</f>
        <v>0</v>
      </c>
      <c r="AC520" s="739">
        <f t="shared" si="457"/>
        <v>0</v>
      </c>
    </row>
    <row r="521" spans="1:29">
      <c r="A521" s="739" t="s">
        <v>2025</v>
      </c>
      <c r="B521" s="739" t="s">
        <v>2025</v>
      </c>
      <c r="C521" s="739" t="s">
        <v>2026</v>
      </c>
      <c r="D521" s="739" t="s">
        <v>2026</v>
      </c>
      <c r="E521" s="791">
        <v>100000</v>
      </c>
      <c r="G521" s="739" t="str">
        <f t="shared" si="442"/>
        <v>013801</v>
      </c>
      <c r="J521" s="739">
        <v>6000</v>
      </c>
      <c r="Q521" s="773"/>
      <c r="T521" s="775" t="str">
        <f t="shared" si="443"/>
        <v>023801</v>
      </c>
      <c r="W521" s="739" t="s">
        <v>2032</v>
      </c>
      <c r="Y521" s="775">
        <f t="shared" si="444"/>
        <v>2017</v>
      </c>
      <c r="Z521" s="775">
        <v>12</v>
      </c>
      <c r="AA521" s="739">
        <f>'COMB. NET POS-IN. SER.(82)'!F12+'COMB. NET POS-IN. SER.(82)'!F13+'COMB. NET POS-IN. SER.(82)'!F14+'COMB. NET POS-IN. SER.(82)'!F24+'COMB. NET POS-IN. SER.(82)'!F25</f>
        <v>0</v>
      </c>
      <c r="AB521" s="739">
        <f t="shared" ref="AB521:AC521" si="458">AA521</f>
        <v>0</v>
      </c>
      <c r="AC521" s="739">
        <f t="shared" si="458"/>
        <v>0</v>
      </c>
    </row>
    <row r="522" spans="1:29">
      <c r="A522" s="739" t="s">
        <v>2025</v>
      </c>
      <c r="B522" s="739" t="s">
        <v>2025</v>
      </c>
      <c r="C522" s="739" t="s">
        <v>2026</v>
      </c>
      <c r="D522" s="739" t="s">
        <v>2026</v>
      </c>
      <c r="E522" s="791">
        <v>110000</v>
      </c>
      <c r="G522" s="739" t="str">
        <f t="shared" ref="G522:G587" si="459">$G$6</f>
        <v>013801</v>
      </c>
      <c r="J522" s="739">
        <v>6000</v>
      </c>
      <c r="Q522" s="773"/>
      <c r="T522" s="775" t="str">
        <f t="shared" ref="T522:T587" si="460">$T$6</f>
        <v>023801</v>
      </c>
      <c r="W522" s="739" t="s">
        <v>2032</v>
      </c>
      <c r="Y522" s="775">
        <f t="shared" ref="Y522:Y587" si="461">$Y$6</f>
        <v>2017</v>
      </c>
      <c r="Z522" s="775">
        <v>12</v>
      </c>
      <c r="AA522" s="739">
        <f>'COMB. NET POS-IN. SER.(82)'!F15</f>
        <v>0</v>
      </c>
      <c r="AB522" s="739">
        <f t="shared" ref="AB522:AC522" si="462">AA522</f>
        <v>0</v>
      </c>
      <c r="AC522" s="739">
        <f t="shared" si="462"/>
        <v>0</v>
      </c>
    </row>
    <row r="523" spans="1:29">
      <c r="A523" s="739" t="s">
        <v>2025</v>
      </c>
      <c r="B523" s="739" t="s">
        <v>2025</v>
      </c>
      <c r="C523" s="739" t="s">
        <v>2026</v>
      </c>
      <c r="D523" s="739" t="s">
        <v>2026</v>
      </c>
      <c r="E523" s="791">
        <v>120000</v>
      </c>
      <c r="G523" s="739" t="str">
        <f t="shared" si="459"/>
        <v>013801</v>
      </c>
      <c r="J523" s="739">
        <v>6000</v>
      </c>
      <c r="Q523" s="773"/>
      <c r="T523" s="775" t="str">
        <f t="shared" si="460"/>
        <v>023801</v>
      </c>
      <c r="W523" s="739" t="s">
        <v>2032</v>
      </c>
      <c r="Y523" s="775">
        <f t="shared" si="461"/>
        <v>2017</v>
      </c>
      <c r="Z523" s="775">
        <v>12</v>
      </c>
      <c r="AA523" s="739">
        <f>'COMB. NET POS-IN. SER.(82)'!F16</f>
        <v>0</v>
      </c>
      <c r="AB523" s="739">
        <f t="shared" ref="AB523:AC523" si="463">AA523</f>
        <v>0</v>
      </c>
      <c r="AC523" s="739">
        <f t="shared" si="463"/>
        <v>0</v>
      </c>
    </row>
    <row r="524" spans="1:29">
      <c r="A524" s="739" t="s">
        <v>2025</v>
      </c>
      <c r="B524" s="739" t="s">
        <v>2025</v>
      </c>
      <c r="C524" s="739" t="s">
        <v>2026</v>
      </c>
      <c r="D524" s="739" t="s">
        <v>2026</v>
      </c>
      <c r="E524" s="791">
        <v>130000</v>
      </c>
      <c r="G524" s="739" t="str">
        <f t="shared" si="459"/>
        <v>013801</v>
      </c>
      <c r="J524" s="739">
        <v>6000</v>
      </c>
      <c r="Q524" s="773"/>
      <c r="T524" s="775" t="str">
        <f t="shared" si="460"/>
        <v>023801</v>
      </c>
      <c r="W524" s="739" t="s">
        <v>2032</v>
      </c>
      <c r="Y524" s="775">
        <f t="shared" si="461"/>
        <v>2017</v>
      </c>
      <c r="Z524" s="775">
        <v>12</v>
      </c>
      <c r="AA524" s="739">
        <f>'COMB. NET POS-IN. SER.(82)'!F17+'COMB. NET POS-IN. SER.(82)'!F26</f>
        <v>0</v>
      </c>
      <c r="AB524" s="739">
        <f t="shared" ref="AB524:AC524" si="464">AA524</f>
        <v>0</v>
      </c>
      <c r="AC524" s="739">
        <f t="shared" si="464"/>
        <v>0</v>
      </c>
    </row>
    <row r="525" spans="1:29">
      <c r="A525" s="739" t="s">
        <v>2025</v>
      </c>
      <c r="B525" s="739" t="s">
        <v>2025</v>
      </c>
      <c r="C525" s="739" t="s">
        <v>2026</v>
      </c>
      <c r="D525" s="739" t="s">
        <v>2026</v>
      </c>
      <c r="E525" s="791">
        <v>140000</v>
      </c>
      <c r="G525" s="739" t="str">
        <f t="shared" si="459"/>
        <v>013801</v>
      </c>
      <c r="J525" s="739">
        <v>6000</v>
      </c>
      <c r="Q525" s="773"/>
      <c r="T525" s="775" t="str">
        <f t="shared" si="460"/>
        <v>023801</v>
      </c>
      <c r="W525" s="739" t="s">
        <v>2032</v>
      </c>
      <c r="Y525" s="775">
        <f t="shared" si="461"/>
        <v>2017</v>
      </c>
      <c r="Z525" s="775">
        <v>12</v>
      </c>
      <c r="AA525" s="739">
        <f>'COMB. NET POS-IN. SER.(82)'!F19</f>
        <v>0</v>
      </c>
      <c r="AB525" s="739">
        <f t="shared" ref="AB525:AC525" si="465">AA525</f>
        <v>0</v>
      </c>
      <c r="AC525" s="739">
        <f t="shared" si="465"/>
        <v>0</v>
      </c>
    </row>
    <row r="526" spans="1:29">
      <c r="A526" s="739" t="s">
        <v>2025</v>
      </c>
      <c r="B526" s="739" t="s">
        <v>2025</v>
      </c>
      <c r="C526" s="739" t="s">
        <v>2026</v>
      </c>
      <c r="D526" s="739" t="s">
        <v>2026</v>
      </c>
      <c r="E526" s="791">
        <v>150000</v>
      </c>
      <c r="G526" s="739" t="str">
        <f t="shared" si="459"/>
        <v>013801</v>
      </c>
      <c r="J526" s="739">
        <v>6000</v>
      </c>
      <c r="Q526" s="773"/>
      <c r="T526" s="775" t="str">
        <f t="shared" si="460"/>
        <v>023801</v>
      </c>
      <c r="W526" s="739" t="s">
        <v>2032</v>
      </c>
      <c r="Y526" s="775">
        <f t="shared" si="461"/>
        <v>2017</v>
      </c>
      <c r="Z526" s="775">
        <v>12</v>
      </c>
      <c r="AA526" s="739">
        <f>'COMB. NET POS-IN. SER.(82)'!F20</f>
        <v>0</v>
      </c>
      <c r="AB526" s="739">
        <f t="shared" ref="AB526:AC526" si="466">AA526</f>
        <v>0</v>
      </c>
      <c r="AC526" s="739">
        <f t="shared" si="466"/>
        <v>0</v>
      </c>
    </row>
    <row r="527" spans="1:29">
      <c r="A527" s="739" t="s">
        <v>2025</v>
      </c>
      <c r="B527" s="739" t="s">
        <v>2025</v>
      </c>
      <c r="C527" s="739" t="s">
        <v>2026</v>
      </c>
      <c r="D527" s="739" t="s">
        <v>2026</v>
      </c>
      <c r="E527" s="791">
        <v>160000</v>
      </c>
      <c r="G527" s="739" t="str">
        <f t="shared" si="459"/>
        <v>013801</v>
      </c>
      <c r="J527" s="739">
        <v>6000</v>
      </c>
      <c r="Q527" s="773"/>
      <c r="T527" s="775" t="str">
        <f t="shared" si="460"/>
        <v>023801</v>
      </c>
      <c r="W527" s="739" t="s">
        <v>2032</v>
      </c>
      <c r="Y527" s="775">
        <f t="shared" si="461"/>
        <v>2017</v>
      </c>
      <c r="Z527" s="775">
        <v>12</v>
      </c>
      <c r="AB527" s="739">
        <f t="shared" ref="AB527:AC528" si="467">AA527</f>
        <v>0</v>
      </c>
      <c r="AC527" s="739">
        <f t="shared" si="467"/>
        <v>0</v>
      </c>
    </row>
    <row r="528" spans="1:29">
      <c r="A528" s="739" t="s">
        <v>2025</v>
      </c>
      <c r="B528" s="739" t="s">
        <v>2025</v>
      </c>
      <c r="C528" s="739" t="s">
        <v>2026</v>
      </c>
      <c r="D528" s="739" t="s">
        <v>2026</v>
      </c>
      <c r="E528" s="791">
        <v>170000</v>
      </c>
      <c r="G528" s="739" t="str">
        <f t="shared" si="459"/>
        <v>013801</v>
      </c>
      <c r="J528" s="739">
        <v>6000</v>
      </c>
      <c r="Q528" s="773"/>
      <c r="T528" s="775" t="str">
        <f t="shared" si="460"/>
        <v>023801</v>
      </c>
      <c r="W528" s="739" t="s">
        <v>2032</v>
      </c>
      <c r="Y528" s="775">
        <f t="shared" si="461"/>
        <v>2017</v>
      </c>
      <c r="Z528" s="775">
        <v>12</v>
      </c>
      <c r="AA528" s="739">
        <f>'COMB. NET POS-IN. SER.(82)'!F27</f>
        <v>0</v>
      </c>
      <c r="AB528" s="739">
        <f>AA528</f>
        <v>0</v>
      </c>
      <c r="AC528" s="739">
        <f t="shared" si="467"/>
        <v>0</v>
      </c>
    </row>
    <row r="529" spans="1:29">
      <c r="A529" s="739" t="s">
        <v>2025</v>
      </c>
      <c r="B529" s="739" t="s">
        <v>2025</v>
      </c>
      <c r="C529" s="739" t="s">
        <v>2026</v>
      </c>
      <c r="D529" s="739" t="s">
        <v>2026</v>
      </c>
      <c r="E529" s="791">
        <v>180000</v>
      </c>
      <c r="G529" s="739" t="str">
        <f t="shared" si="459"/>
        <v>013801</v>
      </c>
      <c r="J529" s="739">
        <v>6000</v>
      </c>
      <c r="Q529" s="773"/>
      <c r="T529" s="775" t="str">
        <f t="shared" si="460"/>
        <v>023801</v>
      </c>
      <c r="W529" s="739" t="s">
        <v>2032</v>
      </c>
      <c r="Y529" s="775">
        <f t="shared" si="461"/>
        <v>2017</v>
      </c>
      <c r="Z529" s="775">
        <v>12</v>
      </c>
      <c r="AA529" s="739">
        <f>'COMB. NET POS-IN. SER.(82)'!F36</f>
        <v>0</v>
      </c>
      <c r="AB529" s="739">
        <f t="shared" ref="AB529:AC529" si="468">AA529</f>
        <v>0</v>
      </c>
      <c r="AC529" s="739">
        <f t="shared" si="468"/>
        <v>0</v>
      </c>
    </row>
    <row r="530" spans="1:29">
      <c r="A530" s="739" t="s">
        <v>2025</v>
      </c>
      <c r="B530" s="739" t="s">
        <v>2025</v>
      </c>
      <c r="C530" s="739" t="s">
        <v>2026</v>
      </c>
      <c r="D530" s="739" t="s">
        <v>2026</v>
      </c>
      <c r="E530" s="791">
        <v>190000</v>
      </c>
      <c r="G530" s="739" t="str">
        <f t="shared" si="459"/>
        <v>013801</v>
      </c>
      <c r="J530" s="739">
        <v>6000</v>
      </c>
      <c r="Q530" s="773"/>
      <c r="T530" s="775" t="str">
        <f t="shared" si="460"/>
        <v>023801</v>
      </c>
      <c r="W530" s="739" t="s">
        <v>2032</v>
      </c>
      <c r="Y530" s="775">
        <f t="shared" si="461"/>
        <v>2017</v>
      </c>
      <c r="Z530" s="775">
        <v>12</v>
      </c>
      <c r="AA530" s="739">
        <f>'COMB. NET POS-IN. SER.(82)'!F43</f>
        <v>0</v>
      </c>
      <c r="AB530" s="739">
        <f t="shared" ref="AB530:AC530" si="469">AA530</f>
        <v>0</v>
      </c>
      <c r="AC530" s="739">
        <f t="shared" si="469"/>
        <v>0</v>
      </c>
    </row>
    <row r="531" spans="1:29">
      <c r="A531" s="739" t="s">
        <v>2025</v>
      </c>
      <c r="B531" s="739" t="s">
        <v>2025</v>
      </c>
      <c r="C531" s="739" t="s">
        <v>2026</v>
      </c>
      <c r="D531" s="739" t="s">
        <v>2026</v>
      </c>
      <c r="E531" s="791">
        <v>200000</v>
      </c>
      <c r="G531" s="739" t="str">
        <f t="shared" si="459"/>
        <v>013801</v>
      </c>
      <c r="J531" s="739">
        <v>6000</v>
      </c>
      <c r="Q531" s="773"/>
      <c r="T531" s="775" t="str">
        <f t="shared" si="460"/>
        <v>023801</v>
      </c>
      <c r="W531" s="739" t="s">
        <v>2032</v>
      </c>
      <c r="Y531" s="775">
        <f t="shared" si="461"/>
        <v>2017</v>
      </c>
      <c r="Z531" s="775">
        <v>12</v>
      </c>
      <c r="AA531" s="739">
        <f>('COMB. NET POS-IN. SER.(82)'!F47+'COMB. NET POS-IN. SER.(82)'!F48+'COMB. NET POS-IN. SER.(82)'!F49+'COMB. NET POS-IN. SER.(82)'!F50+'COMB. NET POS-IN. SER.(82)'!F51+'COMB. NET POS-IN. SER.(82)'!F52)*-1</f>
        <v>0</v>
      </c>
      <c r="AB531" s="739">
        <f t="shared" ref="AB531:AC531" si="470">AA531</f>
        <v>0</v>
      </c>
      <c r="AC531" s="739">
        <f t="shared" si="470"/>
        <v>0</v>
      </c>
    </row>
    <row r="532" spans="1:29">
      <c r="A532" s="739" t="s">
        <v>2025</v>
      </c>
      <c r="B532" s="739" t="s">
        <v>2025</v>
      </c>
      <c r="C532" s="739" t="s">
        <v>2026</v>
      </c>
      <c r="D532" s="739" t="s">
        <v>2026</v>
      </c>
      <c r="E532" s="791">
        <v>210000</v>
      </c>
      <c r="G532" s="739" t="str">
        <f t="shared" si="459"/>
        <v>013801</v>
      </c>
      <c r="J532" s="739">
        <v>6000</v>
      </c>
      <c r="Q532" s="773"/>
      <c r="T532" s="775" t="str">
        <f t="shared" si="460"/>
        <v>023801</v>
      </c>
      <c r="W532" s="739" t="s">
        <v>2032</v>
      </c>
      <c r="Y532" s="775">
        <f t="shared" si="461"/>
        <v>2017</v>
      </c>
      <c r="Z532" s="775">
        <v>12</v>
      </c>
      <c r="AA532" s="739">
        <f>('COMB. NET POS-IN. SER.(82)'!F53+'COMB. NET POS-IN. SER.(82)'!F54+'COMB. NET POS-IN. SER.(82)'!F55+'COMB. NET POS-IN. SER.(82)'!F56)*-1</f>
        <v>0</v>
      </c>
      <c r="AB532" s="739">
        <f t="shared" ref="AB532:AC532" si="471">AA532</f>
        <v>0</v>
      </c>
      <c r="AC532" s="739">
        <f t="shared" si="471"/>
        <v>0</v>
      </c>
    </row>
    <row r="533" spans="1:29">
      <c r="A533" s="739" t="s">
        <v>2025</v>
      </c>
      <c r="B533" s="739" t="s">
        <v>2025</v>
      </c>
      <c r="C533" s="739" t="s">
        <v>2026</v>
      </c>
      <c r="D533" s="739" t="s">
        <v>2026</v>
      </c>
      <c r="E533" s="791">
        <v>216000</v>
      </c>
      <c r="G533" s="739" t="str">
        <f t="shared" si="459"/>
        <v>013801</v>
      </c>
      <c r="J533" s="739">
        <v>6000</v>
      </c>
      <c r="Q533" s="773"/>
      <c r="T533" s="775" t="str">
        <f t="shared" si="460"/>
        <v>023801</v>
      </c>
      <c r="W533" s="739" t="s">
        <v>2032</v>
      </c>
      <c r="Y533" s="775">
        <f t="shared" si="461"/>
        <v>2017</v>
      </c>
      <c r="Z533" s="775">
        <v>12</v>
      </c>
      <c r="AA533" s="739">
        <v>0</v>
      </c>
    </row>
    <row r="534" spans="1:29">
      <c r="A534" s="739" t="s">
        <v>2025</v>
      </c>
      <c r="B534" s="739" t="s">
        <v>2025</v>
      </c>
      <c r="C534" s="739" t="s">
        <v>2026</v>
      </c>
      <c r="D534" s="739" t="s">
        <v>2026</v>
      </c>
      <c r="E534" s="791">
        <v>220000</v>
      </c>
      <c r="G534" s="739" t="str">
        <f t="shared" si="459"/>
        <v>013801</v>
      </c>
      <c r="J534" s="739">
        <v>6000</v>
      </c>
      <c r="Q534" s="773"/>
      <c r="T534" s="775" t="str">
        <f t="shared" si="460"/>
        <v>023801</v>
      </c>
      <c r="W534" s="739" t="s">
        <v>2032</v>
      </c>
      <c r="Y534" s="775">
        <f t="shared" si="461"/>
        <v>2017</v>
      </c>
      <c r="Z534" s="775">
        <v>12</v>
      </c>
      <c r="AA534" s="739">
        <f>('COMB. NET POS-IN. SER.(82)'!F74)*-1</f>
        <v>0</v>
      </c>
      <c r="AB534" s="739">
        <f t="shared" ref="AB534:AC534" si="472">AA534</f>
        <v>0</v>
      </c>
      <c r="AC534" s="739">
        <f t="shared" si="472"/>
        <v>0</v>
      </c>
    </row>
    <row r="535" spans="1:29">
      <c r="A535" s="739" t="s">
        <v>2025</v>
      </c>
      <c r="B535" s="739" t="s">
        <v>2025</v>
      </c>
      <c r="C535" s="739" t="s">
        <v>2026</v>
      </c>
      <c r="D535" s="739" t="s">
        <v>2026</v>
      </c>
      <c r="E535" s="791">
        <v>230000</v>
      </c>
      <c r="G535" s="739" t="str">
        <f t="shared" si="459"/>
        <v>013801</v>
      </c>
      <c r="J535" s="739">
        <v>6000</v>
      </c>
      <c r="Q535" s="773"/>
      <c r="T535" s="775" t="str">
        <f t="shared" si="460"/>
        <v>023801</v>
      </c>
      <c r="W535" s="739" t="s">
        <v>2032</v>
      </c>
      <c r="Y535" s="775">
        <f t="shared" si="461"/>
        <v>2017</v>
      </c>
      <c r="Z535" s="775">
        <v>12</v>
      </c>
      <c r="AA535" s="739">
        <f>('COMB. NET POS-IN. SER.(82)'!F67-'COMB. NET POS-IN. SER.(82)'!F64)*-1</f>
        <v>0</v>
      </c>
      <c r="AB535" s="739">
        <f t="shared" ref="AB535:AC535" si="473">AA535</f>
        <v>0</v>
      </c>
      <c r="AC535" s="739">
        <f t="shared" si="473"/>
        <v>0</v>
      </c>
    </row>
    <row r="536" spans="1:29">
      <c r="A536" s="739" t="s">
        <v>2025</v>
      </c>
      <c r="B536" s="739" t="s">
        <v>2025</v>
      </c>
      <c r="C536" s="739" t="s">
        <v>2026</v>
      </c>
      <c r="D536" s="739" t="s">
        <v>2026</v>
      </c>
      <c r="E536" s="791">
        <v>237000</v>
      </c>
      <c r="G536" s="739" t="str">
        <f t="shared" si="459"/>
        <v>013801</v>
      </c>
      <c r="J536" s="739">
        <v>6000</v>
      </c>
      <c r="Q536" s="773"/>
      <c r="T536" s="775" t="str">
        <f t="shared" si="460"/>
        <v>023801</v>
      </c>
      <c r="W536" s="739" t="s">
        <v>2032</v>
      </c>
      <c r="Y536" s="775">
        <f t="shared" si="461"/>
        <v>2017</v>
      </c>
      <c r="Z536" s="775">
        <v>12</v>
      </c>
      <c r="AA536" s="739">
        <f>('COMB. NET POS-IN. SER.(82)'!F64)*-1</f>
        <v>0</v>
      </c>
      <c r="AB536" s="739">
        <f t="shared" ref="AB536" si="474">AA536</f>
        <v>0</v>
      </c>
      <c r="AC536" s="739">
        <f t="shared" ref="AC536" si="475">AB536</f>
        <v>0</v>
      </c>
    </row>
    <row r="537" spans="1:29">
      <c r="A537" s="739" t="s">
        <v>2025</v>
      </c>
      <c r="B537" s="739" t="s">
        <v>2025</v>
      </c>
      <c r="C537" s="739" t="s">
        <v>2026</v>
      </c>
      <c r="D537" s="739" t="s">
        <v>2026</v>
      </c>
      <c r="E537" s="791">
        <v>238000</v>
      </c>
      <c r="G537" s="739" t="str">
        <f t="shared" si="459"/>
        <v>013801</v>
      </c>
      <c r="J537" s="739">
        <v>6000</v>
      </c>
      <c r="Q537" s="773"/>
      <c r="T537" s="775" t="str">
        <f t="shared" si="460"/>
        <v>023801</v>
      </c>
      <c r="W537" s="739" t="s">
        <v>2032</v>
      </c>
      <c r="Y537" s="775">
        <f t="shared" si="461"/>
        <v>2017</v>
      </c>
      <c r="Z537" s="775">
        <v>12</v>
      </c>
      <c r="AA537" s="739">
        <f>('COMB. NET POS-IN. SER.(82)'!F65)*-1</f>
        <v>0</v>
      </c>
      <c r="AB537" s="739">
        <f t="shared" ref="AB537" si="476">AA537</f>
        <v>0</v>
      </c>
      <c r="AC537" s="739">
        <f t="shared" ref="AC537" si="477">AB537</f>
        <v>0</v>
      </c>
    </row>
    <row r="538" spans="1:29">
      <c r="A538" s="739" t="s">
        <v>2025</v>
      </c>
      <c r="B538" s="739" t="s">
        <v>2025</v>
      </c>
      <c r="C538" s="739" t="s">
        <v>2026</v>
      </c>
      <c r="D538" s="739" t="s">
        <v>2026</v>
      </c>
      <c r="E538" s="791">
        <v>240000</v>
      </c>
      <c r="G538" s="739" t="str">
        <f t="shared" si="459"/>
        <v>013801</v>
      </c>
      <c r="J538" s="739">
        <v>6000</v>
      </c>
      <c r="Q538" s="773"/>
      <c r="T538" s="775" t="str">
        <f t="shared" si="460"/>
        <v>023801</v>
      </c>
      <c r="W538" s="739" t="s">
        <v>2032</v>
      </c>
      <c r="Y538" s="775">
        <f t="shared" si="461"/>
        <v>2017</v>
      </c>
      <c r="Z538" s="775">
        <v>12</v>
      </c>
      <c r="AA538" s="739">
        <v>0</v>
      </c>
    </row>
    <row r="539" spans="1:29">
      <c r="A539" s="739" t="s">
        <v>2025</v>
      </c>
      <c r="B539" s="739" t="s">
        <v>2025</v>
      </c>
      <c r="C539" s="739" t="s">
        <v>2026</v>
      </c>
      <c r="D539" s="739" t="s">
        <v>2026</v>
      </c>
      <c r="E539" s="791">
        <v>250000</v>
      </c>
      <c r="G539" s="739" t="str">
        <f t="shared" si="459"/>
        <v>013801</v>
      </c>
      <c r="J539" s="739">
        <v>6000</v>
      </c>
      <c r="Q539" s="773"/>
      <c r="T539" s="775" t="str">
        <f t="shared" si="460"/>
        <v>023801</v>
      </c>
      <c r="W539" s="739" t="s">
        <v>2032</v>
      </c>
      <c r="Y539" s="775">
        <f t="shared" si="461"/>
        <v>2017</v>
      </c>
      <c r="Z539" s="775">
        <v>12</v>
      </c>
      <c r="AA539" s="739">
        <v>0</v>
      </c>
    </row>
    <row r="540" spans="1:29">
      <c r="A540" s="739" t="s">
        <v>2025</v>
      </c>
      <c r="B540" s="739" t="s">
        <v>2025</v>
      </c>
      <c r="C540" s="739" t="s">
        <v>2026</v>
      </c>
      <c r="D540" s="739" t="s">
        <v>2026</v>
      </c>
      <c r="E540" s="791">
        <v>260000</v>
      </c>
      <c r="G540" s="739" t="str">
        <f t="shared" si="459"/>
        <v>013801</v>
      </c>
      <c r="J540" s="739">
        <v>6000</v>
      </c>
      <c r="Q540" s="773"/>
      <c r="T540" s="775" t="str">
        <f t="shared" si="460"/>
        <v>023801</v>
      </c>
      <c r="W540" s="739" t="s">
        <v>2032</v>
      </c>
      <c r="Y540" s="775">
        <f t="shared" si="461"/>
        <v>2017</v>
      </c>
      <c r="Z540" s="775">
        <v>12</v>
      </c>
      <c r="AA540" s="739">
        <v>0</v>
      </c>
    </row>
    <row r="541" spans="1:29">
      <c r="A541" s="739" t="s">
        <v>2025</v>
      </c>
      <c r="B541" s="739" t="s">
        <v>2025</v>
      </c>
      <c r="C541" s="739" t="s">
        <v>2026</v>
      </c>
      <c r="D541" s="739" t="s">
        <v>2026</v>
      </c>
      <c r="E541" s="791">
        <v>270000</v>
      </c>
      <c r="G541" s="739" t="str">
        <f t="shared" si="459"/>
        <v>013801</v>
      </c>
      <c r="J541" s="739">
        <v>6000</v>
      </c>
      <c r="Q541" s="773"/>
      <c r="T541" s="775" t="str">
        <f t="shared" si="460"/>
        <v>023801</v>
      </c>
      <c r="W541" s="739" t="s">
        <v>2032</v>
      </c>
      <c r="Y541" s="775">
        <f t="shared" si="461"/>
        <v>2017</v>
      </c>
      <c r="Z541" s="775">
        <v>12</v>
      </c>
      <c r="AA541" s="739">
        <f>('COMB. NET POS-IN. SER.(82)'!F82)*-1</f>
        <v>0</v>
      </c>
      <c r="AB541" s="739">
        <f>AA541</f>
        <v>0</v>
      </c>
      <c r="AC541" s="739">
        <f>AB541</f>
        <v>0</v>
      </c>
    </row>
    <row r="542" spans="1:29">
      <c r="A542" s="739" t="s">
        <v>2025</v>
      </c>
      <c r="B542" s="739" t="s">
        <v>2025</v>
      </c>
      <c r="C542" s="739" t="s">
        <v>2026</v>
      </c>
      <c r="D542" s="739" t="s">
        <v>2026</v>
      </c>
      <c r="E542" s="791">
        <v>310000</v>
      </c>
      <c r="G542" s="739" t="str">
        <f t="shared" si="459"/>
        <v>013801</v>
      </c>
      <c r="J542" s="739">
        <v>6000</v>
      </c>
      <c r="Q542" s="773"/>
      <c r="T542" s="775" t="str">
        <f t="shared" si="460"/>
        <v>023801</v>
      </c>
      <c r="W542" s="739" t="s">
        <v>2032</v>
      </c>
      <c r="Y542" s="775">
        <f t="shared" si="461"/>
        <v>2017</v>
      </c>
      <c r="Z542" s="775">
        <v>12</v>
      </c>
      <c r="AA542" s="739">
        <v>0</v>
      </c>
    </row>
    <row r="543" spans="1:29">
      <c r="A543" s="739" t="s">
        <v>2025</v>
      </c>
      <c r="B543" s="739" t="s">
        <v>2025</v>
      </c>
      <c r="C543" s="739" t="s">
        <v>2026</v>
      </c>
      <c r="D543" s="739" t="s">
        <v>2026</v>
      </c>
      <c r="E543" s="791">
        <v>311000</v>
      </c>
      <c r="G543" s="739" t="str">
        <f t="shared" si="459"/>
        <v>013801</v>
      </c>
      <c r="J543" s="739">
        <v>6000</v>
      </c>
      <c r="Q543" s="773"/>
      <c r="T543" s="775" t="str">
        <f t="shared" si="460"/>
        <v>023801</v>
      </c>
      <c r="W543" s="739" t="s">
        <v>2032</v>
      </c>
      <c r="Y543" s="775">
        <f t="shared" si="461"/>
        <v>2017</v>
      </c>
      <c r="Z543" s="775">
        <v>12</v>
      </c>
      <c r="AA543" s="739">
        <f>('COMB. CHGE IN NP IN. SERV.(83)'!G30)*-1</f>
        <v>0</v>
      </c>
      <c r="AB543" s="739">
        <f>AA543</f>
        <v>0</v>
      </c>
      <c r="AC543" s="739">
        <f>AA543</f>
        <v>0</v>
      </c>
    </row>
    <row r="544" spans="1:29">
      <c r="A544" s="739" t="s">
        <v>2025</v>
      </c>
      <c r="B544" s="739" t="s">
        <v>2025</v>
      </c>
      <c r="C544" s="739" t="s">
        <v>2026</v>
      </c>
      <c r="D544" s="739" t="s">
        <v>2026</v>
      </c>
      <c r="E544" s="791">
        <v>312000</v>
      </c>
      <c r="G544" s="739" t="str">
        <f t="shared" si="459"/>
        <v>013801</v>
      </c>
      <c r="J544" s="739">
        <v>6000</v>
      </c>
      <c r="Q544" s="773"/>
      <c r="T544" s="775" t="str">
        <f t="shared" si="460"/>
        <v>023801</v>
      </c>
      <c r="W544" s="739" t="s">
        <v>2032</v>
      </c>
      <c r="Y544" s="775">
        <f t="shared" si="461"/>
        <v>2017</v>
      </c>
      <c r="Z544" s="775">
        <v>12</v>
      </c>
      <c r="AA544" s="739">
        <v>0</v>
      </c>
    </row>
    <row r="545" spans="1:29">
      <c r="A545" s="739" t="s">
        <v>2025</v>
      </c>
      <c r="B545" s="739" t="s">
        <v>2025</v>
      </c>
      <c r="C545" s="739" t="s">
        <v>2026</v>
      </c>
      <c r="D545" s="739" t="s">
        <v>2026</v>
      </c>
      <c r="E545" s="791">
        <v>313000</v>
      </c>
      <c r="G545" s="739" t="str">
        <f t="shared" si="459"/>
        <v>013801</v>
      </c>
      <c r="J545" s="739">
        <v>6000</v>
      </c>
      <c r="Q545" s="773"/>
      <c r="T545" s="775" t="str">
        <f t="shared" si="460"/>
        <v>023801</v>
      </c>
      <c r="W545" s="739" t="s">
        <v>2032</v>
      </c>
      <c r="Y545" s="775">
        <f t="shared" si="461"/>
        <v>2017</v>
      </c>
      <c r="Z545" s="775">
        <v>12</v>
      </c>
      <c r="AA545" s="739">
        <v>0</v>
      </c>
    </row>
    <row r="546" spans="1:29">
      <c r="A546" s="739" t="s">
        <v>2025</v>
      </c>
      <c r="B546" s="739" t="s">
        <v>2025</v>
      </c>
      <c r="C546" s="739" t="s">
        <v>2026</v>
      </c>
      <c r="D546" s="739" t="s">
        <v>2026</v>
      </c>
      <c r="E546" s="791">
        <v>314000</v>
      </c>
      <c r="G546" s="739" t="str">
        <f t="shared" si="459"/>
        <v>013801</v>
      </c>
      <c r="J546" s="739">
        <v>6000</v>
      </c>
      <c r="Q546" s="773"/>
      <c r="T546" s="775" t="str">
        <f t="shared" si="460"/>
        <v>023801</v>
      </c>
      <c r="W546" s="739" t="s">
        <v>2032</v>
      </c>
      <c r="Y546" s="775">
        <f t="shared" si="461"/>
        <v>2017</v>
      </c>
      <c r="Z546" s="775">
        <v>12</v>
      </c>
      <c r="AA546" s="739">
        <v>0</v>
      </c>
    </row>
    <row r="547" spans="1:29">
      <c r="A547" s="739" t="s">
        <v>2025</v>
      </c>
      <c r="B547" s="739" t="s">
        <v>2025</v>
      </c>
      <c r="C547" s="739" t="s">
        <v>2026</v>
      </c>
      <c r="D547" s="739" t="s">
        <v>2026</v>
      </c>
      <c r="E547" s="791">
        <v>315000</v>
      </c>
      <c r="G547" s="739" t="str">
        <f t="shared" si="459"/>
        <v>013801</v>
      </c>
      <c r="J547" s="739">
        <v>6000</v>
      </c>
      <c r="Q547" s="773"/>
      <c r="T547" s="775" t="str">
        <f t="shared" si="460"/>
        <v>023801</v>
      </c>
      <c r="W547" s="739" t="s">
        <v>2032</v>
      </c>
      <c r="Y547" s="775">
        <f t="shared" si="461"/>
        <v>2017</v>
      </c>
      <c r="Z547" s="775">
        <v>12</v>
      </c>
      <c r="AA547" s="739">
        <v>0</v>
      </c>
    </row>
    <row r="548" spans="1:29">
      <c r="A548" s="739" t="s">
        <v>2025</v>
      </c>
      <c r="B548" s="739" t="s">
        <v>2025</v>
      </c>
      <c r="C548" s="739" t="s">
        <v>2026</v>
      </c>
      <c r="D548" s="739" t="s">
        <v>2026</v>
      </c>
      <c r="E548" s="791">
        <v>316000</v>
      </c>
      <c r="G548" s="739" t="str">
        <f t="shared" si="459"/>
        <v>013801</v>
      </c>
      <c r="J548" s="739">
        <v>6000</v>
      </c>
      <c r="Q548" s="773"/>
      <c r="T548" s="775" t="str">
        <f t="shared" si="460"/>
        <v>023801</v>
      </c>
      <c r="W548" s="739" t="s">
        <v>2032</v>
      </c>
      <c r="Y548" s="775">
        <f t="shared" si="461"/>
        <v>2017</v>
      </c>
      <c r="Z548" s="775">
        <v>12</v>
      </c>
      <c r="AA548" s="739">
        <v>0</v>
      </c>
    </row>
    <row r="549" spans="1:29">
      <c r="A549" s="739" t="s">
        <v>2025</v>
      </c>
      <c r="B549" s="739" t="s">
        <v>2025</v>
      </c>
      <c r="C549" s="739" t="s">
        <v>2026</v>
      </c>
      <c r="D549" s="739" t="s">
        <v>2026</v>
      </c>
      <c r="E549" s="791">
        <v>320000</v>
      </c>
      <c r="G549" s="739" t="str">
        <f t="shared" si="459"/>
        <v>013801</v>
      </c>
      <c r="J549" s="739">
        <v>6000</v>
      </c>
      <c r="Q549" s="773"/>
      <c r="T549" s="775" t="str">
        <f t="shared" si="460"/>
        <v>023801</v>
      </c>
      <c r="W549" s="739" t="s">
        <v>2032</v>
      </c>
      <c r="Y549" s="775">
        <f t="shared" si="461"/>
        <v>2017</v>
      </c>
      <c r="Z549" s="775">
        <v>12</v>
      </c>
      <c r="AA549" s="739">
        <f>('COMB. CHGE IN NP IN. SERV.(83)'!G31)*-1</f>
        <v>0</v>
      </c>
      <c r="AB549" s="739">
        <f>AA549</f>
        <v>0</v>
      </c>
      <c r="AC549" s="739">
        <f>AB549</f>
        <v>0</v>
      </c>
    </row>
    <row r="550" spans="1:29">
      <c r="A550" s="739" t="s">
        <v>2025</v>
      </c>
      <c r="B550" s="739" t="s">
        <v>2025</v>
      </c>
      <c r="C550" s="739" t="s">
        <v>2026</v>
      </c>
      <c r="D550" s="739" t="s">
        <v>2026</v>
      </c>
      <c r="E550" s="791">
        <v>322000</v>
      </c>
      <c r="G550" s="739" t="str">
        <f t="shared" si="459"/>
        <v>013801</v>
      </c>
      <c r="J550" s="739">
        <v>6000</v>
      </c>
      <c r="Q550" s="773"/>
      <c r="T550" s="775" t="str">
        <f t="shared" si="460"/>
        <v>023801</v>
      </c>
      <c r="W550" s="739" t="s">
        <v>2032</v>
      </c>
      <c r="Y550" s="775">
        <f t="shared" si="461"/>
        <v>2017</v>
      </c>
      <c r="Z550" s="775">
        <v>12</v>
      </c>
      <c r="AA550" s="739">
        <v>0</v>
      </c>
    </row>
    <row r="551" spans="1:29">
      <c r="A551" s="739" t="s">
        <v>2025</v>
      </c>
      <c r="B551" s="739" t="s">
        <v>2025</v>
      </c>
      <c r="C551" s="739" t="s">
        <v>2026</v>
      </c>
      <c r="D551" s="739" t="s">
        <v>2026</v>
      </c>
      <c r="E551" s="791">
        <v>323000</v>
      </c>
      <c r="G551" s="739" t="str">
        <f t="shared" si="459"/>
        <v>013801</v>
      </c>
      <c r="J551" s="739">
        <v>6000</v>
      </c>
      <c r="Q551" s="773"/>
      <c r="T551" s="775" t="str">
        <f t="shared" si="460"/>
        <v>023801</v>
      </c>
      <c r="W551" s="739" t="s">
        <v>2032</v>
      </c>
      <c r="Y551" s="775">
        <f t="shared" si="461"/>
        <v>2017</v>
      </c>
      <c r="Z551" s="775">
        <v>12</v>
      </c>
      <c r="AA551" s="739">
        <v>0</v>
      </c>
    </row>
    <row r="552" spans="1:29">
      <c r="A552" s="739" t="s">
        <v>2025</v>
      </c>
      <c r="B552" s="739" t="s">
        <v>2025</v>
      </c>
      <c r="C552" s="739" t="s">
        <v>2026</v>
      </c>
      <c r="D552" s="739" t="s">
        <v>2026</v>
      </c>
      <c r="E552" s="791">
        <v>330000</v>
      </c>
      <c r="G552" s="739" t="str">
        <f t="shared" si="459"/>
        <v>013801</v>
      </c>
      <c r="J552" s="739">
        <v>6000</v>
      </c>
      <c r="Q552" s="773"/>
      <c r="T552" s="775" t="str">
        <f t="shared" si="460"/>
        <v>023801</v>
      </c>
      <c r="W552" s="739" t="s">
        <v>2032</v>
      </c>
      <c r="Y552" s="775">
        <f t="shared" si="461"/>
        <v>2017</v>
      </c>
      <c r="Z552" s="775">
        <v>12</v>
      </c>
      <c r="AA552" s="739">
        <f>('COMB. CHGE IN NP IN. SERV.(83)'!G32)*-1</f>
        <v>0</v>
      </c>
      <c r="AB552" s="739">
        <f>AA552</f>
        <v>0</v>
      </c>
      <c r="AC552" s="739">
        <f>AB552</f>
        <v>0</v>
      </c>
    </row>
    <row r="553" spans="1:29">
      <c r="A553" s="739" t="s">
        <v>2025</v>
      </c>
      <c r="B553" s="739" t="s">
        <v>2025</v>
      </c>
      <c r="C553" s="739" t="s">
        <v>2026</v>
      </c>
      <c r="D553" s="739" t="s">
        <v>2026</v>
      </c>
      <c r="E553" s="791">
        <v>331000</v>
      </c>
      <c r="G553" s="739" t="str">
        <f t="shared" si="459"/>
        <v>013801</v>
      </c>
      <c r="J553" s="739">
        <v>6000</v>
      </c>
      <c r="Q553" s="773"/>
      <c r="T553" s="775" t="str">
        <f t="shared" si="460"/>
        <v>023801</v>
      </c>
      <c r="W553" s="739" t="s">
        <v>2032</v>
      </c>
      <c r="Y553" s="775">
        <f t="shared" si="461"/>
        <v>2017</v>
      </c>
      <c r="Z553" s="775">
        <v>12</v>
      </c>
      <c r="AA553" s="739">
        <v>0</v>
      </c>
    </row>
    <row r="554" spans="1:29">
      <c r="A554" s="739" t="s">
        <v>2025</v>
      </c>
      <c r="B554" s="739" t="s">
        <v>2025</v>
      </c>
      <c r="C554" s="739" t="s">
        <v>2026</v>
      </c>
      <c r="D554" s="739" t="s">
        <v>2026</v>
      </c>
      <c r="E554" s="791">
        <v>332000</v>
      </c>
      <c r="G554" s="739" t="str">
        <f t="shared" si="459"/>
        <v>013801</v>
      </c>
      <c r="J554" s="739">
        <v>6000</v>
      </c>
      <c r="Q554" s="773"/>
      <c r="T554" s="775" t="str">
        <f t="shared" si="460"/>
        <v>023801</v>
      </c>
      <c r="W554" s="739" t="s">
        <v>2032</v>
      </c>
      <c r="Y554" s="775">
        <f t="shared" si="461"/>
        <v>2017</v>
      </c>
      <c r="Z554" s="775">
        <v>12</v>
      </c>
      <c r="AA554" s="739">
        <v>0</v>
      </c>
    </row>
    <row r="555" spans="1:29">
      <c r="A555" s="739" t="s">
        <v>2025</v>
      </c>
      <c r="B555" s="739" t="s">
        <v>2025</v>
      </c>
      <c r="C555" s="739" t="s">
        <v>2026</v>
      </c>
      <c r="D555" s="739" t="s">
        <v>2026</v>
      </c>
      <c r="E555" s="791">
        <v>333000</v>
      </c>
      <c r="G555" s="739" t="str">
        <f t="shared" si="459"/>
        <v>013801</v>
      </c>
      <c r="J555" s="739">
        <v>6000</v>
      </c>
      <c r="Q555" s="773"/>
      <c r="T555" s="775" t="str">
        <f t="shared" si="460"/>
        <v>023801</v>
      </c>
      <c r="W555" s="739" t="s">
        <v>2032</v>
      </c>
      <c r="Y555" s="775">
        <f t="shared" si="461"/>
        <v>2017</v>
      </c>
      <c r="Z555" s="775">
        <v>12</v>
      </c>
      <c r="AA555" s="739">
        <v>0</v>
      </c>
    </row>
    <row r="556" spans="1:29">
      <c r="A556" s="739" t="s">
        <v>2025</v>
      </c>
      <c r="B556" s="739" t="s">
        <v>2025</v>
      </c>
      <c r="C556" s="739" t="s">
        <v>2026</v>
      </c>
      <c r="D556" s="739" t="s">
        <v>2026</v>
      </c>
      <c r="E556" s="791">
        <v>334000</v>
      </c>
      <c r="G556" s="739" t="str">
        <f t="shared" si="459"/>
        <v>013801</v>
      </c>
      <c r="J556" s="739">
        <v>6000</v>
      </c>
      <c r="Q556" s="773"/>
      <c r="T556" s="775" t="str">
        <f t="shared" si="460"/>
        <v>023801</v>
      </c>
      <c r="W556" s="739" t="s">
        <v>2032</v>
      </c>
      <c r="Y556" s="775">
        <f t="shared" si="461"/>
        <v>2017</v>
      </c>
      <c r="Z556" s="775">
        <v>12</v>
      </c>
      <c r="AA556" s="739">
        <v>0</v>
      </c>
    </row>
    <row r="557" spans="1:29">
      <c r="A557" s="739" t="s">
        <v>2025</v>
      </c>
      <c r="B557" s="739" t="s">
        <v>2025</v>
      </c>
      <c r="C557" s="739" t="s">
        <v>2026</v>
      </c>
      <c r="D557" s="739" t="s">
        <v>2026</v>
      </c>
      <c r="E557" s="791">
        <v>335000</v>
      </c>
      <c r="G557" s="739" t="str">
        <f t="shared" si="459"/>
        <v>013801</v>
      </c>
      <c r="J557" s="739">
        <v>6000</v>
      </c>
      <c r="Q557" s="773"/>
      <c r="T557" s="775" t="str">
        <f t="shared" si="460"/>
        <v>023801</v>
      </c>
      <c r="W557" s="739" t="s">
        <v>2032</v>
      </c>
      <c r="Y557" s="775">
        <f t="shared" si="461"/>
        <v>2017</v>
      </c>
      <c r="Z557" s="775">
        <v>12</v>
      </c>
      <c r="AA557" s="739">
        <v>0</v>
      </c>
    </row>
    <row r="558" spans="1:29">
      <c r="A558" s="739" t="s">
        <v>2025</v>
      </c>
      <c r="B558" s="739" t="s">
        <v>2025</v>
      </c>
      <c r="C558" s="739" t="s">
        <v>2026</v>
      </c>
      <c r="D558" s="739" t="s">
        <v>2026</v>
      </c>
      <c r="E558" s="791">
        <v>336000</v>
      </c>
      <c r="G558" s="739" t="str">
        <f t="shared" si="459"/>
        <v>013801</v>
      </c>
      <c r="J558" s="739">
        <v>6000</v>
      </c>
      <c r="Q558" s="773"/>
      <c r="T558" s="775" t="str">
        <f t="shared" si="460"/>
        <v>023801</v>
      </c>
      <c r="W558" s="739" t="s">
        <v>2032</v>
      </c>
      <c r="Y558" s="775">
        <f t="shared" si="461"/>
        <v>2017</v>
      </c>
      <c r="Z558" s="775">
        <v>12</v>
      </c>
      <c r="AA558" s="739">
        <v>0</v>
      </c>
    </row>
    <row r="559" spans="1:29">
      <c r="A559" s="739" t="s">
        <v>2025</v>
      </c>
      <c r="B559" s="739" t="s">
        <v>2025</v>
      </c>
      <c r="C559" s="739" t="s">
        <v>2026</v>
      </c>
      <c r="D559" s="739" t="s">
        <v>2026</v>
      </c>
      <c r="E559" s="791">
        <v>337000</v>
      </c>
      <c r="G559" s="739" t="str">
        <f t="shared" si="459"/>
        <v>013801</v>
      </c>
      <c r="J559" s="739">
        <v>6000</v>
      </c>
      <c r="Q559" s="773"/>
      <c r="T559" s="775" t="str">
        <f t="shared" si="460"/>
        <v>023801</v>
      </c>
      <c r="W559" s="739" t="s">
        <v>2032</v>
      </c>
      <c r="Y559" s="775">
        <f t="shared" si="461"/>
        <v>2017</v>
      </c>
      <c r="Z559" s="775">
        <v>12</v>
      </c>
      <c r="AA559" s="739">
        <v>0</v>
      </c>
    </row>
    <row r="560" spans="1:29">
      <c r="A560" s="739" t="s">
        <v>2025</v>
      </c>
      <c r="B560" s="739" t="s">
        <v>2025</v>
      </c>
      <c r="C560" s="739" t="s">
        <v>2026</v>
      </c>
      <c r="D560" s="739" t="s">
        <v>2026</v>
      </c>
      <c r="E560" s="791">
        <v>338000</v>
      </c>
      <c r="G560" s="739" t="str">
        <f t="shared" si="459"/>
        <v>013801</v>
      </c>
      <c r="J560" s="739">
        <v>6000</v>
      </c>
      <c r="Q560" s="773"/>
      <c r="T560" s="775" t="str">
        <f t="shared" si="460"/>
        <v>023801</v>
      </c>
      <c r="W560" s="739" t="s">
        <v>2032</v>
      </c>
      <c r="Y560" s="775">
        <f t="shared" si="461"/>
        <v>2017</v>
      </c>
      <c r="Z560" s="775">
        <v>12</v>
      </c>
      <c r="AA560" s="739">
        <v>0</v>
      </c>
    </row>
    <row r="561" spans="1:29">
      <c r="A561" s="739" t="s">
        <v>2025</v>
      </c>
      <c r="B561" s="739" t="s">
        <v>2025</v>
      </c>
      <c r="C561" s="739" t="s">
        <v>2026</v>
      </c>
      <c r="D561" s="739" t="s">
        <v>2026</v>
      </c>
      <c r="E561" s="791">
        <v>339000</v>
      </c>
      <c r="G561" s="739" t="str">
        <f t="shared" si="459"/>
        <v>013801</v>
      </c>
      <c r="J561" s="739">
        <v>6000</v>
      </c>
      <c r="Q561" s="773"/>
      <c r="T561" s="775" t="str">
        <f t="shared" si="460"/>
        <v>023801</v>
      </c>
      <c r="W561" s="739" t="s">
        <v>2032</v>
      </c>
      <c r="Y561" s="775">
        <f t="shared" si="461"/>
        <v>2017</v>
      </c>
      <c r="Z561" s="775">
        <v>12</v>
      </c>
      <c r="AA561" s="739">
        <v>0</v>
      </c>
    </row>
    <row r="562" spans="1:29">
      <c r="A562" s="739" t="s">
        <v>2025</v>
      </c>
      <c r="B562" s="739" t="s">
        <v>2025</v>
      </c>
      <c r="C562" s="739" t="s">
        <v>2026</v>
      </c>
      <c r="D562" s="739" t="s">
        <v>2026</v>
      </c>
      <c r="E562" s="791">
        <v>340000</v>
      </c>
      <c r="G562" s="739" t="str">
        <f t="shared" si="459"/>
        <v>013801</v>
      </c>
      <c r="J562" s="739">
        <v>6000</v>
      </c>
      <c r="Q562" s="773"/>
      <c r="T562" s="775" t="str">
        <f t="shared" si="460"/>
        <v>023801</v>
      </c>
      <c r="W562" s="739" t="s">
        <v>2032</v>
      </c>
      <c r="Y562" s="775">
        <f t="shared" si="461"/>
        <v>2017</v>
      </c>
      <c r="Z562" s="775">
        <v>12</v>
      </c>
      <c r="AA562" s="739">
        <f>('COMB. CHGE IN NP IN. SERV.(83)'!G12)*-1</f>
        <v>0</v>
      </c>
      <c r="AB562" s="739">
        <f>AA562</f>
        <v>0</v>
      </c>
      <c r="AC562" s="739">
        <f>AB562</f>
        <v>0</v>
      </c>
    </row>
    <row r="563" spans="1:29">
      <c r="A563" s="739" t="s">
        <v>2025</v>
      </c>
      <c r="B563" s="739" t="s">
        <v>2025</v>
      </c>
      <c r="C563" s="739" t="s">
        <v>2026</v>
      </c>
      <c r="D563" s="739" t="s">
        <v>2026</v>
      </c>
      <c r="E563" s="791">
        <v>341000</v>
      </c>
      <c r="G563" s="739" t="str">
        <f t="shared" si="459"/>
        <v>013801</v>
      </c>
      <c r="J563" s="739">
        <v>6000</v>
      </c>
      <c r="Q563" s="773"/>
      <c r="T563" s="775" t="str">
        <f t="shared" si="460"/>
        <v>023801</v>
      </c>
      <c r="W563" s="739" t="s">
        <v>2032</v>
      </c>
      <c r="Y563" s="775">
        <f t="shared" si="461"/>
        <v>2017</v>
      </c>
      <c r="Z563" s="775">
        <v>12</v>
      </c>
      <c r="AA563" s="739">
        <v>0</v>
      </c>
    </row>
    <row r="564" spans="1:29">
      <c r="A564" s="739" t="s">
        <v>2025</v>
      </c>
      <c r="B564" s="739" t="s">
        <v>2025</v>
      </c>
      <c r="C564" s="739" t="s">
        <v>2026</v>
      </c>
      <c r="D564" s="739" t="s">
        <v>2026</v>
      </c>
      <c r="E564" s="791">
        <v>342000</v>
      </c>
      <c r="G564" s="739" t="str">
        <f t="shared" si="459"/>
        <v>013801</v>
      </c>
      <c r="J564" s="739">
        <v>6000</v>
      </c>
      <c r="Q564" s="773"/>
      <c r="T564" s="775" t="str">
        <f t="shared" si="460"/>
        <v>023801</v>
      </c>
      <c r="W564" s="739" t="s">
        <v>2032</v>
      </c>
      <c r="Y564" s="775">
        <f t="shared" si="461"/>
        <v>2017</v>
      </c>
      <c r="Z564" s="775">
        <v>12</v>
      </c>
      <c r="AA564" s="739">
        <v>0</v>
      </c>
    </row>
    <row r="565" spans="1:29">
      <c r="A565" s="739" t="s">
        <v>2025</v>
      </c>
      <c r="B565" s="739" t="s">
        <v>2025</v>
      </c>
      <c r="C565" s="739" t="s">
        <v>2026</v>
      </c>
      <c r="D565" s="739" t="s">
        <v>2026</v>
      </c>
      <c r="E565" s="791">
        <v>343000</v>
      </c>
      <c r="G565" s="739" t="str">
        <f t="shared" si="459"/>
        <v>013801</v>
      </c>
      <c r="J565" s="739">
        <v>6000</v>
      </c>
      <c r="Q565" s="773"/>
      <c r="T565" s="775" t="str">
        <f t="shared" si="460"/>
        <v>023801</v>
      </c>
      <c r="W565" s="739" t="s">
        <v>2032</v>
      </c>
      <c r="Y565" s="775">
        <f t="shared" si="461"/>
        <v>2017</v>
      </c>
      <c r="Z565" s="775">
        <v>12</v>
      </c>
      <c r="AA565" s="739">
        <v>0</v>
      </c>
    </row>
    <row r="566" spans="1:29">
      <c r="A566" s="739" t="s">
        <v>2025</v>
      </c>
      <c r="B566" s="739" t="s">
        <v>2025</v>
      </c>
      <c r="C566" s="739" t="s">
        <v>2026</v>
      </c>
      <c r="D566" s="739" t="s">
        <v>2026</v>
      </c>
      <c r="E566" s="791">
        <v>344000</v>
      </c>
      <c r="G566" s="739" t="str">
        <f t="shared" si="459"/>
        <v>013801</v>
      </c>
      <c r="J566" s="739">
        <v>6000</v>
      </c>
      <c r="Q566" s="773"/>
      <c r="T566" s="775" t="str">
        <f t="shared" si="460"/>
        <v>023801</v>
      </c>
      <c r="W566" s="739" t="s">
        <v>2032</v>
      </c>
      <c r="Y566" s="775">
        <f t="shared" si="461"/>
        <v>2017</v>
      </c>
      <c r="Z566" s="775">
        <v>12</v>
      </c>
      <c r="AA566" s="739">
        <v>0</v>
      </c>
    </row>
    <row r="567" spans="1:29">
      <c r="A567" s="739" t="s">
        <v>2025</v>
      </c>
      <c r="B567" s="739" t="s">
        <v>2025</v>
      </c>
      <c r="C567" s="739" t="s">
        <v>2026</v>
      </c>
      <c r="D567" s="739" t="s">
        <v>2026</v>
      </c>
      <c r="E567" s="791">
        <v>345000</v>
      </c>
      <c r="G567" s="739" t="str">
        <f t="shared" si="459"/>
        <v>013801</v>
      </c>
      <c r="J567" s="739">
        <v>6000</v>
      </c>
      <c r="Q567" s="773"/>
      <c r="T567" s="775" t="str">
        <f t="shared" si="460"/>
        <v>023801</v>
      </c>
      <c r="W567" s="739" t="s">
        <v>2032</v>
      </c>
      <c r="Y567" s="775">
        <f t="shared" si="461"/>
        <v>2017</v>
      </c>
      <c r="Z567" s="775">
        <v>12</v>
      </c>
      <c r="AA567" s="739">
        <v>0</v>
      </c>
    </row>
    <row r="568" spans="1:29">
      <c r="A568" s="739" t="s">
        <v>2025</v>
      </c>
      <c r="B568" s="739" t="s">
        <v>2025</v>
      </c>
      <c r="C568" s="739" t="s">
        <v>2026</v>
      </c>
      <c r="D568" s="739" t="s">
        <v>2026</v>
      </c>
      <c r="E568" s="791">
        <v>346000</v>
      </c>
      <c r="G568" s="739" t="str">
        <f t="shared" si="459"/>
        <v>013801</v>
      </c>
      <c r="J568" s="739">
        <v>6000</v>
      </c>
      <c r="Q568" s="773"/>
      <c r="T568" s="775" t="str">
        <f t="shared" si="460"/>
        <v>023801</v>
      </c>
      <c r="W568" s="739" t="s">
        <v>2032</v>
      </c>
      <c r="Y568" s="775">
        <f t="shared" si="461"/>
        <v>2017</v>
      </c>
      <c r="Z568" s="775">
        <v>12</v>
      </c>
      <c r="AA568" s="739">
        <v>0</v>
      </c>
    </row>
    <row r="569" spans="1:29">
      <c r="A569" s="739" t="s">
        <v>2025</v>
      </c>
      <c r="B569" s="739" t="s">
        <v>2025</v>
      </c>
      <c r="C569" s="739" t="s">
        <v>2026</v>
      </c>
      <c r="D569" s="739" t="s">
        <v>2026</v>
      </c>
      <c r="E569" s="791">
        <v>350000</v>
      </c>
      <c r="G569" s="739" t="str">
        <f t="shared" si="459"/>
        <v>013801</v>
      </c>
      <c r="J569" s="739">
        <v>6000</v>
      </c>
      <c r="Q569" s="773"/>
      <c r="T569" s="775" t="str">
        <f t="shared" si="460"/>
        <v>023801</v>
      </c>
      <c r="W569" s="739" t="s">
        <v>2032</v>
      </c>
      <c r="Y569" s="775">
        <f t="shared" si="461"/>
        <v>2017</v>
      </c>
      <c r="Z569" s="775">
        <v>12</v>
      </c>
      <c r="AA569" s="739">
        <v>0</v>
      </c>
    </row>
    <row r="570" spans="1:29">
      <c r="A570" s="739" t="s">
        <v>2025</v>
      </c>
      <c r="B570" s="739" t="s">
        <v>2025</v>
      </c>
      <c r="C570" s="739" t="s">
        <v>2026</v>
      </c>
      <c r="D570" s="739" t="s">
        <v>2026</v>
      </c>
      <c r="E570" s="791">
        <v>351000</v>
      </c>
      <c r="G570" s="739" t="str">
        <f t="shared" si="459"/>
        <v>013801</v>
      </c>
      <c r="J570" s="739">
        <v>6000</v>
      </c>
      <c r="Q570" s="773"/>
      <c r="T570" s="775" t="str">
        <f t="shared" si="460"/>
        <v>023801</v>
      </c>
      <c r="W570" s="739" t="s">
        <v>2032</v>
      </c>
      <c r="Y570" s="775">
        <f t="shared" si="461"/>
        <v>2017</v>
      </c>
      <c r="Z570" s="775">
        <v>12</v>
      </c>
      <c r="AA570" s="739">
        <v>0</v>
      </c>
    </row>
    <row r="571" spans="1:29">
      <c r="A571" s="739" t="s">
        <v>2025</v>
      </c>
      <c r="B571" s="739" t="s">
        <v>2025</v>
      </c>
      <c r="C571" s="739" t="s">
        <v>2026</v>
      </c>
      <c r="D571" s="739" t="s">
        <v>2026</v>
      </c>
      <c r="E571" s="792">
        <v>362000</v>
      </c>
      <c r="G571" s="739" t="str">
        <f t="shared" si="459"/>
        <v>013801</v>
      </c>
      <c r="J571" s="739">
        <v>6000</v>
      </c>
      <c r="Q571" s="773"/>
      <c r="T571" s="775" t="str">
        <f t="shared" si="460"/>
        <v>023801</v>
      </c>
      <c r="W571" s="739" t="s">
        <v>2032</v>
      </c>
      <c r="Y571" s="775">
        <f t="shared" si="461"/>
        <v>2017</v>
      </c>
      <c r="Z571" s="775">
        <v>12</v>
      </c>
      <c r="AA571" s="739">
        <f>('COMB. CHGE IN NP IN. SERV.(83)'!G13)*-1</f>
        <v>0</v>
      </c>
      <c r="AB571" s="739">
        <f>AA571</f>
        <v>0</v>
      </c>
      <c r="AC571" s="739">
        <f>AB571</f>
        <v>0</v>
      </c>
    </row>
    <row r="572" spans="1:29">
      <c r="A572" s="739" t="s">
        <v>2025</v>
      </c>
      <c r="B572" s="739" t="s">
        <v>2025</v>
      </c>
      <c r="C572" s="739" t="s">
        <v>2026</v>
      </c>
      <c r="D572" s="739" t="s">
        <v>2026</v>
      </c>
      <c r="E572" s="791">
        <v>361000</v>
      </c>
      <c r="G572" s="739" t="str">
        <f t="shared" si="459"/>
        <v>013801</v>
      </c>
      <c r="J572" s="739">
        <v>6000</v>
      </c>
      <c r="Q572" s="773"/>
      <c r="T572" s="775" t="str">
        <f t="shared" si="460"/>
        <v>023801</v>
      </c>
      <c r="W572" s="739" t="s">
        <v>2032</v>
      </c>
      <c r="Y572" s="775">
        <f t="shared" si="461"/>
        <v>2017</v>
      </c>
      <c r="Z572" s="775">
        <v>12</v>
      </c>
      <c r="AA572" s="739">
        <v>0</v>
      </c>
    </row>
    <row r="573" spans="1:29">
      <c r="A573" s="739" t="s">
        <v>2025</v>
      </c>
      <c r="B573" s="739" t="s">
        <v>2025</v>
      </c>
      <c r="C573" s="739" t="s">
        <v>2026</v>
      </c>
      <c r="D573" s="739" t="s">
        <v>2026</v>
      </c>
      <c r="E573" s="792">
        <v>360000</v>
      </c>
      <c r="G573" s="739" t="str">
        <f t="shared" si="459"/>
        <v>013801</v>
      </c>
      <c r="J573" s="739">
        <v>6000</v>
      </c>
      <c r="Q573" s="773"/>
      <c r="T573" s="775" t="str">
        <f t="shared" si="460"/>
        <v>023801</v>
      </c>
      <c r="W573" s="739" t="s">
        <v>2032</v>
      </c>
      <c r="Y573" s="775">
        <f t="shared" si="461"/>
        <v>2017</v>
      </c>
      <c r="Z573" s="775">
        <v>12</v>
      </c>
      <c r="AA573" s="739">
        <v>0</v>
      </c>
    </row>
    <row r="574" spans="1:29">
      <c r="A574" s="739" t="s">
        <v>2025</v>
      </c>
      <c r="B574" s="739" t="s">
        <v>2025</v>
      </c>
      <c r="C574" s="739" t="s">
        <v>2026</v>
      </c>
      <c r="D574" s="739" t="s">
        <v>2026</v>
      </c>
      <c r="E574" s="791">
        <v>363000</v>
      </c>
      <c r="G574" s="739" t="str">
        <f t="shared" si="459"/>
        <v>013801</v>
      </c>
      <c r="J574" s="739">
        <v>6000</v>
      </c>
      <c r="Q574" s="773"/>
      <c r="T574" s="775" t="str">
        <f t="shared" si="460"/>
        <v>023801</v>
      </c>
      <c r="W574" s="739" t="s">
        <v>2032</v>
      </c>
      <c r="Y574" s="775">
        <f t="shared" si="461"/>
        <v>2017</v>
      </c>
      <c r="Z574" s="775">
        <v>12</v>
      </c>
      <c r="AA574" s="739">
        <f>('COMB. CHGE IN NP IN. SERV.(83)'!G14)*-1</f>
        <v>0</v>
      </c>
      <c r="AB574" s="739">
        <f>AA574</f>
        <v>0</v>
      </c>
      <c r="AC574" s="739">
        <f>AB574</f>
        <v>0</v>
      </c>
    </row>
    <row r="575" spans="1:29">
      <c r="A575" s="739" t="s">
        <v>2025</v>
      </c>
      <c r="B575" s="739" t="s">
        <v>2025</v>
      </c>
      <c r="C575" s="739" t="s">
        <v>2026</v>
      </c>
      <c r="D575" s="739" t="s">
        <v>2026</v>
      </c>
      <c r="E575" s="791">
        <v>365000</v>
      </c>
      <c r="G575" s="739" t="str">
        <f t="shared" si="459"/>
        <v>013801</v>
      </c>
      <c r="J575" s="739">
        <v>6000</v>
      </c>
      <c r="Q575" s="773"/>
      <c r="T575" s="775" t="str">
        <f t="shared" si="460"/>
        <v>023801</v>
      </c>
      <c r="W575" s="739" t="s">
        <v>2032</v>
      </c>
      <c r="Y575" s="775">
        <f t="shared" si="461"/>
        <v>2017</v>
      </c>
      <c r="Z575" s="775">
        <v>12</v>
      </c>
      <c r="AA575" s="739">
        <v>0</v>
      </c>
    </row>
    <row r="576" spans="1:29">
      <c r="A576" s="739" t="s">
        <v>2025</v>
      </c>
      <c r="B576" s="739" t="s">
        <v>2025</v>
      </c>
      <c r="C576" s="739" t="s">
        <v>2026</v>
      </c>
      <c r="D576" s="739" t="s">
        <v>2026</v>
      </c>
      <c r="E576" s="791">
        <v>366000</v>
      </c>
      <c r="G576" s="739" t="str">
        <f t="shared" si="459"/>
        <v>013801</v>
      </c>
      <c r="J576" s="739">
        <v>6000</v>
      </c>
      <c r="Q576" s="773"/>
      <c r="T576" s="775" t="str">
        <f t="shared" si="460"/>
        <v>023801</v>
      </c>
      <c r="W576" s="739" t="s">
        <v>2032</v>
      </c>
      <c r="Y576" s="775">
        <f t="shared" si="461"/>
        <v>2017</v>
      </c>
      <c r="Z576" s="775">
        <v>12</v>
      </c>
      <c r="AA576" s="739">
        <v>0</v>
      </c>
    </row>
    <row r="577" spans="1:29">
      <c r="A577" s="739" t="s">
        <v>2025</v>
      </c>
      <c r="B577" s="739" t="s">
        <v>2025</v>
      </c>
      <c r="C577" s="739" t="s">
        <v>2026</v>
      </c>
      <c r="D577" s="739" t="s">
        <v>2026</v>
      </c>
      <c r="E577" s="791">
        <v>367000</v>
      </c>
      <c r="G577" s="739" t="str">
        <f t="shared" si="459"/>
        <v>013801</v>
      </c>
      <c r="J577" s="739">
        <v>6000</v>
      </c>
      <c r="Q577" s="773"/>
      <c r="T577" s="775" t="str">
        <f t="shared" si="460"/>
        <v>023801</v>
      </c>
      <c r="W577" s="739" t="s">
        <v>2032</v>
      </c>
      <c r="Y577" s="775">
        <f t="shared" si="461"/>
        <v>2017</v>
      </c>
      <c r="Z577" s="775">
        <v>12</v>
      </c>
      <c r="AA577" s="739">
        <v>0</v>
      </c>
    </row>
    <row r="578" spans="1:29">
      <c r="A578" s="739" t="s">
        <v>2025</v>
      </c>
      <c r="B578" s="739" t="s">
        <v>2025</v>
      </c>
      <c r="C578" s="739" t="s">
        <v>2026</v>
      </c>
      <c r="D578" s="739" t="s">
        <v>2026</v>
      </c>
      <c r="E578" s="791">
        <v>368000</v>
      </c>
      <c r="G578" s="739" t="str">
        <f t="shared" si="459"/>
        <v>013801</v>
      </c>
      <c r="J578" s="739">
        <v>6000</v>
      </c>
      <c r="Q578" s="773"/>
      <c r="T578" s="775" t="str">
        <f t="shared" si="460"/>
        <v>023801</v>
      </c>
      <c r="W578" s="739" t="s">
        <v>2032</v>
      </c>
      <c r="Y578" s="775">
        <f t="shared" si="461"/>
        <v>2017</v>
      </c>
      <c r="Z578" s="775">
        <v>12</v>
      </c>
      <c r="AA578" s="739">
        <v>0</v>
      </c>
    </row>
    <row r="579" spans="1:29">
      <c r="A579" s="739" t="s">
        <v>2025</v>
      </c>
      <c r="B579" s="739" t="s">
        <v>2025</v>
      </c>
      <c r="C579" s="739" t="s">
        <v>2026</v>
      </c>
      <c r="D579" s="739" t="s">
        <v>2026</v>
      </c>
      <c r="E579" s="791">
        <v>370000</v>
      </c>
      <c r="G579" s="739" t="str">
        <f t="shared" si="459"/>
        <v>013801</v>
      </c>
      <c r="J579" s="739">
        <v>6000</v>
      </c>
      <c r="Q579" s="773"/>
      <c r="T579" s="775" t="str">
        <f t="shared" si="460"/>
        <v>023801</v>
      </c>
      <c r="W579" s="739" t="s">
        <v>2032</v>
      </c>
      <c r="Y579" s="775">
        <f t="shared" si="461"/>
        <v>2017</v>
      </c>
      <c r="Z579" s="775">
        <v>12</v>
      </c>
      <c r="AA579" s="739">
        <v>0</v>
      </c>
    </row>
    <row r="580" spans="1:29">
      <c r="A580" s="739" t="s">
        <v>2025</v>
      </c>
      <c r="B580" s="739" t="s">
        <v>2025</v>
      </c>
      <c r="C580" s="739" t="s">
        <v>2026</v>
      </c>
      <c r="D580" s="739" t="s">
        <v>2026</v>
      </c>
      <c r="E580" s="791">
        <v>371000</v>
      </c>
      <c r="G580" s="739" t="str">
        <f t="shared" si="459"/>
        <v>013801</v>
      </c>
      <c r="J580" s="739">
        <v>6000</v>
      </c>
      <c r="Q580" s="773"/>
      <c r="T580" s="775" t="str">
        <f t="shared" si="460"/>
        <v>023801</v>
      </c>
      <c r="W580" s="739" t="s">
        <v>2032</v>
      </c>
      <c r="Y580" s="775">
        <f t="shared" si="461"/>
        <v>2017</v>
      </c>
      <c r="Z580" s="775">
        <v>12</v>
      </c>
      <c r="AA580" s="739">
        <f>('COMB. CHGE IN NP IN. SERV.(83)'!G33)*-1</f>
        <v>0</v>
      </c>
      <c r="AB580" s="739">
        <f>AA580</f>
        <v>0</v>
      </c>
      <c r="AC580" s="739">
        <f>AA580</f>
        <v>0</v>
      </c>
    </row>
    <row r="581" spans="1:29">
      <c r="A581" s="739" t="s">
        <v>2025</v>
      </c>
      <c r="B581" s="739" t="s">
        <v>2025</v>
      </c>
      <c r="C581" s="739" t="s">
        <v>2026</v>
      </c>
      <c r="D581" s="739" t="s">
        <v>2026</v>
      </c>
      <c r="E581" s="791">
        <v>372000</v>
      </c>
      <c r="G581" s="739" t="str">
        <f t="shared" si="459"/>
        <v>013801</v>
      </c>
      <c r="J581" s="739">
        <v>6000</v>
      </c>
      <c r="Q581" s="773"/>
      <c r="T581" s="775" t="str">
        <f t="shared" si="460"/>
        <v>023801</v>
      </c>
      <c r="W581" s="739" t="s">
        <v>2032</v>
      </c>
      <c r="Y581" s="775">
        <f t="shared" si="461"/>
        <v>2017</v>
      </c>
      <c r="Z581" s="775">
        <v>12</v>
      </c>
      <c r="AA581" s="739">
        <v>0</v>
      </c>
    </row>
    <row r="582" spans="1:29">
      <c r="A582" s="739" t="s">
        <v>2025</v>
      </c>
      <c r="B582" s="739" t="s">
        <v>2025</v>
      </c>
      <c r="C582" s="739" t="s">
        <v>2026</v>
      </c>
      <c r="D582" s="739" t="s">
        <v>2026</v>
      </c>
      <c r="E582" s="791">
        <v>373000</v>
      </c>
      <c r="G582" s="739" t="str">
        <f t="shared" si="459"/>
        <v>013801</v>
      </c>
      <c r="J582" s="739">
        <v>6000</v>
      </c>
      <c r="Q582" s="773"/>
      <c r="T582" s="775" t="str">
        <f t="shared" si="460"/>
        <v>023801</v>
      </c>
      <c r="W582" s="739" t="s">
        <v>2032</v>
      </c>
      <c r="Y582" s="775">
        <f t="shared" si="461"/>
        <v>2017</v>
      </c>
      <c r="Z582" s="775">
        <v>12</v>
      </c>
      <c r="AA582" s="739">
        <v>0</v>
      </c>
    </row>
    <row r="583" spans="1:29">
      <c r="A583" s="739" t="s">
        <v>2025</v>
      </c>
      <c r="B583" s="739" t="s">
        <v>2025</v>
      </c>
      <c r="C583" s="739" t="s">
        <v>2026</v>
      </c>
      <c r="D583" s="739" t="s">
        <v>2026</v>
      </c>
      <c r="E583" s="791">
        <v>380000</v>
      </c>
      <c r="G583" s="739" t="str">
        <f t="shared" si="459"/>
        <v>013801</v>
      </c>
      <c r="J583" s="739">
        <v>6000</v>
      </c>
      <c r="Q583" s="773"/>
      <c r="T583" s="775" t="str">
        <f t="shared" si="460"/>
        <v>023801</v>
      </c>
      <c r="W583" s="739" t="s">
        <v>2032</v>
      </c>
      <c r="Y583" s="775">
        <f t="shared" si="461"/>
        <v>2017</v>
      </c>
      <c r="Z583" s="775">
        <v>12</v>
      </c>
      <c r="AA583" s="739">
        <v>0</v>
      </c>
    </row>
    <row r="584" spans="1:29">
      <c r="A584" s="739" t="s">
        <v>2025</v>
      </c>
      <c r="B584" s="739" t="s">
        <v>2025</v>
      </c>
      <c r="C584" s="739" t="s">
        <v>2026</v>
      </c>
      <c r="D584" s="739" t="s">
        <v>2026</v>
      </c>
      <c r="E584" s="791">
        <v>381000</v>
      </c>
      <c r="G584" s="739" t="str">
        <f t="shared" si="459"/>
        <v>013801</v>
      </c>
      <c r="J584" s="739">
        <v>6000</v>
      </c>
      <c r="Q584" s="773"/>
      <c r="T584" s="775" t="str">
        <f t="shared" si="460"/>
        <v>023801</v>
      </c>
      <c r="W584" s="739" t="s">
        <v>2032</v>
      </c>
      <c r="Y584" s="775">
        <f t="shared" si="461"/>
        <v>2017</v>
      </c>
      <c r="Z584" s="775">
        <v>12</v>
      </c>
      <c r="AA584" s="739">
        <v>0</v>
      </c>
    </row>
    <row r="585" spans="1:29">
      <c r="A585" s="739" t="s">
        <v>2025</v>
      </c>
      <c r="B585" s="739" t="s">
        <v>2025</v>
      </c>
      <c r="C585" s="739" t="s">
        <v>2026</v>
      </c>
      <c r="D585" s="739" t="s">
        <v>2026</v>
      </c>
      <c r="E585" s="791">
        <v>382000</v>
      </c>
      <c r="G585" s="739" t="str">
        <f t="shared" si="459"/>
        <v>013801</v>
      </c>
      <c r="J585" s="739">
        <v>6000</v>
      </c>
      <c r="Q585" s="773"/>
      <c r="T585" s="775" t="str">
        <f t="shared" si="460"/>
        <v>023801</v>
      </c>
      <c r="W585" s="739" t="s">
        <v>2032</v>
      </c>
      <c r="Y585" s="775">
        <f t="shared" si="461"/>
        <v>2017</v>
      </c>
      <c r="Z585" s="775">
        <v>12</v>
      </c>
      <c r="AA585" s="739">
        <f>(IF('COMB. CHGE IN NP IN. SERV.(83)'!G34&lt;1,-'COMB. CHGE IN NP IN. SERV.(83)'!G34)+IF('COMB. CHGE IN NP IN. SERV.(83)'!G34&gt;1,'COMB. CHGE IN NP IN. SERV.(83)'!G34))*-1</f>
        <v>0</v>
      </c>
      <c r="AB585" s="739">
        <f>AA585</f>
        <v>0</v>
      </c>
      <c r="AC585" s="739">
        <f>AB585</f>
        <v>0</v>
      </c>
    </row>
    <row r="586" spans="1:29">
      <c r="A586" s="739" t="s">
        <v>2025</v>
      </c>
      <c r="B586" s="739" t="s">
        <v>2025</v>
      </c>
      <c r="C586" s="739" t="s">
        <v>2026</v>
      </c>
      <c r="D586" s="739" t="s">
        <v>2026</v>
      </c>
      <c r="E586" s="791">
        <v>383000</v>
      </c>
      <c r="G586" s="739" t="str">
        <f t="shared" si="459"/>
        <v>013801</v>
      </c>
      <c r="J586" s="739">
        <v>6000</v>
      </c>
      <c r="Q586" s="773"/>
      <c r="T586" s="775" t="str">
        <f t="shared" si="460"/>
        <v>023801</v>
      </c>
      <c r="W586" s="739" t="s">
        <v>2032</v>
      </c>
      <c r="Y586" s="775">
        <f t="shared" si="461"/>
        <v>2017</v>
      </c>
      <c r="Z586" s="775">
        <v>12</v>
      </c>
      <c r="AA586" s="739">
        <f>(IF('COMB. CHGE IN NP IN. SERV.(83)'!G43&gt;1,'COMB. CHGE IN NP IN. SERV.(83)'!G43,0))*-1</f>
        <v>0</v>
      </c>
      <c r="AB586" s="739">
        <f>AA586</f>
        <v>0</v>
      </c>
      <c r="AC586" s="739">
        <f>AA586</f>
        <v>0</v>
      </c>
    </row>
    <row r="587" spans="1:29">
      <c r="A587" s="739" t="s">
        <v>2025</v>
      </c>
      <c r="B587" s="739" t="s">
        <v>2025</v>
      </c>
      <c r="C587" s="739" t="s">
        <v>2026</v>
      </c>
      <c r="D587" s="739" t="s">
        <v>2026</v>
      </c>
      <c r="E587" s="791">
        <v>384000</v>
      </c>
      <c r="G587" s="739" t="str">
        <f t="shared" si="459"/>
        <v>013801</v>
      </c>
      <c r="J587" s="739">
        <v>6000</v>
      </c>
      <c r="Q587" s="773"/>
      <c r="T587" s="775" t="str">
        <f t="shared" si="460"/>
        <v>023801</v>
      </c>
      <c r="W587" s="739" t="s">
        <v>2032</v>
      </c>
      <c r="Y587" s="775">
        <f t="shared" si="461"/>
        <v>2017</v>
      </c>
      <c r="Z587" s="775">
        <v>12</v>
      </c>
      <c r="AA587" s="739">
        <f>('COMB. CHGE IN NP IN. SERV.(83)'!G36)*-1</f>
        <v>0</v>
      </c>
      <c r="AB587" s="739">
        <f t="shared" ref="AB587:AC587" si="478">AA587</f>
        <v>0</v>
      </c>
      <c r="AC587" s="739">
        <f t="shared" si="478"/>
        <v>0</v>
      </c>
    </row>
    <row r="588" spans="1:29">
      <c r="A588" s="739" t="s">
        <v>2025</v>
      </c>
      <c r="B588" s="739" t="s">
        <v>2025</v>
      </c>
      <c r="C588" s="739" t="s">
        <v>2026</v>
      </c>
      <c r="D588" s="739" t="s">
        <v>2026</v>
      </c>
      <c r="E588" s="791">
        <v>385000</v>
      </c>
      <c r="G588" s="739" t="str">
        <f t="shared" ref="G588:G651" si="479">$G$6</f>
        <v>013801</v>
      </c>
      <c r="J588" s="739">
        <v>6000</v>
      </c>
      <c r="Q588" s="773"/>
      <c r="T588" s="775" t="str">
        <f t="shared" ref="T588:T651" si="480">$T$6</f>
        <v>023801</v>
      </c>
      <c r="W588" s="739" t="s">
        <v>2032</v>
      </c>
      <c r="Y588" s="775">
        <f t="shared" ref="Y588:Y651" si="481">$Y$6</f>
        <v>2017</v>
      </c>
      <c r="Z588" s="775">
        <v>12</v>
      </c>
      <c r="AA588" s="739">
        <f>('COMB. CHGE IN NP IN. SERV.(83)'!G37)*-1</f>
        <v>0</v>
      </c>
      <c r="AB588" s="739">
        <f t="shared" ref="AB588:AC588" si="482">AA588</f>
        <v>0</v>
      </c>
      <c r="AC588" s="739">
        <f t="shared" si="482"/>
        <v>0</v>
      </c>
    </row>
    <row r="589" spans="1:29">
      <c r="A589" s="739" t="s">
        <v>2025</v>
      </c>
      <c r="B589" s="739" t="s">
        <v>2025</v>
      </c>
      <c r="C589" s="739" t="s">
        <v>2026</v>
      </c>
      <c r="D589" s="739" t="s">
        <v>2026</v>
      </c>
      <c r="E589" s="791">
        <v>390000</v>
      </c>
      <c r="G589" s="739" t="str">
        <f t="shared" si="479"/>
        <v>013801</v>
      </c>
      <c r="J589" s="739">
        <v>6000</v>
      </c>
      <c r="Q589" s="773"/>
      <c r="T589" s="775" t="str">
        <f t="shared" si="480"/>
        <v>023801</v>
      </c>
      <c r="W589" s="739" t="s">
        <v>2032</v>
      </c>
      <c r="Y589" s="775">
        <f t="shared" si="481"/>
        <v>2017</v>
      </c>
      <c r="Z589" s="775">
        <v>12</v>
      </c>
      <c r="AA589" s="739">
        <v>0</v>
      </c>
    </row>
    <row r="590" spans="1:29">
      <c r="A590" s="739" t="s">
        <v>2025</v>
      </c>
      <c r="B590" s="739" t="s">
        <v>2025</v>
      </c>
      <c r="C590" s="739" t="s">
        <v>2026</v>
      </c>
      <c r="D590" s="739" t="s">
        <v>2026</v>
      </c>
      <c r="E590" s="791">
        <v>391000</v>
      </c>
      <c r="G590" s="739" t="str">
        <f t="shared" si="479"/>
        <v>013801</v>
      </c>
      <c r="J590" s="739">
        <v>6000</v>
      </c>
      <c r="Q590" s="773"/>
      <c r="T590" s="775" t="str">
        <f t="shared" si="480"/>
        <v>023801</v>
      </c>
      <c r="W590" s="739" t="s">
        <v>2032</v>
      </c>
      <c r="Y590" s="775">
        <f t="shared" si="481"/>
        <v>2017</v>
      </c>
      <c r="Z590" s="775">
        <v>12</v>
      </c>
      <c r="AA590" s="739">
        <v>0</v>
      </c>
    </row>
    <row r="591" spans="1:29">
      <c r="A591" s="739" t="s">
        <v>2025</v>
      </c>
      <c r="B591" s="739" t="s">
        <v>2025</v>
      </c>
      <c r="C591" s="739" t="s">
        <v>2026</v>
      </c>
      <c r="D591" s="739" t="s">
        <v>2026</v>
      </c>
      <c r="E591" s="791">
        <v>392000</v>
      </c>
      <c r="G591" s="739" t="str">
        <f t="shared" si="479"/>
        <v>013801</v>
      </c>
      <c r="J591" s="739">
        <v>6000</v>
      </c>
      <c r="Q591" s="773"/>
      <c r="T591" s="775" t="str">
        <f t="shared" si="480"/>
        <v>023801</v>
      </c>
      <c r="W591" s="739" t="s">
        <v>2032</v>
      </c>
      <c r="Y591" s="775">
        <f t="shared" si="481"/>
        <v>2017</v>
      </c>
      <c r="Z591" s="775">
        <v>12</v>
      </c>
      <c r="AA591" s="739">
        <v>0</v>
      </c>
    </row>
    <row r="592" spans="1:29">
      <c r="A592" s="739" t="s">
        <v>2025</v>
      </c>
      <c r="B592" s="739" t="s">
        <v>2025</v>
      </c>
      <c r="C592" s="739" t="s">
        <v>2026</v>
      </c>
      <c r="D592" s="739" t="s">
        <v>2026</v>
      </c>
      <c r="E592" s="791">
        <v>393000</v>
      </c>
      <c r="G592" s="739" t="str">
        <f t="shared" si="479"/>
        <v>013801</v>
      </c>
      <c r="J592" s="739">
        <v>6000</v>
      </c>
      <c r="Q592" s="773"/>
      <c r="T592" s="775" t="str">
        <f t="shared" si="480"/>
        <v>023801</v>
      </c>
      <c r="W592" s="739" t="s">
        <v>2032</v>
      </c>
      <c r="Y592" s="775">
        <f t="shared" si="481"/>
        <v>2017</v>
      </c>
      <c r="Z592" s="775">
        <v>12</v>
      </c>
      <c r="AA592" s="739">
        <v>0</v>
      </c>
    </row>
    <row r="593" spans="1:29">
      <c r="A593" s="739" t="s">
        <v>2025</v>
      </c>
      <c r="B593" s="739" t="s">
        <v>2025</v>
      </c>
      <c r="C593" s="739" t="s">
        <v>2026</v>
      </c>
      <c r="D593" s="739" t="s">
        <v>2026</v>
      </c>
      <c r="E593" s="791">
        <v>394000</v>
      </c>
      <c r="G593" s="739" t="str">
        <f t="shared" si="479"/>
        <v>013801</v>
      </c>
      <c r="J593" s="739">
        <v>6000</v>
      </c>
      <c r="Q593" s="773"/>
      <c r="T593" s="775" t="str">
        <f t="shared" si="480"/>
        <v>023801</v>
      </c>
      <c r="W593" s="739" t="s">
        <v>2032</v>
      </c>
      <c r="Y593" s="775">
        <f t="shared" si="481"/>
        <v>2017</v>
      </c>
      <c r="Z593" s="775">
        <v>12</v>
      </c>
      <c r="AA593" s="739">
        <v>0</v>
      </c>
    </row>
    <row r="594" spans="1:29">
      <c r="A594" s="739" t="s">
        <v>2025</v>
      </c>
      <c r="B594" s="739" t="s">
        <v>2025</v>
      </c>
      <c r="C594" s="739" t="s">
        <v>2026</v>
      </c>
      <c r="D594" s="739" t="s">
        <v>2026</v>
      </c>
      <c r="E594" s="791">
        <v>395000</v>
      </c>
      <c r="G594" s="739" t="str">
        <f t="shared" si="479"/>
        <v>013801</v>
      </c>
      <c r="J594" s="739">
        <v>6000</v>
      </c>
      <c r="Q594" s="773"/>
      <c r="T594" s="775" t="str">
        <f t="shared" si="480"/>
        <v>023801</v>
      </c>
      <c r="W594" s="739" t="s">
        <v>2032</v>
      </c>
      <c r="Y594" s="775">
        <f t="shared" si="481"/>
        <v>2017</v>
      </c>
      <c r="Z594" s="775">
        <v>12</v>
      </c>
      <c r="AA594" s="739">
        <v>0</v>
      </c>
    </row>
    <row r="595" spans="1:29">
      <c r="A595" s="739" t="s">
        <v>2025</v>
      </c>
      <c r="B595" s="739" t="s">
        <v>2025</v>
      </c>
      <c r="C595" s="739" t="s">
        <v>2026</v>
      </c>
      <c r="D595" s="739" t="s">
        <v>2026</v>
      </c>
      <c r="E595" s="791">
        <v>396000</v>
      </c>
      <c r="G595" s="739" t="str">
        <f t="shared" si="479"/>
        <v>013801</v>
      </c>
      <c r="J595" s="739">
        <v>6000</v>
      </c>
      <c r="Q595" s="773"/>
      <c r="T595" s="775" t="str">
        <f t="shared" si="480"/>
        <v>023801</v>
      </c>
      <c r="W595" s="739" t="s">
        <v>2032</v>
      </c>
      <c r="Y595" s="775">
        <f t="shared" si="481"/>
        <v>2017</v>
      </c>
      <c r="Z595" s="775">
        <v>12</v>
      </c>
      <c r="AA595" s="739">
        <v>0</v>
      </c>
    </row>
    <row r="596" spans="1:29">
      <c r="A596" s="739" t="s">
        <v>2025</v>
      </c>
      <c r="B596" s="739" t="s">
        <v>2025</v>
      </c>
      <c r="C596" s="739" t="s">
        <v>2026</v>
      </c>
      <c r="D596" s="739" t="s">
        <v>2026</v>
      </c>
      <c r="E596" s="791">
        <v>397000</v>
      </c>
      <c r="G596" s="739" t="str">
        <f t="shared" si="479"/>
        <v>013801</v>
      </c>
      <c r="J596" s="739">
        <v>6000</v>
      </c>
      <c r="Q596" s="773"/>
      <c r="T596" s="775" t="str">
        <f t="shared" si="480"/>
        <v>023801</v>
      </c>
      <c r="W596" s="739" t="s">
        <v>2032</v>
      </c>
      <c r="Y596" s="775">
        <f t="shared" si="481"/>
        <v>2017</v>
      </c>
      <c r="Z596" s="775">
        <v>12</v>
      </c>
      <c r="AA596" s="739">
        <v>0</v>
      </c>
    </row>
    <row r="597" spans="1:29">
      <c r="A597" s="739" t="s">
        <v>2025</v>
      </c>
      <c r="B597" s="739" t="s">
        <v>2025</v>
      </c>
      <c r="C597" s="739" t="s">
        <v>2026</v>
      </c>
      <c r="D597" s="739" t="s">
        <v>2026</v>
      </c>
      <c r="E597" s="774" t="s">
        <v>2607</v>
      </c>
      <c r="G597" s="739" t="str">
        <f t="shared" si="479"/>
        <v>013801</v>
      </c>
      <c r="J597" s="739">
        <v>6000</v>
      </c>
      <c r="Q597" s="773">
        <v>100</v>
      </c>
      <c r="T597" s="775" t="str">
        <f t="shared" si="480"/>
        <v>023801</v>
      </c>
      <c r="W597" s="739" t="s">
        <v>2032</v>
      </c>
      <c r="Y597" s="775">
        <f t="shared" si="481"/>
        <v>2017</v>
      </c>
      <c r="Z597" s="775">
        <v>12</v>
      </c>
      <c r="AA597" s="739">
        <f>'COMB. CHGE IN NP IN. SERV.(83)'!G19</f>
        <v>0</v>
      </c>
      <c r="AB597" s="739">
        <f t="shared" ref="AB597:AC597" si="483">AA597</f>
        <v>0</v>
      </c>
      <c r="AC597" s="739">
        <f t="shared" si="483"/>
        <v>0</v>
      </c>
    </row>
    <row r="598" spans="1:29">
      <c r="A598" s="739" t="s">
        <v>2025</v>
      </c>
      <c r="B598" s="739" t="s">
        <v>2025</v>
      </c>
      <c r="C598" s="739" t="s">
        <v>2026</v>
      </c>
      <c r="D598" s="739" t="s">
        <v>2026</v>
      </c>
      <c r="E598" s="774" t="s">
        <v>2607</v>
      </c>
      <c r="G598" s="739" t="str">
        <f t="shared" si="479"/>
        <v>013801</v>
      </c>
      <c r="J598" s="739">
        <v>6000</v>
      </c>
      <c r="Q598" s="773">
        <v>200</v>
      </c>
      <c r="T598" s="775" t="str">
        <f t="shared" si="480"/>
        <v>023801</v>
      </c>
      <c r="W598" s="739" t="s">
        <v>2032</v>
      </c>
      <c r="Y598" s="775">
        <f t="shared" si="481"/>
        <v>2017</v>
      </c>
      <c r="Z598" s="775">
        <v>12</v>
      </c>
      <c r="AA598" s="739">
        <f>'COMB. CHGE IN NP IN. SERV.(83)'!G20</f>
        <v>0</v>
      </c>
      <c r="AB598" s="739">
        <f t="shared" ref="AB598:AC598" si="484">AA598</f>
        <v>0</v>
      </c>
      <c r="AC598" s="739">
        <f t="shared" si="484"/>
        <v>0</v>
      </c>
    </row>
    <row r="599" spans="1:29">
      <c r="A599" s="739" t="s">
        <v>2025</v>
      </c>
      <c r="B599" s="739" t="s">
        <v>2025</v>
      </c>
      <c r="C599" s="739" t="s">
        <v>2026</v>
      </c>
      <c r="D599" s="739" t="s">
        <v>2026</v>
      </c>
      <c r="E599" s="774" t="s">
        <v>2607</v>
      </c>
      <c r="G599" s="739" t="str">
        <f t="shared" si="479"/>
        <v>013801</v>
      </c>
      <c r="J599" s="739">
        <v>6000</v>
      </c>
      <c r="Q599" s="773">
        <v>300</v>
      </c>
      <c r="T599" s="775" t="str">
        <f t="shared" si="480"/>
        <v>023801</v>
      </c>
      <c r="W599" s="739" t="s">
        <v>2032</v>
      </c>
      <c r="Y599" s="775">
        <f t="shared" si="481"/>
        <v>2017</v>
      </c>
      <c r="Z599" s="775">
        <v>12</v>
      </c>
      <c r="AA599" s="739">
        <f>'COMB. CHGE IN NP IN. SERV.(83)'!G21</f>
        <v>0</v>
      </c>
      <c r="AB599" s="739">
        <f t="shared" ref="AB599:AC599" si="485">AA599</f>
        <v>0</v>
      </c>
      <c r="AC599" s="739">
        <f t="shared" si="485"/>
        <v>0</v>
      </c>
    </row>
    <row r="600" spans="1:29">
      <c r="A600" s="739" t="s">
        <v>2025</v>
      </c>
      <c r="B600" s="739" t="s">
        <v>2025</v>
      </c>
      <c r="C600" s="739" t="s">
        <v>2026</v>
      </c>
      <c r="D600" s="739" t="s">
        <v>2026</v>
      </c>
      <c r="E600" s="774" t="s">
        <v>2607</v>
      </c>
      <c r="G600" s="739" t="str">
        <f t="shared" si="479"/>
        <v>013801</v>
      </c>
      <c r="J600" s="739">
        <v>6000</v>
      </c>
      <c r="Q600" s="773">
        <v>400</v>
      </c>
      <c r="T600" s="775" t="str">
        <f t="shared" si="480"/>
        <v>023801</v>
      </c>
      <c r="W600" s="739" t="s">
        <v>2032</v>
      </c>
      <c r="Y600" s="775">
        <f t="shared" si="481"/>
        <v>2017</v>
      </c>
      <c r="Z600" s="775">
        <v>12</v>
      </c>
      <c r="AA600" s="739">
        <f>'COMB. CHGE IN NP IN. SERV.(83)'!G22</f>
        <v>0</v>
      </c>
      <c r="AB600" s="739">
        <f t="shared" ref="AB600:AC600" si="486">AA600</f>
        <v>0</v>
      </c>
      <c r="AC600" s="739">
        <f t="shared" si="486"/>
        <v>0</v>
      </c>
    </row>
    <row r="601" spans="1:29">
      <c r="A601" s="739" t="s">
        <v>2025</v>
      </c>
      <c r="B601" s="739" t="s">
        <v>2025</v>
      </c>
      <c r="C601" s="739" t="s">
        <v>2026</v>
      </c>
      <c r="D601" s="739" t="s">
        <v>2026</v>
      </c>
      <c r="E601" s="774" t="s">
        <v>2607</v>
      </c>
      <c r="G601" s="739" t="str">
        <f t="shared" si="479"/>
        <v>013801</v>
      </c>
      <c r="J601" s="739">
        <v>6000</v>
      </c>
      <c r="Q601" s="773">
        <v>500</v>
      </c>
      <c r="T601" s="775" t="str">
        <f t="shared" si="480"/>
        <v>023801</v>
      </c>
      <c r="W601" s="739" t="s">
        <v>2032</v>
      </c>
      <c r="Y601" s="775">
        <f t="shared" si="481"/>
        <v>2017</v>
      </c>
      <c r="Z601" s="775">
        <v>12</v>
      </c>
      <c r="AA601" s="739">
        <f>'COMB. CHGE IN NP IN. SERV.(83)'!G23</f>
        <v>0</v>
      </c>
      <c r="AB601" s="739">
        <f t="shared" ref="AB601:AC601" si="487">AA601</f>
        <v>0</v>
      </c>
      <c r="AC601" s="739">
        <f t="shared" si="487"/>
        <v>0</v>
      </c>
    </row>
    <row r="602" spans="1:29">
      <c r="A602" s="739" t="s">
        <v>2025</v>
      </c>
      <c r="B602" s="739" t="s">
        <v>2025</v>
      </c>
      <c r="C602" s="739" t="s">
        <v>2026</v>
      </c>
      <c r="D602" s="739" t="s">
        <v>2026</v>
      </c>
      <c r="E602" s="774" t="s">
        <v>2607</v>
      </c>
      <c r="G602" s="739" t="str">
        <f t="shared" si="479"/>
        <v>013801</v>
      </c>
      <c r="J602" s="739">
        <v>6000</v>
      </c>
      <c r="Q602" s="773">
        <v>600</v>
      </c>
      <c r="T602" s="775" t="str">
        <f t="shared" si="480"/>
        <v>023801</v>
      </c>
      <c r="W602" s="739" t="s">
        <v>2032</v>
      </c>
      <c r="Y602" s="775">
        <f t="shared" si="481"/>
        <v>2017</v>
      </c>
      <c r="Z602" s="775">
        <v>12</v>
      </c>
      <c r="AA602" s="739">
        <f>-'COMB. CHGE IN NP IN. SERV.(83)'!G35</f>
        <v>0</v>
      </c>
      <c r="AB602" s="739">
        <f t="shared" ref="AB602:AC602" si="488">AA602</f>
        <v>0</v>
      </c>
      <c r="AC602" s="739">
        <f t="shared" si="488"/>
        <v>0</v>
      </c>
    </row>
    <row r="603" spans="1:29">
      <c r="A603" s="739" t="s">
        <v>2025</v>
      </c>
      <c r="B603" s="739" t="s">
        <v>2025</v>
      </c>
      <c r="C603" s="739" t="s">
        <v>2026</v>
      </c>
      <c r="D603" s="739" t="s">
        <v>2026</v>
      </c>
      <c r="E603" s="774" t="s">
        <v>2607</v>
      </c>
      <c r="G603" s="739" t="str">
        <f t="shared" si="479"/>
        <v>013801</v>
      </c>
      <c r="J603" s="739">
        <v>6000</v>
      </c>
      <c r="Q603" s="773">
        <v>700</v>
      </c>
      <c r="T603" s="775" t="str">
        <f t="shared" si="480"/>
        <v>023801</v>
      </c>
      <c r="W603" s="739" t="s">
        <v>2032</v>
      </c>
      <c r="Y603" s="775">
        <f t="shared" si="481"/>
        <v>2017</v>
      </c>
      <c r="Z603" s="775">
        <v>12</v>
      </c>
    </row>
    <row r="604" spans="1:29">
      <c r="A604" s="739" t="s">
        <v>2025</v>
      </c>
      <c r="B604" s="739" t="s">
        <v>2025</v>
      </c>
      <c r="C604" s="739" t="s">
        <v>2026</v>
      </c>
      <c r="D604" s="739" t="s">
        <v>2026</v>
      </c>
      <c r="E604" s="774" t="s">
        <v>2607</v>
      </c>
      <c r="G604" s="739" t="str">
        <f t="shared" si="479"/>
        <v>013801</v>
      </c>
      <c r="J604" s="739">
        <v>6000</v>
      </c>
      <c r="Q604" s="773">
        <v>800</v>
      </c>
      <c r="T604" s="775" t="str">
        <f t="shared" si="480"/>
        <v>023801</v>
      </c>
      <c r="W604" s="739" t="s">
        <v>2032</v>
      </c>
      <c r="Y604" s="775">
        <f t="shared" si="481"/>
        <v>2017</v>
      </c>
      <c r="Z604" s="775">
        <v>12</v>
      </c>
      <c r="AA604" s="739">
        <f>'COMB. CHGE IN NP IN. SERV.(83)'!G24+'COMB. CHGE IN NP IN. SERV.(83)'!G25</f>
        <v>0</v>
      </c>
      <c r="AB604" s="739">
        <f t="shared" ref="AB604:AC604" si="489">AA604</f>
        <v>0</v>
      </c>
      <c r="AC604" s="739">
        <f t="shared" si="489"/>
        <v>0</v>
      </c>
    </row>
    <row r="605" spans="1:29">
      <c r="A605" s="739" t="s">
        <v>2025</v>
      </c>
      <c r="B605" s="739" t="s">
        <v>2025</v>
      </c>
      <c r="C605" s="739" t="s">
        <v>2026</v>
      </c>
      <c r="D605" s="739" t="s">
        <v>2026</v>
      </c>
      <c r="E605" s="791">
        <v>520000</v>
      </c>
      <c r="G605" s="739" t="str">
        <f t="shared" si="479"/>
        <v>013801</v>
      </c>
      <c r="J605" s="739">
        <v>6000</v>
      </c>
      <c r="Q605" s="773"/>
      <c r="T605" s="775" t="str">
        <f t="shared" si="480"/>
        <v>023801</v>
      </c>
      <c r="W605" s="739" t="s">
        <v>2032</v>
      </c>
      <c r="Y605" s="775">
        <f t="shared" si="481"/>
        <v>2017</v>
      </c>
      <c r="Z605" s="775">
        <v>12</v>
      </c>
      <c r="AA605" s="739">
        <f>IF('COMB. CHGE IN NP IN. SERV.(83)'!F4&lt;1,-'COMB. CHGE IN NP IN. SERV.(83)'!F43,0)-'COMB. CHGE IN NP IN. SERV.(83)'!G38-'COMB. CHGE IN NP IN. SERV.(83)'!G39</f>
        <v>0</v>
      </c>
      <c r="AB605" s="739">
        <f t="shared" ref="AB605:AC605" si="490">AA605</f>
        <v>0</v>
      </c>
      <c r="AC605" s="739">
        <f t="shared" si="490"/>
        <v>0</v>
      </c>
    </row>
    <row r="606" spans="1:29">
      <c r="A606" s="739" t="s">
        <v>2025</v>
      </c>
      <c r="B606" s="739" t="s">
        <v>2025</v>
      </c>
      <c r="C606" s="739" t="s">
        <v>2026</v>
      </c>
      <c r="D606" s="739" t="s">
        <v>2026</v>
      </c>
      <c r="E606" s="791">
        <v>100000</v>
      </c>
      <c r="G606" s="739" t="str">
        <f t="shared" si="479"/>
        <v>013801</v>
      </c>
      <c r="J606" s="739">
        <v>7000</v>
      </c>
      <c r="Q606" s="773"/>
      <c r="T606" s="775" t="str">
        <f t="shared" si="480"/>
        <v>023801</v>
      </c>
      <c r="W606" s="739" t="s">
        <v>2032</v>
      </c>
      <c r="Y606" s="775">
        <f t="shared" si="481"/>
        <v>2017</v>
      </c>
      <c r="Z606" s="775">
        <v>12</v>
      </c>
      <c r="AA606" s="739">
        <f>'NET POSITION-FIDUCIARY(21)'!D12+'NET POSITION-FIDUCIARY(21)'!E12+'NET POSITION-FIDUCIARY(21)'!F12+'NET POSITION-FIDUCIARY(21)'!D17+'NET POSITION-FIDUCIARY(21)'!E17+'NET POSITION-FIDUCIARY(21)'!F17</f>
        <v>0</v>
      </c>
      <c r="AB606" s="739">
        <f>AA606</f>
        <v>0</v>
      </c>
      <c r="AC606" s="739">
        <f>AA606</f>
        <v>0</v>
      </c>
    </row>
    <row r="607" spans="1:29">
      <c r="A607" s="739" t="s">
        <v>2025</v>
      </c>
      <c r="B607" s="739" t="s">
        <v>2025</v>
      </c>
      <c r="C607" s="739" t="s">
        <v>2026</v>
      </c>
      <c r="D607" s="739" t="s">
        <v>2026</v>
      </c>
      <c r="E607" s="791">
        <v>110000</v>
      </c>
      <c r="G607" s="739" t="str">
        <f t="shared" si="479"/>
        <v>013801</v>
      </c>
      <c r="J607" s="739">
        <v>7000</v>
      </c>
      <c r="Q607" s="773"/>
      <c r="T607" s="775" t="str">
        <f t="shared" si="480"/>
        <v>023801</v>
      </c>
      <c r="W607" s="739" t="s">
        <v>2032</v>
      </c>
      <c r="Y607" s="775">
        <f t="shared" si="481"/>
        <v>2017</v>
      </c>
      <c r="Z607" s="775">
        <v>12</v>
      </c>
      <c r="AA607" s="739">
        <f>'NET POSITION-FIDUCIARY(21)'!D14+'NET POSITION-FIDUCIARY(21)'!E14+'NET POSITION-FIDUCIARY(21)'!F14</f>
        <v>0</v>
      </c>
      <c r="AB607" s="739">
        <f>AA607</f>
        <v>0</v>
      </c>
      <c r="AC607" s="739">
        <f>AA607</f>
        <v>0</v>
      </c>
    </row>
    <row r="608" spans="1:29">
      <c r="A608" s="739" t="s">
        <v>2025</v>
      </c>
      <c r="B608" s="739" t="s">
        <v>2025</v>
      </c>
      <c r="C608" s="739" t="s">
        <v>2026</v>
      </c>
      <c r="D608" s="739" t="s">
        <v>2026</v>
      </c>
      <c r="E608" s="791">
        <v>120000</v>
      </c>
      <c r="G608" s="739" t="str">
        <f t="shared" si="479"/>
        <v>013801</v>
      </c>
      <c r="J608" s="739">
        <v>7000</v>
      </c>
      <c r="Q608" s="773"/>
      <c r="T608" s="775" t="str">
        <f t="shared" si="480"/>
        <v>023801</v>
      </c>
      <c r="W608" s="739" t="s">
        <v>2032</v>
      </c>
      <c r="Y608" s="775">
        <f t="shared" si="481"/>
        <v>2017</v>
      </c>
      <c r="Z608" s="775">
        <v>12</v>
      </c>
      <c r="AA608" s="739">
        <f>'NET POSITION-FIDUCIARY(21)'!D15+'NET POSITION-FIDUCIARY(21)'!E15+'NET POSITION-FIDUCIARY(21)'!F15+'NET POSITION-FIDUCIARY(21)'!D16+'NET POSITION-FIDUCIARY(21)'!E16+'NET POSITION-FIDUCIARY(21)'!F16</f>
        <v>0</v>
      </c>
      <c r="AB608" s="739">
        <f>AA608</f>
        <v>0</v>
      </c>
      <c r="AC608" s="739">
        <f>AA608</f>
        <v>0</v>
      </c>
    </row>
    <row r="609" spans="1:29">
      <c r="A609" s="739" t="s">
        <v>2025</v>
      </c>
      <c r="B609" s="739" t="s">
        <v>2025</v>
      </c>
      <c r="C609" s="739" t="s">
        <v>2026</v>
      </c>
      <c r="D609" s="739" t="s">
        <v>2026</v>
      </c>
      <c r="E609" s="791">
        <v>130000</v>
      </c>
      <c r="G609" s="739" t="str">
        <f t="shared" si="479"/>
        <v>013801</v>
      </c>
      <c r="J609" s="739">
        <v>7000</v>
      </c>
      <c r="Q609" s="773"/>
      <c r="T609" s="775" t="str">
        <f t="shared" si="480"/>
        <v>023801</v>
      </c>
      <c r="W609" s="739" t="s">
        <v>2032</v>
      </c>
      <c r="Y609" s="775">
        <f t="shared" si="481"/>
        <v>2017</v>
      </c>
      <c r="Z609" s="775">
        <v>12</v>
      </c>
    </row>
    <row r="610" spans="1:29">
      <c r="A610" s="739" t="s">
        <v>2025</v>
      </c>
      <c r="B610" s="739" t="s">
        <v>2025</v>
      </c>
      <c r="C610" s="739" t="s">
        <v>2026</v>
      </c>
      <c r="D610" s="739" t="s">
        <v>2026</v>
      </c>
      <c r="E610" s="791">
        <v>140000</v>
      </c>
      <c r="G610" s="739" t="str">
        <f t="shared" si="479"/>
        <v>013801</v>
      </c>
      <c r="J610" s="739">
        <v>7000</v>
      </c>
      <c r="Q610" s="773"/>
      <c r="T610" s="775" t="str">
        <f t="shared" si="480"/>
        <v>023801</v>
      </c>
      <c r="W610" s="739" t="s">
        <v>2032</v>
      </c>
      <c r="Y610" s="775">
        <f t="shared" si="481"/>
        <v>2017</v>
      </c>
      <c r="Z610" s="775">
        <v>12</v>
      </c>
    </row>
    <row r="611" spans="1:29">
      <c r="A611" s="739" t="s">
        <v>2025</v>
      </c>
      <c r="B611" s="739" t="s">
        <v>2025</v>
      </c>
      <c r="C611" s="739" t="s">
        <v>2026</v>
      </c>
      <c r="D611" s="739" t="s">
        <v>2026</v>
      </c>
      <c r="E611" s="791">
        <v>150000</v>
      </c>
      <c r="G611" s="739" t="str">
        <f t="shared" si="479"/>
        <v>013801</v>
      </c>
      <c r="J611" s="739">
        <v>7000</v>
      </c>
      <c r="Q611" s="773"/>
      <c r="T611" s="775" t="str">
        <f t="shared" si="480"/>
        <v>023801</v>
      </c>
      <c r="W611" s="739" t="s">
        <v>2032</v>
      </c>
      <c r="Y611" s="775">
        <f t="shared" si="481"/>
        <v>2017</v>
      </c>
      <c r="Z611" s="775">
        <v>12</v>
      </c>
    </row>
    <row r="612" spans="1:29">
      <c r="A612" s="739" t="s">
        <v>2025</v>
      </c>
      <c r="B612" s="739" t="s">
        <v>2025</v>
      </c>
      <c r="C612" s="739" t="s">
        <v>2026</v>
      </c>
      <c r="D612" s="739" t="s">
        <v>2026</v>
      </c>
      <c r="E612" s="791">
        <v>160000</v>
      </c>
      <c r="G612" s="739" t="str">
        <f t="shared" si="479"/>
        <v>013801</v>
      </c>
      <c r="J612" s="739">
        <v>7000</v>
      </c>
      <c r="Q612" s="773"/>
      <c r="T612" s="775" t="str">
        <f t="shared" si="480"/>
        <v>023801</v>
      </c>
      <c r="W612" s="739" t="s">
        <v>2032</v>
      </c>
      <c r="Y612" s="775">
        <f t="shared" si="481"/>
        <v>2017</v>
      </c>
      <c r="Z612" s="775">
        <v>12</v>
      </c>
    </row>
    <row r="613" spans="1:29">
      <c r="A613" s="739" t="s">
        <v>2025</v>
      </c>
      <c r="B613" s="739" t="s">
        <v>2025</v>
      </c>
      <c r="C613" s="739" t="s">
        <v>2026</v>
      </c>
      <c r="D613" s="739" t="s">
        <v>2026</v>
      </c>
      <c r="E613" s="791">
        <v>170000</v>
      </c>
      <c r="G613" s="739" t="str">
        <f t="shared" si="479"/>
        <v>013801</v>
      </c>
      <c r="J613" s="739">
        <v>7000</v>
      </c>
      <c r="Q613" s="773"/>
      <c r="T613" s="775" t="str">
        <f t="shared" si="480"/>
        <v>023801</v>
      </c>
      <c r="W613" s="739" t="s">
        <v>2032</v>
      </c>
      <c r="Y613" s="775">
        <f t="shared" si="481"/>
        <v>2017</v>
      </c>
      <c r="Z613" s="775">
        <v>12</v>
      </c>
    </row>
    <row r="614" spans="1:29">
      <c r="A614" s="739" t="s">
        <v>2025</v>
      </c>
      <c r="B614" s="739" t="s">
        <v>2025</v>
      </c>
      <c r="C614" s="739" t="s">
        <v>2026</v>
      </c>
      <c r="D614" s="739" t="s">
        <v>2026</v>
      </c>
      <c r="E614" s="791">
        <v>180000</v>
      </c>
      <c r="G614" s="739" t="str">
        <f t="shared" si="479"/>
        <v>013801</v>
      </c>
      <c r="J614" s="739">
        <v>7000</v>
      </c>
      <c r="Q614" s="773"/>
      <c r="T614" s="775" t="str">
        <f t="shared" si="480"/>
        <v>023801</v>
      </c>
      <c r="W614" s="739" t="s">
        <v>2032</v>
      </c>
      <c r="Y614" s="775">
        <f t="shared" si="481"/>
        <v>2017</v>
      </c>
      <c r="Z614" s="775">
        <v>12</v>
      </c>
    </row>
    <row r="615" spans="1:29">
      <c r="A615" s="739" t="s">
        <v>2025</v>
      </c>
      <c r="B615" s="739" t="s">
        <v>2025</v>
      </c>
      <c r="C615" s="739" t="s">
        <v>2026</v>
      </c>
      <c r="D615" s="739" t="s">
        <v>2026</v>
      </c>
      <c r="E615" s="791">
        <v>190000</v>
      </c>
      <c r="G615" s="739" t="str">
        <f t="shared" si="479"/>
        <v>013801</v>
      </c>
      <c r="J615" s="739">
        <v>7000</v>
      </c>
      <c r="Q615" s="773"/>
      <c r="T615" s="775" t="str">
        <f t="shared" si="480"/>
        <v>023801</v>
      </c>
      <c r="W615" s="739" t="s">
        <v>2032</v>
      </c>
      <c r="Y615" s="775">
        <f t="shared" si="481"/>
        <v>2017</v>
      </c>
      <c r="Z615" s="775">
        <v>12</v>
      </c>
      <c r="AA615" s="739">
        <f>'NET POSITION-FIDUCIARY(21)'!D21+'NET POSITION-FIDUCIARY(21)'!E21+'NET POSITION-FIDUCIARY(21)'!F21</f>
        <v>0</v>
      </c>
      <c r="AB615" s="739">
        <f t="shared" ref="AB615:AB625" si="491">AA615</f>
        <v>0</v>
      </c>
      <c r="AC615" s="739">
        <f t="shared" ref="AC615:AC625" si="492">AA615</f>
        <v>0</v>
      </c>
    </row>
    <row r="616" spans="1:29">
      <c r="A616" s="739" t="s">
        <v>2025</v>
      </c>
      <c r="B616" s="739" t="s">
        <v>2025</v>
      </c>
      <c r="C616" s="739" t="s">
        <v>2026</v>
      </c>
      <c r="D616" s="739" t="s">
        <v>2026</v>
      </c>
      <c r="E616" s="791">
        <v>200000</v>
      </c>
      <c r="G616" s="739" t="str">
        <f t="shared" si="479"/>
        <v>013801</v>
      </c>
      <c r="J616" s="739">
        <v>7000</v>
      </c>
      <c r="Q616" s="773"/>
      <c r="T616" s="775" t="str">
        <f t="shared" si="480"/>
        <v>023801</v>
      </c>
      <c r="W616" s="739" t="s">
        <v>2032</v>
      </c>
      <c r="Y616" s="775">
        <f t="shared" si="481"/>
        <v>2017</v>
      </c>
      <c r="Z616" s="775">
        <v>12</v>
      </c>
      <c r="AA616" s="739">
        <f>('NET POSITION-FIDUCIARY(21)'!D24+'NET POSITION-FIDUCIARY(21)'!E24+'NET POSITION-FIDUCIARY(21)'!F24+'NET POSITION-FIDUCIARY(21)'!D25+'NET POSITION-FIDUCIARY(21)'!E25+'NET POSITION-FIDUCIARY(21)'!F25+'NET POSITION-FIDUCIARY(21)'!D26+'NET POSITION-FIDUCIARY(21)'!E26+'NET POSITION-FIDUCIARY(21)'!F26+'NET POSITION-FIDUCIARY(21)'!D27+'NET POSITION-FIDUCIARY(21)'!E27+'NET POSITION-FIDUCIARY(21)'!F27)*-1</f>
        <v>0</v>
      </c>
      <c r="AB616" s="739">
        <f t="shared" si="491"/>
        <v>0</v>
      </c>
      <c r="AC616" s="739">
        <f t="shared" si="492"/>
        <v>0</v>
      </c>
    </row>
    <row r="617" spans="1:29">
      <c r="A617" s="739" t="s">
        <v>2025</v>
      </c>
      <c r="B617" s="739" t="s">
        <v>2025</v>
      </c>
      <c r="C617" s="739" t="s">
        <v>2026</v>
      </c>
      <c r="D617" s="739" t="s">
        <v>2026</v>
      </c>
      <c r="E617" s="791">
        <v>210000</v>
      </c>
      <c r="G617" s="739" t="str">
        <f t="shared" si="479"/>
        <v>013801</v>
      </c>
      <c r="J617" s="739">
        <v>7000</v>
      </c>
      <c r="Q617" s="773"/>
      <c r="T617" s="775" t="str">
        <f t="shared" si="480"/>
        <v>023801</v>
      </c>
      <c r="W617" s="739" t="s">
        <v>2032</v>
      </c>
      <c r="Y617" s="775">
        <f t="shared" si="481"/>
        <v>2017</v>
      </c>
      <c r="Z617" s="775">
        <v>12</v>
      </c>
      <c r="AA617" s="739">
        <f>('NET POSITION-FIDUCIARY(21)'!D28+'NET POSITION-FIDUCIARY(21)'!E28+'NET POSITION-FIDUCIARY(21)'!F28+'NET POSITION-FIDUCIARY(21)'!D29+'NET POSITION-FIDUCIARY(21)'!E29+'NET POSITION-FIDUCIARY(21)'!F29+'NET POSITION-FIDUCIARY(21)'!D30+'NET POSITION-FIDUCIARY(21)'!E30+'NET POSITION-FIDUCIARY(21)'!F30)*-1</f>
        <v>0</v>
      </c>
      <c r="AB617" s="739">
        <f t="shared" si="491"/>
        <v>0</v>
      </c>
      <c r="AC617" s="739">
        <f t="shared" si="492"/>
        <v>0</v>
      </c>
    </row>
    <row r="618" spans="1:29">
      <c r="A618" s="739" t="s">
        <v>2025</v>
      </c>
      <c r="B618" s="739" t="s">
        <v>2025</v>
      </c>
      <c r="C618" s="739" t="s">
        <v>2026</v>
      </c>
      <c r="D618" s="739" t="s">
        <v>2026</v>
      </c>
      <c r="E618" s="791">
        <v>216000</v>
      </c>
      <c r="G618" s="739" t="str">
        <f t="shared" si="479"/>
        <v>013801</v>
      </c>
      <c r="J618" s="739">
        <v>7000</v>
      </c>
      <c r="Q618" s="773"/>
      <c r="T618" s="775" t="str">
        <f t="shared" si="480"/>
        <v>023801</v>
      </c>
      <c r="W618" s="739" t="s">
        <v>2032</v>
      </c>
      <c r="Y618" s="775">
        <f t="shared" si="481"/>
        <v>2017</v>
      </c>
      <c r="Z618" s="775">
        <v>12</v>
      </c>
      <c r="AA618" s="739">
        <v>0</v>
      </c>
    </row>
    <row r="619" spans="1:29">
      <c r="A619" s="739" t="s">
        <v>2025</v>
      </c>
      <c r="B619" s="739" t="s">
        <v>2025</v>
      </c>
      <c r="C619" s="739" t="s">
        <v>2026</v>
      </c>
      <c r="D619" s="739" t="s">
        <v>2026</v>
      </c>
      <c r="E619" s="791">
        <v>220000</v>
      </c>
      <c r="G619" s="739" t="str">
        <f t="shared" si="479"/>
        <v>013801</v>
      </c>
      <c r="J619" s="739">
        <v>7000</v>
      </c>
      <c r="Q619" s="773"/>
      <c r="T619" s="775" t="str">
        <f t="shared" si="480"/>
        <v>023801</v>
      </c>
      <c r="W619" s="739" t="s">
        <v>2032</v>
      </c>
      <c r="Y619" s="775">
        <f t="shared" si="481"/>
        <v>2017</v>
      </c>
      <c r="Z619" s="775">
        <v>12</v>
      </c>
      <c r="AA619" s="739">
        <f>('NET POSITION-FIDUCIARY(21)'!D33+'NET POSITION-FIDUCIARY(21)'!E33+'NET POSITION-FIDUCIARY(21)'!F33)*-1</f>
        <v>0</v>
      </c>
      <c r="AB619" s="739">
        <f t="shared" si="491"/>
        <v>0</v>
      </c>
      <c r="AC619" s="739">
        <f t="shared" si="492"/>
        <v>0</v>
      </c>
    </row>
    <row r="620" spans="1:29">
      <c r="A620" s="739" t="s">
        <v>2025</v>
      </c>
      <c r="B620" s="739" t="s">
        <v>2025</v>
      </c>
      <c r="C620" s="739" t="s">
        <v>2026</v>
      </c>
      <c r="D620" s="739" t="s">
        <v>2026</v>
      </c>
      <c r="E620" s="791">
        <v>230000</v>
      </c>
      <c r="G620" s="739" t="str">
        <f t="shared" si="479"/>
        <v>013801</v>
      </c>
      <c r="J620" s="739">
        <v>7000</v>
      </c>
      <c r="Q620" s="773"/>
      <c r="T620" s="775" t="str">
        <f t="shared" si="480"/>
        <v>023801</v>
      </c>
      <c r="W620" s="739" t="s">
        <v>2032</v>
      </c>
      <c r="Y620" s="775">
        <f t="shared" si="481"/>
        <v>2017</v>
      </c>
      <c r="Z620" s="775">
        <v>12</v>
      </c>
      <c r="AA620" s="739">
        <v>0</v>
      </c>
      <c r="AB620" s="739">
        <f t="shared" si="491"/>
        <v>0</v>
      </c>
      <c r="AC620" s="739">
        <f t="shared" si="492"/>
        <v>0</v>
      </c>
    </row>
    <row r="621" spans="1:29">
      <c r="A621" s="739" t="s">
        <v>2025</v>
      </c>
      <c r="B621" s="739" t="s">
        <v>2025</v>
      </c>
      <c r="C621" s="739" t="s">
        <v>2026</v>
      </c>
      <c r="D621" s="739" t="s">
        <v>2026</v>
      </c>
      <c r="E621" s="791">
        <v>240000</v>
      </c>
      <c r="G621" s="739" t="str">
        <f t="shared" si="479"/>
        <v>013801</v>
      </c>
      <c r="J621" s="739">
        <v>7000</v>
      </c>
      <c r="Q621" s="773"/>
      <c r="T621" s="775" t="str">
        <f t="shared" si="480"/>
        <v>023801</v>
      </c>
      <c r="W621" s="739" t="s">
        <v>2032</v>
      </c>
      <c r="Y621" s="775">
        <f t="shared" si="481"/>
        <v>2017</v>
      </c>
      <c r="Z621" s="775">
        <v>12</v>
      </c>
      <c r="AA621" s="739">
        <v>0</v>
      </c>
      <c r="AB621" s="739">
        <f t="shared" si="491"/>
        <v>0</v>
      </c>
      <c r="AC621" s="739">
        <f t="shared" si="492"/>
        <v>0</v>
      </c>
    </row>
    <row r="622" spans="1:29">
      <c r="A622" s="739" t="s">
        <v>2025</v>
      </c>
      <c r="B622" s="739" t="s">
        <v>2025</v>
      </c>
      <c r="C622" s="739" t="s">
        <v>2026</v>
      </c>
      <c r="D622" s="739" t="s">
        <v>2026</v>
      </c>
      <c r="E622" s="791">
        <v>250000</v>
      </c>
      <c r="G622" s="739" t="str">
        <f t="shared" si="479"/>
        <v>013801</v>
      </c>
      <c r="J622" s="739">
        <v>7000</v>
      </c>
      <c r="Q622" s="773"/>
      <c r="T622" s="775" t="str">
        <f t="shared" si="480"/>
        <v>023801</v>
      </c>
      <c r="W622" s="739" t="s">
        <v>2032</v>
      </c>
      <c r="Y622" s="775">
        <f t="shared" si="481"/>
        <v>2017</v>
      </c>
      <c r="Z622" s="775">
        <v>12</v>
      </c>
      <c r="AA622" s="739">
        <v>0</v>
      </c>
      <c r="AB622" s="739">
        <f t="shared" si="491"/>
        <v>0</v>
      </c>
      <c r="AC622" s="739">
        <f t="shared" si="492"/>
        <v>0</v>
      </c>
    </row>
    <row r="623" spans="1:29">
      <c r="A623" s="739" t="s">
        <v>2025</v>
      </c>
      <c r="B623" s="739" t="s">
        <v>2025</v>
      </c>
      <c r="C623" s="739" t="s">
        <v>2026</v>
      </c>
      <c r="D623" s="739" t="s">
        <v>2026</v>
      </c>
      <c r="E623" s="791">
        <v>260000</v>
      </c>
      <c r="G623" s="739" t="str">
        <f t="shared" si="479"/>
        <v>013801</v>
      </c>
      <c r="J623" s="739">
        <v>7000</v>
      </c>
      <c r="Q623" s="773"/>
      <c r="T623" s="775" t="str">
        <f t="shared" si="480"/>
        <v>023801</v>
      </c>
      <c r="W623" s="739" t="s">
        <v>2032</v>
      </c>
      <c r="Y623" s="775">
        <f t="shared" si="481"/>
        <v>2017</v>
      </c>
      <c r="Z623" s="775">
        <v>12</v>
      </c>
      <c r="AA623" s="739">
        <v>0</v>
      </c>
      <c r="AB623" s="739">
        <f t="shared" si="491"/>
        <v>0</v>
      </c>
      <c r="AC623" s="739">
        <f t="shared" si="492"/>
        <v>0</v>
      </c>
    </row>
    <row r="624" spans="1:29">
      <c r="A624" s="739" t="s">
        <v>2025</v>
      </c>
      <c r="B624" s="739" t="s">
        <v>2025</v>
      </c>
      <c r="C624" s="739" t="s">
        <v>2026</v>
      </c>
      <c r="D624" s="739" t="s">
        <v>2026</v>
      </c>
      <c r="E624" s="791">
        <v>270000</v>
      </c>
      <c r="G624" s="739" t="str">
        <f t="shared" si="479"/>
        <v>013801</v>
      </c>
      <c r="J624" s="739">
        <v>7000</v>
      </c>
      <c r="Q624" s="773"/>
      <c r="T624" s="775" t="str">
        <f t="shared" si="480"/>
        <v>023801</v>
      </c>
      <c r="W624" s="739" t="s">
        <v>2032</v>
      </c>
      <c r="Y624" s="775">
        <f t="shared" si="481"/>
        <v>2017</v>
      </c>
      <c r="Z624" s="775">
        <v>12</v>
      </c>
      <c r="AA624" s="739">
        <f>('CHANGE NET POSITION-FIDUC(22)'!D34+'CHANGE NET POSITION-FIDUC(22)'!E34+'CHANGE NET POSITION-FIDUC(22)'!F34)*-1</f>
        <v>0</v>
      </c>
      <c r="AB624" s="739">
        <f t="shared" si="491"/>
        <v>0</v>
      </c>
      <c r="AC624" s="739">
        <f t="shared" si="492"/>
        <v>0</v>
      </c>
    </row>
    <row r="625" spans="1:29">
      <c r="A625" s="739" t="s">
        <v>2025</v>
      </c>
      <c r="B625" s="739" t="s">
        <v>2025</v>
      </c>
      <c r="C625" s="739" t="s">
        <v>2026</v>
      </c>
      <c r="D625" s="739" t="s">
        <v>2026</v>
      </c>
      <c r="E625" s="791">
        <v>280000</v>
      </c>
      <c r="G625" s="739" t="str">
        <f t="shared" si="479"/>
        <v>013801</v>
      </c>
      <c r="J625" s="739">
        <v>7000</v>
      </c>
      <c r="Q625" s="773"/>
      <c r="T625" s="775" t="str">
        <f t="shared" si="480"/>
        <v>023801</v>
      </c>
      <c r="W625" s="739" t="s">
        <v>2032</v>
      </c>
      <c r="Y625" s="775">
        <f t="shared" si="481"/>
        <v>2017</v>
      </c>
      <c r="Z625" s="775">
        <v>12</v>
      </c>
      <c r="AA625" s="739">
        <v>0</v>
      </c>
      <c r="AB625" s="739">
        <f t="shared" si="491"/>
        <v>0</v>
      </c>
      <c r="AC625" s="739">
        <f t="shared" si="492"/>
        <v>0</v>
      </c>
    </row>
    <row r="626" spans="1:29">
      <c r="A626" s="739" t="s">
        <v>2025</v>
      </c>
      <c r="B626" s="739" t="s">
        <v>2025</v>
      </c>
      <c r="C626" s="739" t="s">
        <v>2026</v>
      </c>
      <c r="D626" s="739" t="s">
        <v>2026</v>
      </c>
      <c r="E626" s="791">
        <v>310000</v>
      </c>
      <c r="G626" s="739" t="str">
        <f t="shared" si="479"/>
        <v>013801</v>
      </c>
      <c r="J626" s="739">
        <v>7000</v>
      </c>
      <c r="Q626" s="773"/>
      <c r="T626" s="775" t="str">
        <f t="shared" si="480"/>
        <v>023801</v>
      </c>
      <c r="W626" s="739" t="s">
        <v>2032</v>
      </c>
      <c r="Y626" s="775">
        <f t="shared" si="481"/>
        <v>2017</v>
      </c>
      <c r="Z626" s="775">
        <v>12</v>
      </c>
      <c r="AA626" s="739">
        <v>0</v>
      </c>
    </row>
    <row r="627" spans="1:29">
      <c r="A627" s="739" t="s">
        <v>2025</v>
      </c>
      <c r="B627" s="739" t="s">
        <v>2025</v>
      </c>
      <c r="C627" s="739" t="s">
        <v>2026</v>
      </c>
      <c r="D627" s="739" t="s">
        <v>2026</v>
      </c>
      <c r="E627" s="791">
        <v>311000</v>
      </c>
      <c r="G627" s="739" t="str">
        <f t="shared" si="479"/>
        <v>013801</v>
      </c>
      <c r="J627" s="739">
        <v>7000</v>
      </c>
      <c r="Q627" s="773"/>
      <c r="T627" s="775" t="str">
        <f t="shared" si="480"/>
        <v>023801</v>
      </c>
      <c r="W627" s="739" t="s">
        <v>2032</v>
      </c>
      <c r="Y627" s="775">
        <f t="shared" si="481"/>
        <v>2017</v>
      </c>
      <c r="Z627" s="775">
        <v>12</v>
      </c>
      <c r="AA627" s="739">
        <f>('CHANGE NET POSITION-FIDUC(22)'!D12+'CHANGE NET POSITION-FIDUC(22)'!E12+'CHANGE NET POSITION-FIDUC(22)'!F12)*-1</f>
        <v>0</v>
      </c>
      <c r="AB627" s="739">
        <f>AA627</f>
        <v>0</v>
      </c>
      <c r="AC627" s="739">
        <f>AA627</f>
        <v>0</v>
      </c>
    </row>
    <row r="628" spans="1:29">
      <c r="A628" s="739" t="s">
        <v>2025</v>
      </c>
      <c r="B628" s="739" t="s">
        <v>2025</v>
      </c>
      <c r="C628" s="739" t="s">
        <v>2026</v>
      </c>
      <c r="D628" s="739" t="s">
        <v>2026</v>
      </c>
      <c r="E628" s="791">
        <v>312000</v>
      </c>
      <c r="G628" s="739" t="str">
        <f t="shared" si="479"/>
        <v>013801</v>
      </c>
      <c r="J628" s="739">
        <v>7000</v>
      </c>
      <c r="Q628" s="773"/>
      <c r="T628" s="775" t="str">
        <f t="shared" si="480"/>
        <v>023801</v>
      </c>
      <c r="W628" s="739" t="s">
        <v>2032</v>
      </c>
      <c r="Y628" s="775">
        <f t="shared" si="481"/>
        <v>2017</v>
      </c>
      <c r="Z628" s="775">
        <v>12</v>
      </c>
      <c r="AA628" s="739">
        <v>0</v>
      </c>
    </row>
    <row r="629" spans="1:29">
      <c r="A629" s="739" t="s">
        <v>2025</v>
      </c>
      <c r="B629" s="739" t="s">
        <v>2025</v>
      </c>
      <c r="C629" s="739" t="s">
        <v>2026</v>
      </c>
      <c r="D629" s="739" t="s">
        <v>2026</v>
      </c>
      <c r="E629" s="791">
        <v>313000</v>
      </c>
      <c r="G629" s="739" t="str">
        <f t="shared" si="479"/>
        <v>013801</v>
      </c>
      <c r="J629" s="739">
        <v>7000</v>
      </c>
      <c r="Q629" s="773"/>
      <c r="T629" s="775" t="str">
        <f t="shared" si="480"/>
        <v>023801</v>
      </c>
      <c r="W629" s="739" t="s">
        <v>2032</v>
      </c>
      <c r="Y629" s="775">
        <f t="shared" si="481"/>
        <v>2017</v>
      </c>
      <c r="Z629" s="775">
        <v>12</v>
      </c>
      <c r="AA629" s="739">
        <v>0</v>
      </c>
    </row>
    <row r="630" spans="1:29">
      <c r="A630" s="739" t="s">
        <v>2025</v>
      </c>
      <c r="B630" s="739" t="s">
        <v>2025</v>
      </c>
      <c r="C630" s="739" t="s">
        <v>2026</v>
      </c>
      <c r="D630" s="739" t="s">
        <v>2026</v>
      </c>
      <c r="E630" s="791">
        <v>314000</v>
      </c>
      <c r="G630" s="739" t="str">
        <f t="shared" si="479"/>
        <v>013801</v>
      </c>
      <c r="J630" s="739">
        <v>7000</v>
      </c>
      <c r="Q630" s="773"/>
      <c r="T630" s="775" t="str">
        <f t="shared" si="480"/>
        <v>023801</v>
      </c>
      <c r="W630" s="739" t="s">
        <v>2032</v>
      </c>
      <c r="Y630" s="775">
        <f t="shared" si="481"/>
        <v>2017</v>
      </c>
      <c r="Z630" s="775">
        <v>12</v>
      </c>
      <c r="AA630" s="739">
        <v>0</v>
      </c>
    </row>
    <row r="631" spans="1:29">
      <c r="A631" s="739" t="s">
        <v>2025</v>
      </c>
      <c r="B631" s="739" t="s">
        <v>2025</v>
      </c>
      <c r="C631" s="739" t="s">
        <v>2026</v>
      </c>
      <c r="D631" s="739" t="s">
        <v>2026</v>
      </c>
      <c r="E631" s="791">
        <v>315000</v>
      </c>
      <c r="G631" s="739" t="str">
        <f t="shared" si="479"/>
        <v>013801</v>
      </c>
      <c r="J631" s="739">
        <v>7000</v>
      </c>
      <c r="Q631" s="773"/>
      <c r="T631" s="775" t="str">
        <f t="shared" si="480"/>
        <v>023801</v>
      </c>
      <c r="W631" s="739" t="s">
        <v>2032</v>
      </c>
      <c r="Y631" s="775">
        <f t="shared" si="481"/>
        <v>2017</v>
      </c>
      <c r="Z631" s="775">
        <v>12</v>
      </c>
      <c r="AA631" s="739">
        <v>0</v>
      </c>
    </row>
    <row r="632" spans="1:29">
      <c r="A632" s="739" t="s">
        <v>2025</v>
      </c>
      <c r="B632" s="739" t="s">
        <v>2025</v>
      </c>
      <c r="C632" s="739" t="s">
        <v>2026</v>
      </c>
      <c r="D632" s="739" t="s">
        <v>2026</v>
      </c>
      <c r="E632" s="791">
        <v>316000</v>
      </c>
      <c r="G632" s="739" t="str">
        <f t="shared" si="479"/>
        <v>013801</v>
      </c>
      <c r="J632" s="739">
        <v>7000</v>
      </c>
      <c r="Q632" s="773"/>
      <c r="T632" s="775" t="str">
        <f t="shared" si="480"/>
        <v>023801</v>
      </c>
      <c r="W632" s="739" t="s">
        <v>2032</v>
      </c>
      <c r="Y632" s="775">
        <f t="shared" si="481"/>
        <v>2017</v>
      </c>
      <c r="Z632" s="775">
        <v>12</v>
      </c>
      <c r="AA632" s="739">
        <v>0</v>
      </c>
    </row>
    <row r="633" spans="1:29">
      <c r="A633" s="739" t="s">
        <v>2025</v>
      </c>
      <c r="B633" s="739" t="s">
        <v>2025</v>
      </c>
      <c r="C633" s="739" t="s">
        <v>2026</v>
      </c>
      <c r="D633" s="739" t="s">
        <v>2026</v>
      </c>
      <c r="E633" s="791">
        <v>320000</v>
      </c>
      <c r="G633" s="739" t="str">
        <f t="shared" si="479"/>
        <v>013801</v>
      </c>
      <c r="J633" s="739">
        <v>7000</v>
      </c>
      <c r="Q633" s="773"/>
      <c r="T633" s="775" t="str">
        <f t="shared" si="480"/>
        <v>023801</v>
      </c>
      <c r="W633" s="739" t="s">
        <v>2032</v>
      </c>
      <c r="Y633" s="775">
        <f t="shared" si="481"/>
        <v>2017</v>
      </c>
      <c r="Z633" s="775">
        <v>12</v>
      </c>
      <c r="AA633" s="739">
        <v>0</v>
      </c>
    </row>
    <row r="634" spans="1:29">
      <c r="A634" s="739" t="s">
        <v>2025</v>
      </c>
      <c r="B634" s="739" t="s">
        <v>2025</v>
      </c>
      <c r="C634" s="739" t="s">
        <v>2026</v>
      </c>
      <c r="D634" s="739" t="s">
        <v>2026</v>
      </c>
      <c r="E634" s="791">
        <v>322000</v>
      </c>
      <c r="G634" s="739" t="str">
        <f t="shared" si="479"/>
        <v>013801</v>
      </c>
      <c r="J634" s="739">
        <v>7000</v>
      </c>
      <c r="Q634" s="773"/>
      <c r="T634" s="775" t="str">
        <f t="shared" si="480"/>
        <v>023801</v>
      </c>
      <c r="W634" s="739" t="s">
        <v>2032</v>
      </c>
      <c r="Y634" s="775">
        <f t="shared" si="481"/>
        <v>2017</v>
      </c>
      <c r="Z634" s="775">
        <v>12</v>
      </c>
      <c r="AA634" s="739">
        <v>0</v>
      </c>
    </row>
    <row r="635" spans="1:29">
      <c r="A635" s="739" t="s">
        <v>2025</v>
      </c>
      <c r="B635" s="739" t="s">
        <v>2025</v>
      </c>
      <c r="C635" s="739" t="s">
        <v>2026</v>
      </c>
      <c r="D635" s="739" t="s">
        <v>2026</v>
      </c>
      <c r="E635" s="791">
        <v>323000</v>
      </c>
      <c r="G635" s="739" t="str">
        <f t="shared" si="479"/>
        <v>013801</v>
      </c>
      <c r="J635" s="739">
        <v>7000</v>
      </c>
      <c r="Q635" s="773"/>
      <c r="T635" s="775" t="str">
        <f t="shared" si="480"/>
        <v>023801</v>
      </c>
      <c r="W635" s="739" t="s">
        <v>2032</v>
      </c>
      <c r="Y635" s="775">
        <f t="shared" si="481"/>
        <v>2017</v>
      </c>
      <c r="Z635" s="775">
        <v>12</v>
      </c>
      <c r="AA635" s="739">
        <v>0</v>
      </c>
    </row>
    <row r="636" spans="1:29">
      <c r="A636" s="739" t="s">
        <v>2025</v>
      </c>
      <c r="B636" s="739" t="s">
        <v>2025</v>
      </c>
      <c r="C636" s="739" t="s">
        <v>2026</v>
      </c>
      <c r="D636" s="739" t="s">
        <v>2026</v>
      </c>
      <c r="E636" s="791">
        <v>330000</v>
      </c>
      <c r="G636" s="739" t="str">
        <f t="shared" si="479"/>
        <v>013801</v>
      </c>
      <c r="J636" s="739">
        <v>7000</v>
      </c>
      <c r="Q636" s="773"/>
      <c r="T636" s="775" t="str">
        <f t="shared" si="480"/>
        <v>023801</v>
      </c>
      <c r="W636" s="739" t="s">
        <v>2032</v>
      </c>
      <c r="Y636" s="775">
        <f t="shared" si="481"/>
        <v>2017</v>
      </c>
      <c r="Z636" s="775">
        <v>12</v>
      </c>
      <c r="AA636" s="739">
        <f>('CHANGE NET POSITION-FIDUC(22)'!D13+'CHANGE NET POSITION-FIDUC(22)'!E13+'CHANGE NET POSITION-FIDUC(22)'!F13)*-1</f>
        <v>0</v>
      </c>
      <c r="AB636" s="739">
        <f t="shared" ref="AB636:AB699" si="493">AA636</f>
        <v>0</v>
      </c>
      <c r="AC636" s="739">
        <f t="shared" ref="AC636:AC699" si="494">AA636</f>
        <v>0</v>
      </c>
    </row>
    <row r="637" spans="1:29">
      <c r="A637" s="739" t="s">
        <v>2025</v>
      </c>
      <c r="B637" s="739" t="s">
        <v>2025</v>
      </c>
      <c r="C637" s="739" t="s">
        <v>2026</v>
      </c>
      <c r="D637" s="739" t="s">
        <v>2026</v>
      </c>
      <c r="E637" s="791">
        <v>331000</v>
      </c>
      <c r="G637" s="739" t="str">
        <f t="shared" si="479"/>
        <v>013801</v>
      </c>
      <c r="J637" s="739">
        <v>7000</v>
      </c>
      <c r="Q637" s="773"/>
      <c r="T637" s="775" t="str">
        <f t="shared" si="480"/>
        <v>023801</v>
      </c>
      <c r="W637" s="739" t="s">
        <v>2032</v>
      </c>
      <c r="Y637" s="775">
        <f t="shared" si="481"/>
        <v>2017</v>
      </c>
      <c r="Z637" s="775">
        <v>12</v>
      </c>
      <c r="AA637" s="739">
        <v>0</v>
      </c>
      <c r="AB637" s="739">
        <f t="shared" si="493"/>
        <v>0</v>
      </c>
      <c r="AC637" s="739">
        <f t="shared" si="494"/>
        <v>0</v>
      </c>
    </row>
    <row r="638" spans="1:29">
      <c r="A638" s="739" t="s">
        <v>2025</v>
      </c>
      <c r="B638" s="739" t="s">
        <v>2025</v>
      </c>
      <c r="C638" s="739" t="s">
        <v>2026</v>
      </c>
      <c r="D638" s="739" t="s">
        <v>2026</v>
      </c>
      <c r="E638" s="791">
        <v>332000</v>
      </c>
      <c r="G638" s="739" t="str">
        <f t="shared" si="479"/>
        <v>013801</v>
      </c>
      <c r="J638" s="739">
        <v>7000</v>
      </c>
      <c r="Q638" s="773"/>
      <c r="T638" s="775" t="str">
        <f t="shared" si="480"/>
        <v>023801</v>
      </c>
      <c r="W638" s="739" t="s">
        <v>2032</v>
      </c>
      <c r="Y638" s="775">
        <f t="shared" si="481"/>
        <v>2017</v>
      </c>
      <c r="Z638" s="775">
        <v>12</v>
      </c>
      <c r="AA638" s="739">
        <v>0</v>
      </c>
      <c r="AB638" s="739">
        <f t="shared" si="493"/>
        <v>0</v>
      </c>
      <c r="AC638" s="739">
        <f t="shared" si="494"/>
        <v>0</v>
      </c>
    </row>
    <row r="639" spans="1:29">
      <c r="A639" s="739" t="s">
        <v>2025</v>
      </c>
      <c r="B639" s="739" t="s">
        <v>2025</v>
      </c>
      <c r="C639" s="739" t="s">
        <v>2026</v>
      </c>
      <c r="D639" s="739" t="s">
        <v>2026</v>
      </c>
      <c r="E639" s="791">
        <v>333000</v>
      </c>
      <c r="G639" s="739" t="str">
        <f t="shared" si="479"/>
        <v>013801</v>
      </c>
      <c r="J639" s="739">
        <v>7000</v>
      </c>
      <c r="Q639" s="773"/>
      <c r="T639" s="775" t="str">
        <f t="shared" si="480"/>
        <v>023801</v>
      </c>
      <c r="W639" s="739" t="s">
        <v>2032</v>
      </c>
      <c r="Y639" s="775">
        <f t="shared" si="481"/>
        <v>2017</v>
      </c>
      <c r="Z639" s="775">
        <v>12</v>
      </c>
      <c r="AA639" s="739">
        <v>0</v>
      </c>
      <c r="AB639" s="739">
        <f t="shared" si="493"/>
        <v>0</v>
      </c>
      <c r="AC639" s="739">
        <f t="shared" si="494"/>
        <v>0</v>
      </c>
    </row>
    <row r="640" spans="1:29">
      <c r="A640" s="739" t="s">
        <v>2025</v>
      </c>
      <c r="B640" s="739" t="s">
        <v>2025</v>
      </c>
      <c r="C640" s="739" t="s">
        <v>2026</v>
      </c>
      <c r="D640" s="739" t="s">
        <v>2026</v>
      </c>
      <c r="E640" s="791">
        <v>334000</v>
      </c>
      <c r="G640" s="739" t="str">
        <f t="shared" si="479"/>
        <v>013801</v>
      </c>
      <c r="J640" s="739">
        <v>7000</v>
      </c>
      <c r="Q640" s="773"/>
      <c r="T640" s="775" t="str">
        <f t="shared" si="480"/>
        <v>023801</v>
      </c>
      <c r="W640" s="739" t="s">
        <v>2032</v>
      </c>
      <c r="Y640" s="775">
        <f t="shared" si="481"/>
        <v>2017</v>
      </c>
      <c r="Z640" s="775">
        <v>12</v>
      </c>
      <c r="AA640" s="739">
        <v>0</v>
      </c>
      <c r="AB640" s="739">
        <f t="shared" si="493"/>
        <v>0</v>
      </c>
      <c r="AC640" s="739">
        <f t="shared" si="494"/>
        <v>0</v>
      </c>
    </row>
    <row r="641" spans="1:29">
      <c r="A641" s="739" t="s">
        <v>2025</v>
      </c>
      <c r="B641" s="739" t="s">
        <v>2025</v>
      </c>
      <c r="C641" s="739" t="s">
        <v>2026</v>
      </c>
      <c r="D641" s="739" t="s">
        <v>2026</v>
      </c>
      <c r="E641" s="791">
        <v>335000</v>
      </c>
      <c r="G641" s="739" t="str">
        <f t="shared" si="479"/>
        <v>013801</v>
      </c>
      <c r="J641" s="739">
        <v>7000</v>
      </c>
      <c r="Q641" s="773"/>
      <c r="T641" s="775" t="str">
        <f t="shared" si="480"/>
        <v>023801</v>
      </c>
      <c r="W641" s="739" t="s">
        <v>2032</v>
      </c>
      <c r="Y641" s="775">
        <f t="shared" si="481"/>
        <v>2017</v>
      </c>
      <c r="Z641" s="775">
        <v>12</v>
      </c>
      <c r="AA641" s="739">
        <v>0</v>
      </c>
      <c r="AB641" s="739">
        <f t="shared" si="493"/>
        <v>0</v>
      </c>
      <c r="AC641" s="739">
        <f t="shared" si="494"/>
        <v>0</v>
      </c>
    </row>
    <row r="642" spans="1:29">
      <c r="A642" s="739" t="s">
        <v>2025</v>
      </c>
      <c r="B642" s="739" t="s">
        <v>2025</v>
      </c>
      <c r="C642" s="739" t="s">
        <v>2026</v>
      </c>
      <c r="D642" s="739" t="s">
        <v>2026</v>
      </c>
      <c r="E642" s="791">
        <v>336000</v>
      </c>
      <c r="G642" s="739" t="str">
        <f t="shared" si="479"/>
        <v>013801</v>
      </c>
      <c r="J642" s="739">
        <v>7000</v>
      </c>
      <c r="Q642" s="773"/>
      <c r="T642" s="775" t="str">
        <f t="shared" si="480"/>
        <v>023801</v>
      </c>
      <c r="W642" s="739" t="s">
        <v>2032</v>
      </c>
      <c r="Y642" s="775">
        <f t="shared" si="481"/>
        <v>2017</v>
      </c>
      <c r="Z642" s="775">
        <v>12</v>
      </c>
      <c r="AA642" s="739">
        <v>0</v>
      </c>
      <c r="AB642" s="739">
        <f t="shared" si="493"/>
        <v>0</v>
      </c>
      <c r="AC642" s="739">
        <f t="shared" si="494"/>
        <v>0</v>
      </c>
    </row>
    <row r="643" spans="1:29">
      <c r="A643" s="739" t="s">
        <v>2025</v>
      </c>
      <c r="B643" s="739" t="s">
        <v>2025</v>
      </c>
      <c r="C643" s="739" t="s">
        <v>2026</v>
      </c>
      <c r="D643" s="739" t="s">
        <v>2026</v>
      </c>
      <c r="E643" s="791">
        <v>337000</v>
      </c>
      <c r="G643" s="739" t="str">
        <f t="shared" si="479"/>
        <v>013801</v>
      </c>
      <c r="J643" s="739">
        <v>7000</v>
      </c>
      <c r="Q643" s="773"/>
      <c r="T643" s="775" t="str">
        <f t="shared" si="480"/>
        <v>023801</v>
      </c>
      <c r="W643" s="739" t="s">
        <v>2032</v>
      </c>
      <c r="Y643" s="775">
        <f t="shared" si="481"/>
        <v>2017</v>
      </c>
      <c r="Z643" s="775">
        <v>12</v>
      </c>
      <c r="AA643" s="739">
        <v>0</v>
      </c>
      <c r="AB643" s="739">
        <f t="shared" si="493"/>
        <v>0</v>
      </c>
      <c r="AC643" s="739">
        <f t="shared" si="494"/>
        <v>0</v>
      </c>
    </row>
    <row r="644" spans="1:29">
      <c r="A644" s="739" t="s">
        <v>2025</v>
      </c>
      <c r="B644" s="739" t="s">
        <v>2025</v>
      </c>
      <c r="C644" s="739" t="s">
        <v>2026</v>
      </c>
      <c r="D644" s="739" t="s">
        <v>2026</v>
      </c>
      <c r="E644" s="791">
        <v>338000</v>
      </c>
      <c r="G644" s="739" t="str">
        <f t="shared" si="479"/>
        <v>013801</v>
      </c>
      <c r="J644" s="739">
        <v>7000</v>
      </c>
      <c r="Q644" s="773"/>
      <c r="T644" s="775" t="str">
        <f t="shared" si="480"/>
        <v>023801</v>
      </c>
      <c r="W644" s="739" t="s">
        <v>2032</v>
      </c>
      <c r="Y644" s="775">
        <f t="shared" si="481"/>
        <v>2017</v>
      </c>
      <c r="Z644" s="775">
        <v>12</v>
      </c>
      <c r="AA644" s="739">
        <v>0</v>
      </c>
      <c r="AB644" s="739">
        <f t="shared" si="493"/>
        <v>0</v>
      </c>
      <c r="AC644" s="739">
        <f t="shared" si="494"/>
        <v>0</v>
      </c>
    </row>
    <row r="645" spans="1:29">
      <c r="A645" s="739" t="s">
        <v>2025</v>
      </c>
      <c r="B645" s="739" t="s">
        <v>2025</v>
      </c>
      <c r="C645" s="739" t="s">
        <v>2026</v>
      </c>
      <c r="D645" s="739" t="s">
        <v>2026</v>
      </c>
      <c r="E645" s="791">
        <v>339000</v>
      </c>
      <c r="G645" s="739" t="str">
        <f t="shared" si="479"/>
        <v>013801</v>
      </c>
      <c r="J645" s="739">
        <v>7000</v>
      </c>
      <c r="Q645" s="773"/>
      <c r="T645" s="775" t="str">
        <f t="shared" si="480"/>
        <v>023801</v>
      </c>
      <c r="W645" s="739" t="s">
        <v>2032</v>
      </c>
      <c r="Y645" s="775">
        <f t="shared" si="481"/>
        <v>2017</v>
      </c>
      <c r="Z645" s="775">
        <v>12</v>
      </c>
      <c r="AA645" s="739">
        <v>0</v>
      </c>
      <c r="AB645" s="739">
        <f t="shared" si="493"/>
        <v>0</v>
      </c>
      <c r="AC645" s="739">
        <f t="shared" si="494"/>
        <v>0</v>
      </c>
    </row>
    <row r="646" spans="1:29">
      <c r="A646" s="739" t="s">
        <v>2025</v>
      </c>
      <c r="B646" s="739" t="s">
        <v>2025</v>
      </c>
      <c r="C646" s="739" t="s">
        <v>2026</v>
      </c>
      <c r="D646" s="739" t="s">
        <v>2026</v>
      </c>
      <c r="E646" s="791">
        <v>340000</v>
      </c>
      <c r="G646" s="739" t="str">
        <f t="shared" si="479"/>
        <v>013801</v>
      </c>
      <c r="J646" s="739">
        <v>7000</v>
      </c>
      <c r="Q646" s="773"/>
      <c r="T646" s="775" t="str">
        <f t="shared" si="480"/>
        <v>023801</v>
      </c>
      <c r="W646" s="739" t="s">
        <v>2032</v>
      </c>
      <c r="Y646" s="775">
        <f t="shared" si="481"/>
        <v>2017</v>
      </c>
      <c r="Z646" s="775">
        <v>12</v>
      </c>
      <c r="AA646" s="739">
        <v>0</v>
      </c>
      <c r="AB646" s="739">
        <f t="shared" si="493"/>
        <v>0</v>
      </c>
      <c r="AC646" s="739">
        <f t="shared" si="494"/>
        <v>0</v>
      </c>
    </row>
    <row r="647" spans="1:29">
      <c r="A647" s="739" t="s">
        <v>2025</v>
      </c>
      <c r="B647" s="739" t="s">
        <v>2025</v>
      </c>
      <c r="C647" s="739" t="s">
        <v>2026</v>
      </c>
      <c r="D647" s="739" t="s">
        <v>2026</v>
      </c>
      <c r="E647" s="791">
        <v>341000</v>
      </c>
      <c r="G647" s="739" t="str">
        <f t="shared" si="479"/>
        <v>013801</v>
      </c>
      <c r="J647" s="739">
        <v>7000</v>
      </c>
      <c r="Q647" s="773"/>
      <c r="T647" s="775" t="str">
        <f t="shared" si="480"/>
        <v>023801</v>
      </c>
      <c r="W647" s="739" t="s">
        <v>2032</v>
      </c>
      <c r="Y647" s="775">
        <f t="shared" si="481"/>
        <v>2017</v>
      </c>
      <c r="Z647" s="775">
        <v>12</v>
      </c>
      <c r="AA647" s="739">
        <v>0</v>
      </c>
      <c r="AB647" s="739">
        <f t="shared" si="493"/>
        <v>0</v>
      </c>
      <c r="AC647" s="739">
        <f t="shared" si="494"/>
        <v>0</v>
      </c>
    </row>
    <row r="648" spans="1:29">
      <c r="A648" s="739" t="s">
        <v>2025</v>
      </c>
      <c r="B648" s="739" t="s">
        <v>2025</v>
      </c>
      <c r="C648" s="739" t="s">
        <v>2026</v>
      </c>
      <c r="D648" s="739" t="s">
        <v>2026</v>
      </c>
      <c r="E648" s="791">
        <v>342000</v>
      </c>
      <c r="G648" s="739" t="str">
        <f t="shared" si="479"/>
        <v>013801</v>
      </c>
      <c r="J648" s="739">
        <v>7000</v>
      </c>
      <c r="Q648" s="773"/>
      <c r="T648" s="775" t="str">
        <f t="shared" si="480"/>
        <v>023801</v>
      </c>
      <c r="W648" s="739" t="s">
        <v>2032</v>
      </c>
      <c r="Y648" s="775">
        <f t="shared" si="481"/>
        <v>2017</v>
      </c>
      <c r="Z648" s="775">
        <v>12</v>
      </c>
      <c r="AA648" s="739">
        <v>0</v>
      </c>
      <c r="AB648" s="739">
        <f t="shared" si="493"/>
        <v>0</v>
      </c>
      <c r="AC648" s="739">
        <f t="shared" si="494"/>
        <v>0</v>
      </c>
    </row>
    <row r="649" spans="1:29">
      <c r="A649" s="739" t="s">
        <v>2025</v>
      </c>
      <c r="B649" s="739" t="s">
        <v>2025</v>
      </c>
      <c r="C649" s="739" t="s">
        <v>2026</v>
      </c>
      <c r="D649" s="739" t="s">
        <v>2026</v>
      </c>
      <c r="E649" s="791">
        <v>343000</v>
      </c>
      <c r="G649" s="739" t="str">
        <f t="shared" si="479"/>
        <v>013801</v>
      </c>
      <c r="J649" s="739">
        <v>7000</v>
      </c>
      <c r="Q649" s="773"/>
      <c r="T649" s="775" t="str">
        <f t="shared" si="480"/>
        <v>023801</v>
      </c>
      <c r="W649" s="739" t="s">
        <v>2032</v>
      </c>
      <c r="Y649" s="775">
        <f t="shared" si="481"/>
        <v>2017</v>
      </c>
      <c r="Z649" s="775">
        <v>12</v>
      </c>
      <c r="AA649" s="739">
        <v>0</v>
      </c>
      <c r="AB649" s="739">
        <f t="shared" si="493"/>
        <v>0</v>
      </c>
      <c r="AC649" s="739">
        <f t="shared" si="494"/>
        <v>0</v>
      </c>
    </row>
    <row r="650" spans="1:29">
      <c r="A650" s="739" t="s">
        <v>2025</v>
      </c>
      <c r="B650" s="739" t="s">
        <v>2025</v>
      </c>
      <c r="C650" s="739" t="s">
        <v>2026</v>
      </c>
      <c r="D650" s="739" t="s">
        <v>2026</v>
      </c>
      <c r="E650" s="791">
        <v>344000</v>
      </c>
      <c r="G650" s="739" t="str">
        <f t="shared" si="479"/>
        <v>013801</v>
      </c>
      <c r="J650" s="739">
        <v>7000</v>
      </c>
      <c r="Q650" s="773"/>
      <c r="T650" s="775" t="str">
        <f t="shared" si="480"/>
        <v>023801</v>
      </c>
      <c r="W650" s="739" t="s">
        <v>2032</v>
      </c>
      <c r="Y650" s="775">
        <f t="shared" si="481"/>
        <v>2017</v>
      </c>
      <c r="Z650" s="775">
        <v>12</v>
      </c>
      <c r="AA650" s="739">
        <v>0</v>
      </c>
      <c r="AB650" s="739">
        <f t="shared" si="493"/>
        <v>0</v>
      </c>
      <c r="AC650" s="739">
        <f t="shared" si="494"/>
        <v>0</v>
      </c>
    </row>
    <row r="651" spans="1:29">
      <c r="A651" s="739" t="s">
        <v>2025</v>
      </c>
      <c r="B651" s="739" t="s">
        <v>2025</v>
      </c>
      <c r="C651" s="739" t="s">
        <v>2026</v>
      </c>
      <c r="D651" s="739" t="s">
        <v>2026</v>
      </c>
      <c r="E651" s="791">
        <v>345000</v>
      </c>
      <c r="G651" s="739" t="str">
        <f t="shared" si="479"/>
        <v>013801</v>
      </c>
      <c r="J651" s="739">
        <v>7000</v>
      </c>
      <c r="Q651" s="773"/>
      <c r="T651" s="775" t="str">
        <f t="shared" si="480"/>
        <v>023801</v>
      </c>
      <c r="W651" s="739" t="s">
        <v>2032</v>
      </c>
      <c r="Y651" s="775">
        <f t="shared" si="481"/>
        <v>2017</v>
      </c>
      <c r="Z651" s="775">
        <v>12</v>
      </c>
      <c r="AA651" s="739">
        <v>0</v>
      </c>
      <c r="AB651" s="739">
        <f t="shared" si="493"/>
        <v>0</v>
      </c>
      <c r="AC651" s="739">
        <f t="shared" si="494"/>
        <v>0</v>
      </c>
    </row>
    <row r="652" spans="1:29">
      <c r="A652" s="739" t="s">
        <v>2025</v>
      </c>
      <c r="B652" s="739" t="s">
        <v>2025</v>
      </c>
      <c r="C652" s="739" t="s">
        <v>2026</v>
      </c>
      <c r="D652" s="739" t="s">
        <v>2026</v>
      </c>
      <c r="E652" s="791">
        <v>346000</v>
      </c>
      <c r="G652" s="739" t="str">
        <f t="shared" ref="G652:G715" si="495">$G$6</f>
        <v>013801</v>
      </c>
      <c r="J652" s="739">
        <v>7000</v>
      </c>
      <c r="Q652" s="773"/>
      <c r="T652" s="775" t="str">
        <f t="shared" ref="T652:T715" si="496">$T$6</f>
        <v>023801</v>
      </c>
      <c r="W652" s="739" t="s">
        <v>2032</v>
      </c>
      <c r="Y652" s="775">
        <f t="shared" ref="Y652:Y715" si="497">$Y$6</f>
        <v>2017</v>
      </c>
      <c r="Z652" s="775">
        <v>12</v>
      </c>
      <c r="AA652" s="739">
        <v>0</v>
      </c>
      <c r="AB652" s="739">
        <f t="shared" si="493"/>
        <v>0</v>
      </c>
      <c r="AC652" s="739">
        <f t="shared" si="494"/>
        <v>0</v>
      </c>
    </row>
    <row r="653" spans="1:29">
      <c r="A653" s="739" t="s">
        <v>2025</v>
      </c>
      <c r="B653" s="739" t="s">
        <v>2025</v>
      </c>
      <c r="C653" s="739" t="s">
        <v>2026</v>
      </c>
      <c r="D653" s="739" t="s">
        <v>2026</v>
      </c>
      <c r="E653" s="791">
        <v>350000</v>
      </c>
      <c r="G653" s="739" t="str">
        <f t="shared" si="495"/>
        <v>013801</v>
      </c>
      <c r="J653" s="739">
        <v>7000</v>
      </c>
      <c r="Q653" s="773"/>
      <c r="T653" s="775" t="str">
        <f t="shared" si="496"/>
        <v>023801</v>
      </c>
      <c r="W653" s="739" t="s">
        <v>2032</v>
      </c>
      <c r="Y653" s="775">
        <f t="shared" si="497"/>
        <v>2017</v>
      </c>
      <c r="Z653" s="775">
        <v>12</v>
      </c>
      <c r="AA653" s="739">
        <v>0</v>
      </c>
      <c r="AB653" s="739">
        <f t="shared" si="493"/>
        <v>0</v>
      </c>
      <c r="AC653" s="739">
        <f t="shared" si="494"/>
        <v>0</v>
      </c>
    </row>
    <row r="654" spans="1:29">
      <c r="A654" s="739" t="s">
        <v>2025</v>
      </c>
      <c r="B654" s="739" t="s">
        <v>2025</v>
      </c>
      <c r="C654" s="739" t="s">
        <v>2026</v>
      </c>
      <c r="D654" s="739" t="s">
        <v>2026</v>
      </c>
      <c r="E654" s="791">
        <v>351000</v>
      </c>
      <c r="G654" s="739" t="str">
        <f t="shared" si="495"/>
        <v>013801</v>
      </c>
      <c r="J654" s="739">
        <v>7000</v>
      </c>
      <c r="Q654" s="773"/>
      <c r="T654" s="775" t="str">
        <f t="shared" si="496"/>
        <v>023801</v>
      </c>
      <c r="W654" s="739" t="s">
        <v>2032</v>
      </c>
      <c r="Y654" s="775">
        <f t="shared" si="497"/>
        <v>2017</v>
      </c>
      <c r="Z654" s="775">
        <v>12</v>
      </c>
      <c r="AA654" s="739">
        <v>0</v>
      </c>
      <c r="AB654" s="739">
        <f t="shared" si="493"/>
        <v>0</v>
      </c>
      <c r="AC654" s="739">
        <f t="shared" si="494"/>
        <v>0</v>
      </c>
    </row>
    <row r="655" spans="1:29">
      <c r="A655" s="739" t="s">
        <v>2025</v>
      </c>
      <c r="B655" s="739" t="s">
        <v>2025</v>
      </c>
      <c r="C655" s="739" t="s">
        <v>2026</v>
      </c>
      <c r="D655" s="739" t="s">
        <v>2026</v>
      </c>
      <c r="E655" s="792">
        <v>362000</v>
      </c>
      <c r="G655" s="739" t="str">
        <f t="shared" si="495"/>
        <v>013801</v>
      </c>
      <c r="J655" s="739">
        <v>7000</v>
      </c>
      <c r="Q655" s="773"/>
      <c r="T655" s="775" t="str">
        <f t="shared" si="496"/>
        <v>023801</v>
      </c>
      <c r="W655" s="739" t="s">
        <v>2032</v>
      </c>
      <c r="Y655" s="775">
        <f t="shared" si="497"/>
        <v>2017</v>
      </c>
      <c r="Z655" s="775">
        <v>12</v>
      </c>
      <c r="AA655" s="739">
        <f>('CHANGE NET POSITION-FIDUC(22)'!D14+'CHANGE NET POSITION-FIDUC(22)'!E14+'CHANGE NET POSITION-FIDUC(22)'!F14)*-1</f>
        <v>0</v>
      </c>
      <c r="AB655" s="739">
        <f t="shared" si="493"/>
        <v>0</v>
      </c>
      <c r="AC655" s="739">
        <f t="shared" si="494"/>
        <v>0</v>
      </c>
    </row>
    <row r="656" spans="1:29">
      <c r="A656" s="739" t="s">
        <v>2025</v>
      </c>
      <c r="B656" s="739" t="s">
        <v>2025</v>
      </c>
      <c r="C656" s="739" t="s">
        <v>2026</v>
      </c>
      <c r="D656" s="739" t="s">
        <v>2026</v>
      </c>
      <c r="E656" s="791">
        <v>361000</v>
      </c>
      <c r="G656" s="739" t="str">
        <f t="shared" si="495"/>
        <v>013801</v>
      </c>
      <c r="J656" s="739">
        <v>7000</v>
      </c>
      <c r="Q656" s="773"/>
      <c r="T656" s="775" t="str">
        <f t="shared" si="496"/>
        <v>023801</v>
      </c>
      <c r="W656" s="739" t="s">
        <v>2032</v>
      </c>
      <c r="Y656" s="775">
        <f t="shared" si="497"/>
        <v>2017</v>
      </c>
      <c r="Z656" s="775">
        <v>12</v>
      </c>
      <c r="AA656" s="739">
        <v>0</v>
      </c>
      <c r="AB656" s="739">
        <f t="shared" si="493"/>
        <v>0</v>
      </c>
      <c r="AC656" s="739">
        <f t="shared" si="494"/>
        <v>0</v>
      </c>
    </row>
    <row r="657" spans="1:29">
      <c r="A657" s="739" t="s">
        <v>2025</v>
      </c>
      <c r="B657" s="739" t="s">
        <v>2025</v>
      </c>
      <c r="C657" s="739" t="s">
        <v>2026</v>
      </c>
      <c r="D657" s="739" t="s">
        <v>2026</v>
      </c>
      <c r="E657" s="792">
        <v>360000</v>
      </c>
      <c r="G657" s="739" t="str">
        <f t="shared" si="495"/>
        <v>013801</v>
      </c>
      <c r="J657" s="739">
        <v>7000</v>
      </c>
      <c r="Q657" s="773"/>
      <c r="T657" s="775" t="str">
        <f t="shared" si="496"/>
        <v>023801</v>
      </c>
      <c r="W657" s="739" t="s">
        <v>2032</v>
      </c>
      <c r="Y657" s="775">
        <f t="shared" si="497"/>
        <v>2017</v>
      </c>
      <c r="Z657" s="775">
        <v>12</v>
      </c>
      <c r="AA657" s="739">
        <v>0</v>
      </c>
      <c r="AB657" s="739">
        <f t="shared" si="493"/>
        <v>0</v>
      </c>
      <c r="AC657" s="739">
        <f t="shared" si="494"/>
        <v>0</v>
      </c>
    </row>
    <row r="658" spans="1:29">
      <c r="A658" s="739" t="s">
        <v>2025</v>
      </c>
      <c r="B658" s="739" t="s">
        <v>2025</v>
      </c>
      <c r="C658" s="739" t="s">
        <v>2026</v>
      </c>
      <c r="D658" s="739" t="s">
        <v>2026</v>
      </c>
      <c r="E658" s="791">
        <v>363000</v>
      </c>
      <c r="G658" s="739" t="str">
        <f t="shared" si="495"/>
        <v>013801</v>
      </c>
      <c r="J658" s="739">
        <v>7000</v>
      </c>
      <c r="Q658" s="773"/>
      <c r="T658" s="775" t="str">
        <f t="shared" si="496"/>
        <v>023801</v>
      </c>
      <c r="W658" s="739" t="s">
        <v>2032</v>
      </c>
      <c r="Y658" s="775">
        <f t="shared" si="497"/>
        <v>2017</v>
      </c>
      <c r="Z658" s="775">
        <v>12</v>
      </c>
      <c r="AA658" s="739">
        <v>0</v>
      </c>
      <c r="AB658" s="739">
        <f t="shared" si="493"/>
        <v>0</v>
      </c>
      <c r="AC658" s="739">
        <f t="shared" si="494"/>
        <v>0</v>
      </c>
    </row>
    <row r="659" spans="1:29">
      <c r="A659" s="739" t="s">
        <v>2025</v>
      </c>
      <c r="B659" s="739" t="s">
        <v>2025</v>
      </c>
      <c r="C659" s="739" t="s">
        <v>2026</v>
      </c>
      <c r="D659" s="739" t="s">
        <v>2026</v>
      </c>
      <c r="E659" s="791">
        <v>365000</v>
      </c>
      <c r="G659" s="739" t="str">
        <f t="shared" si="495"/>
        <v>013801</v>
      </c>
      <c r="J659" s="739">
        <v>7000</v>
      </c>
      <c r="Q659" s="773"/>
      <c r="T659" s="775" t="str">
        <f t="shared" si="496"/>
        <v>023801</v>
      </c>
      <c r="W659" s="739" t="s">
        <v>2032</v>
      </c>
      <c r="Y659" s="775">
        <f t="shared" si="497"/>
        <v>2017</v>
      </c>
      <c r="Z659" s="775">
        <v>12</v>
      </c>
      <c r="AA659" s="739">
        <v>0</v>
      </c>
      <c r="AB659" s="739">
        <f t="shared" si="493"/>
        <v>0</v>
      </c>
      <c r="AC659" s="739">
        <f t="shared" si="494"/>
        <v>0</v>
      </c>
    </row>
    <row r="660" spans="1:29">
      <c r="A660" s="739" t="s">
        <v>2025</v>
      </c>
      <c r="B660" s="739" t="s">
        <v>2025</v>
      </c>
      <c r="C660" s="739" t="s">
        <v>2026</v>
      </c>
      <c r="D660" s="739" t="s">
        <v>2026</v>
      </c>
      <c r="E660" s="791">
        <v>366000</v>
      </c>
      <c r="G660" s="739" t="str">
        <f t="shared" si="495"/>
        <v>013801</v>
      </c>
      <c r="J660" s="739">
        <v>7000</v>
      </c>
      <c r="Q660" s="773"/>
      <c r="T660" s="775" t="str">
        <f t="shared" si="496"/>
        <v>023801</v>
      </c>
      <c r="W660" s="739" t="s">
        <v>2032</v>
      </c>
      <c r="Y660" s="775">
        <f t="shared" si="497"/>
        <v>2017</v>
      </c>
      <c r="Z660" s="775">
        <v>12</v>
      </c>
      <c r="AA660" s="739">
        <f>('CHANGE NET POSITION-FIDUC(22)'!D16+'CHANGE NET POSITION-FIDUC(22)'!E16+'CHANGE NET POSITION-FIDUC(22)'!F16+'CHANGE NET POSITION-FIDUC(22)'!D17+'CHANGE NET POSITION-FIDUC(22)'!E17+'CHANGE NET POSITION-FIDUC(22)'!F17)*-1</f>
        <v>0</v>
      </c>
      <c r="AB660" s="739">
        <f t="shared" si="493"/>
        <v>0</v>
      </c>
      <c r="AC660" s="739">
        <f t="shared" si="494"/>
        <v>0</v>
      </c>
    </row>
    <row r="661" spans="1:29">
      <c r="A661" s="739" t="s">
        <v>2025</v>
      </c>
      <c r="B661" s="739" t="s">
        <v>2025</v>
      </c>
      <c r="C661" s="739" t="s">
        <v>2026</v>
      </c>
      <c r="D661" s="739" t="s">
        <v>2026</v>
      </c>
      <c r="E661" s="791">
        <v>367000</v>
      </c>
      <c r="G661" s="739" t="str">
        <f t="shared" si="495"/>
        <v>013801</v>
      </c>
      <c r="J661" s="739">
        <v>7000</v>
      </c>
      <c r="Q661" s="773"/>
      <c r="T661" s="775" t="str">
        <f t="shared" si="496"/>
        <v>023801</v>
      </c>
      <c r="W661" s="739" t="s">
        <v>2032</v>
      </c>
      <c r="Y661" s="775">
        <f t="shared" si="497"/>
        <v>2017</v>
      </c>
      <c r="Z661" s="775">
        <v>12</v>
      </c>
      <c r="AA661" s="739">
        <v>0</v>
      </c>
      <c r="AB661" s="739">
        <f t="shared" si="493"/>
        <v>0</v>
      </c>
      <c r="AC661" s="739">
        <f t="shared" si="494"/>
        <v>0</v>
      </c>
    </row>
    <row r="662" spans="1:29">
      <c r="A662" s="739" t="s">
        <v>2025</v>
      </c>
      <c r="B662" s="739" t="s">
        <v>2025</v>
      </c>
      <c r="C662" s="739" t="s">
        <v>2026</v>
      </c>
      <c r="D662" s="739" t="s">
        <v>2026</v>
      </c>
      <c r="E662" s="791">
        <v>368000</v>
      </c>
      <c r="G662" s="739" t="str">
        <f t="shared" si="495"/>
        <v>013801</v>
      </c>
      <c r="J662" s="739">
        <v>7000</v>
      </c>
      <c r="Q662" s="773"/>
      <c r="T662" s="775" t="str">
        <f t="shared" si="496"/>
        <v>023801</v>
      </c>
      <c r="W662" s="739" t="s">
        <v>2032</v>
      </c>
      <c r="Y662" s="775">
        <f t="shared" si="497"/>
        <v>2017</v>
      </c>
      <c r="Z662" s="775">
        <v>12</v>
      </c>
      <c r="AA662" s="739">
        <v>0</v>
      </c>
      <c r="AB662" s="739">
        <f t="shared" si="493"/>
        <v>0</v>
      </c>
      <c r="AC662" s="739">
        <f t="shared" si="494"/>
        <v>0</v>
      </c>
    </row>
    <row r="663" spans="1:29">
      <c r="A663" s="739" t="s">
        <v>2025</v>
      </c>
      <c r="B663" s="739" t="s">
        <v>2025</v>
      </c>
      <c r="C663" s="739" t="s">
        <v>2026</v>
      </c>
      <c r="D663" s="739" t="s">
        <v>2026</v>
      </c>
      <c r="E663" s="791">
        <v>370000</v>
      </c>
      <c r="G663" s="739" t="str">
        <f t="shared" si="495"/>
        <v>013801</v>
      </c>
      <c r="J663" s="739">
        <v>7000</v>
      </c>
      <c r="Q663" s="773"/>
      <c r="T663" s="775" t="str">
        <f t="shared" si="496"/>
        <v>023801</v>
      </c>
      <c r="W663" s="739" t="s">
        <v>2032</v>
      </c>
      <c r="Y663" s="775">
        <f t="shared" si="497"/>
        <v>2017</v>
      </c>
      <c r="Z663" s="775">
        <v>12</v>
      </c>
      <c r="AA663" s="739">
        <v>0</v>
      </c>
      <c r="AB663" s="739">
        <f t="shared" si="493"/>
        <v>0</v>
      </c>
      <c r="AC663" s="739">
        <f t="shared" si="494"/>
        <v>0</v>
      </c>
    </row>
    <row r="664" spans="1:29">
      <c r="A664" s="739" t="s">
        <v>2025</v>
      </c>
      <c r="B664" s="739" t="s">
        <v>2025</v>
      </c>
      <c r="C664" s="739" t="s">
        <v>2026</v>
      </c>
      <c r="D664" s="739" t="s">
        <v>2026</v>
      </c>
      <c r="E664" s="791">
        <v>371000</v>
      </c>
      <c r="G664" s="739" t="str">
        <f t="shared" si="495"/>
        <v>013801</v>
      </c>
      <c r="J664" s="739">
        <v>7000</v>
      </c>
      <c r="Q664" s="773"/>
      <c r="T664" s="775" t="str">
        <f t="shared" si="496"/>
        <v>023801</v>
      </c>
      <c r="W664" s="739" t="s">
        <v>2032</v>
      </c>
      <c r="Y664" s="775">
        <f t="shared" si="497"/>
        <v>2017</v>
      </c>
      <c r="Z664" s="775">
        <v>12</v>
      </c>
      <c r="AA664" s="739">
        <f>('CHANGE NET POSITION-FIDUC(22)'!D15+'CHANGE NET POSITION-FIDUC(22)'!E15+'CHANGE NET POSITION-FIDUC(22)'!F15)*-1</f>
        <v>0</v>
      </c>
      <c r="AB664" s="739">
        <f t="shared" si="493"/>
        <v>0</v>
      </c>
      <c r="AC664" s="739">
        <f t="shared" si="494"/>
        <v>0</v>
      </c>
    </row>
    <row r="665" spans="1:29">
      <c r="A665" s="739" t="s">
        <v>2025</v>
      </c>
      <c r="B665" s="739" t="s">
        <v>2025</v>
      </c>
      <c r="C665" s="739" t="s">
        <v>2026</v>
      </c>
      <c r="D665" s="739" t="s">
        <v>2026</v>
      </c>
      <c r="E665" s="791">
        <v>372000</v>
      </c>
      <c r="G665" s="739" t="str">
        <f t="shared" si="495"/>
        <v>013801</v>
      </c>
      <c r="J665" s="739">
        <v>7000</v>
      </c>
      <c r="Q665" s="773"/>
      <c r="T665" s="775" t="str">
        <f t="shared" si="496"/>
        <v>023801</v>
      </c>
      <c r="W665" s="739" t="s">
        <v>2032</v>
      </c>
      <c r="Y665" s="775">
        <f t="shared" si="497"/>
        <v>2017</v>
      </c>
      <c r="Z665" s="775">
        <v>12</v>
      </c>
      <c r="AA665" s="739">
        <v>0</v>
      </c>
      <c r="AB665" s="739">
        <f t="shared" si="493"/>
        <v>0</v>
      </c>
      <c r="AC665" s="739">
        <f t="shared" si="494"/>
        <v>0</v>
      </c>
    </row>
    <row r="666" spans="1:29">
      <c r="A666" s="739" t="s">
        <v>2025</v>
      </c>
      <c r="B666" s="739" t="s">
        <v>2025</v>
      </c>
      <c r="C666" s="739" t="s">
        <v>2026</v>
      </c>
      <c r="D666" s="739" t="s">
        <v>2026</v>
      </c>
      <c r="E666" s="791">
        <v>373000</v>
      </c>
      <c r="G666" s="739" t="str">
        <f t="shared" si="495"/>
        <v>013801</v>
      </c>
      <c r="J666" s="739">
        <v>7000</v>
      </c>
      <c r="Q666" s="773"/>
      <c r="T666" s="775" t="str">
        <f t="shared" si="496"/>
        <v>023801</v>
      </c>
      <c r="W666" s="739" t="s">
        <v>2032</v>
      </c>
      <c r="Y666" s="775">
        <f t="shared" si="497"/>
        <v>2017</v>
      </c>
      <c r="Z666" s="775">
        <v>12</v>
      </c>
      <c r="AA666" s="739">
        <v>0</v>
      </c>
      <c r="AB666" s="739">
        <f t="shared" si="493"/>
        <v>0</v>
      </c>
      <c r="AC666" s="739">
        <f t="shared" si="494"/>
        <v>0</v>
      </c>
    </row>
    <row r="667" spans="1:29">
      <c r="A667" s="739" t="s">
        <v>2025</v>
      </c>
      <c r="B667" s="739" t="s">
        <v>2025</v>
      </c>
      <c r="C667" s="739" t="s">
        <v>2026</v>
      </c>
      <c r="D667" s="739" t="s">
        <v>2026</v>
      </c>
      <c r="E667" s="791">
        <v>380000</v>
      </c>
      <c r="G667" s="739" t="str">
        <f t="shared" si="495"/>
        <v>013801</v>
      </c>
      <c r="J667" s="739">
        <v>7000</v>
      </c>
      <c r="Q667" s="773"/>
      <c r="T667" s="775" t="str">
        <f t="shared" si="496"/>
        <v>023801</v>
      </c>
      <c r="W667" s="739" t="s">
        <v>2032</v>
      </c>
      <c r="Y667" s="775">
        <f t="shared" si="497"/>
        <v>2017</v>
      </c>
      <c r="Z667" s="775">
        <v>12</v>
      </c>
      <c r="AA667" s="739">
        <v>0</v>
      </c>
      <c r="AB667" s="739">
        <f t="shared" si="493"/>
        <v>0</v>
      </c>
      <c r="AC667" s="739">
        <f t="shared" si="494"/>
        <v>0</v>
      </c>
    </row>
    <row r="668" spans="1:29">
      <c r="A668" s="739" t="s">
        <v>2025</v>
      </c>
      <c r="B668" s="739" t="s">
        <v>2025</v>
      </c>
      <c r="C668" s="739" t="s">
        <v>2026</v>
      </c>
      <c r="D668" s="739" t="s">
        <v>2026</v>
      </c>
      <c r="E668" s="791">
        <v>381000</v>
      </c>
      <c r="G668" s="739" t="str">
        <f t="shared" si="495"/>
        <v>013801</v>
      </c>
      <c r="J668" s="739">
        <v>7000</v>
      </c>
      <c r="Q668" s="773"/>
      <c r="T668" s="775" t="str">
        <f t="shared" si="496"/>
        <v>023801</v>
      </c>
      <c r="W668" s="739" t="s">
        <v>2032</v>
      </c>
      <c r="Y668" s="775">
        <f t="shared" si="497"/>
        <v>2017</v>
      </c>
      <c r="Z668" s="775">
        <v>12</v>
      </c>
      <c r="AA668" s="739">
        <v>0</v>
      </c>
      <c r="AB668" s="739">
        <f t="shared" si="493"/>
        <v>0</v>
      </c>
      <c r="AC668" s="739">
        <f t="shared" si="494"/>
        <v>0</v>
      </c>
    </row>
    <row r="669" spans="1:29">
      <c r="A669" s="739" t="s">
        <v>2025</v>
      </c>
      <c r="B669" s="739" t="s">
        <v>2025</v>
      </c>
      <c r="C669" s="739" t="s">
        <v>2026</v>
      </c>
      <c r="D669" s="739" t="s">
        <v>2026</v>
      </c>
      <c r="E669" s="791">
        <v>382000</v>
      </c>
      <c r="G669" s="739" t="str">
        <f t="shared" si="495"/>
        <v>013801</v>
      </c>
      <c r="J669" s="739">
        <v>7000</v>
      </c>
      <c r="Q669" s="773"/>
      <c r="T669" s="775" t="str">
        <f t="shared" si="496"/>
        <v>023801</v>
      </c>
      <c r="W669" s="739" t="s">
        <v>2032</v>
      </c>
      <c r="Y669" s="775">
        <f t="shared" si="497"/>
        <v>2017</v>
      </c>
      <c r="Z669" s="775">
        <v>12</v>
      </c>
      <c r="AA669" s="739">
        <v>0</v>
      </c>
      <c r="AB669" s="739">
        <f t="shared" si="493"/>
        <v>0</v>
      </c>
      <c r="AC669" s="739">
        <f t="shared" si="494"/>
        <v>0</v>
      </c>
    </row>
    <row r="670" spans="1:29">
      <c r="A670" s="739" t="s">
        <v>2025</v>
      </c>
      <c r="B670" s="739" t="s">
        <v>2025</v>
      </c>
      <c r="C670" s="739" t="s">
        <v>2026</v>
      </c>
      <c r="D670" s="739" t="s">
        <v>2026</v>
      </c>
      <c r="E670" s="791">
        <v>383000</v>
      </c>
      <c r="G670" s="739" t="str">
        <f t="shared" si="495"/>
        <v>013801</v>
      </c>
      <c r="J670" s="739">
        <v>7000</v>
      </c>
      <c r="Q670" s="773"/>
      <c r="T670" s="775" t="str">
        <f t="shared" si="496"/>
        <v>023801</v>
      </c>
      <c r="W670" s="739" t="s">
        <v>2032</v>
      </c>
      <c r="Y670" s="775">
        <f t="shared" si="497"/>
        <v>2017</v>
      </c>
      <c r="Z670" s="775">
        <v>12</v>
      </c>
      <c r="AA670" s="739">
        <v>0</v>
      </c>
      <c r="AB670" s="739">
        <f t="shared" si="493"/>
        <v>0</v>
      </c>
      <c r="AC670" s="739">
        <f t="shared" si="494"/>
        <v>0</v>
      </c>
    </row>
    <row r="671" spans="1:29">
      <c r="A671" s="739" t="s">
        <v>2025</v>
      </c>
      <c r="B671" s="739" t="s">
        <v>2025</v>
      </c>
      <c r="C671" s="739" t="s">
        <v>2026</v>
      </c>
      <c r="D671" s="739" t="s">
        <v>2026</v>
      </c>
      <c r="E671" s="791">
        <v>384000</v>
      </c>
      <c r="G671" s="739" t="str">
        <f t="shared" si="495"/>
        <v>013801</v>
      </c>
      <c r="J671" s="739">
        <v>7000</v>
      </c>
      <c r="Q671" s="773"/>
      <c r="T671" s="775" t="str">
        <f t="shared" si="496"/>
        <v>023801</v>
      </c>
      <c r="W671" s="739" t="s">
        <v>2032</v>
      </c>
      <c r="Y671" s="775">
        <f t="shared" si="497"/>
        <v>2017</v>
      </c>
      <c r="Z671" s="775">
        <v>12</v>
      </c>
      <c r="AA671" s="739">
        <v>0</v>
      </c>
      <c r="AB671" s="739">
        <f t="shared" si="493"/>
        <v>0</v>
      </c>
      <c r="AC671" s="739">
        <f t="shared" si="494"/>
        <v>0</v>
      </c>
    </row>
    <row r="672" spans="1:29">
      <c r="A672" s="739" t="s">
        <v>2025</v>
      </c>
      <c r="B672" s="739" t="s">
        <v>2025</v>
      </c>
      <c r="C672" s="739" t="s">
        <v>2026</v>
      </c>
      <c r="D672" s="739" t="s">
        <v>2026</v>
      </c>
      <c r="E672" s="791">
        <v>385000</v>
      </c>
      <c r="G672" s="739" t="str">
        <f t="shared" si="495"/>
        <v>013801</v>
      </c>
      <c r="J672" s="739">
        <v>7000</v>
      </c>
      <c r="Q672" s="773"/>
      <c r="T672" s="775" t="str">
        <f t="shared" si="496"/>
        <v>023801</v>
      </c>
      <c r="W672" s="739" t="s">
        <v>2032</v>
      </c>
      <c r="Y672" s="775">
        <f t="shared" si="497"/>
        <v>2017</v>
      </c>
      <c r="Z672" s="775">
        <v>12</v>
      </c>
      <c r="AA672" s="739">
        <v>0</v>
      </c>
      <c r="AB672" s="739">
        <f t="shared" si="493"/>
        <v>0</v>
      </c>
      <c r="AC672" s="739">
        <f t="shared" si="494"/>
        <v>0</v>
      </c>
    </row>
    <row r="673" spans="1:29">
      <c r="A673" s="739" t="s">
        <v>2025</v>
      </c>
      <c r="B673" s="739" t="s">
        <v>2025</v>
      </c>
      <c r="C673" s="739" t="s">
        <v>2026</v>
      </c>
      <c r="D673" s="739" t="s">
        <v>2026</v>
      </c>
      <c r="E673" s="791">
        <v>390000</v>
      </c>
      <c r="G673" s="739" t="str">
        <f t="shared" si="495"/>
        <v>013801</v>
      </c>
      <c r="J673" s="739">
        <v>7000</v>
      </c>
      <c r="Q673" s="773"/>
      <c r="T673" s="775" t="str">
        <f t="shared" si="496"/>
        <v>023801</v>
      </c>
      <c r="W673" s="739" t="s">
        <v>2032</v>
      </c>
      <c r="Y673" s="775">
        <f t="shared" si="497"/>
        <v>2017</v>
      </c>
      <c r="Z673" s="775">
        <v>12</v>
      </c>
      <c r="AA673" s="739">
        <v>0</v>
      </c>
      <c r="AB673" s="739">
        <f t="shared" si="493"/>
        <v>0</v>
      </c>
      <c r="AC673" s="739">
        <f t="shared" si="494"/>
        <v>0</v>
      </c>
    </row>
    <row r="674" spans="1:29">
      <c r="A674" s="739" t="s">
        <v>2025</v>
      </c>
      <c r="B674" s="739" t="s">
        <v>2025</v>
      </c>
      <c r="C674" s="739" t="s">
        <v>2026</v>
      </c>
      <c r="D674" s="739" t="s">
        <v>2026</v>
      </c>
      <c r="E674" s="791">
        <v>391000</v>
      </c>
      <c r="G674" s="739" t="str">
        <f t="shared" si="495"/>
        <v>013801</v>
      </c>
      <c r="J674" s="739">
        <v>7000</v>
      </c>
      <c r="Q674" s="773"/>
      <c r="T674" s="775" t="str">
        <f t="shared" si="496"/>
        <v>023801</v>
      </c>
      <c r="W674" s="739" t="s">
        <v>2032</v>
      </c>
      <c r="Y674" s="775">
        <f t="shared" si="497"/>
        <v>2017</v>
      </c>
      <c r="Z674" s="775">
        <v>12</v>
      </c>
      <c r="AA674" s="739">
        <v>0</v>
      </c>
      <c r="AB674" s="739">
        <f t="shared" si="493"/>
        <v>0</v>
      </c>
      <c r="AC674" s="739">
        <f t="shared" si="494"/>
        <v>0</v>
      </c>
    </row>
    <row r="675" spans="1:29">
      <c r="A675" s="739" t="s">
        <v>2025</v>
      </c>
      <c r="B675" s="739" t="s">
        <v>2025</v>
      </c>
      <c r="C675" s="739" t="s">
        <v>2026</v>
      </c>
      <c r="D675" s="739" t="s">
        <v>2026</v>
      </c>
      <c r="E675" s="791">
        <v>392000</v>
      </c>
      <c r="G675" s="739" t="str">
        <f t="shared" si="495"/>
        <v>013801</v>
      </c>
      <c r="J675" s="739">
        <v>7000</v>
      </c>
      <c r="Q675" s="773"/>
      <c r="T675" s="775" t="str">
        <f t="shared" si="496"/>
        <v>023801</v>
      </c>
      <c r="W675" s="739" t="s">
        <v>2032</v>
      </c>
      <c r="Y675" s="775">
        <f t="shared" si="497"/>
        <v>2017</v>
      </c>
      <c r="Z675" s="775">
        <v>12</v>
      </c>
      <c r="AA675" s="739">
        <v>0</v>
      </c>
      <c r="AB675" s="739">
        <f t="shared" si="493"/>
        <v>0</v>
      </c>
      <c r="AC675" s="739">
        <f t="shared" si="494"/>
        <v>0</v>
      </c>
    </row>
    <row r="676" spans="1:29">
      <c r="A676" s="739" t="s">
        <v>2025</v>
      </c>
      <c r="B676" s="739" t="s">
        <v>2025</v>
      </c>
      <c r="C676" s="739" t="s">
        <v>2026</v>
      </c>
      <c r="D676" s="739" t="s">
        <v>2026</v>
      </c>
      <c r="E676" s="791">
        <v>393000</v>
      </c>
      <c r="G676" s="739" t="str">
        <f t="shared" si="495"/>
        <v>013801</v>
      </c>
      <c r="J676" s="739">
        <v>7000</v>
      </c>
      <c r="Q676" s="773"/>
      <c r="T676" s="775" t="str">
        <f t="shared" si="496"/>
        <v>023801</v>
      </c>
      <c r="W676" s="739" t="s">
        <v>2032</v>
      </c>
      <c r="Y676" s="775">
        <f t="shared" si="497"/>
        <v>2017</v>
      </c>
      <c r="Z676" s="775">
        <v>12</v>
      </c>
      <c r="AA676" s="739">
        <v>0</v>
      </c>
      <c r="AB676" s="739">
        <f t="shared" si="493"/>
        <v>0</v>
      </c>
      <c r="AC676" s="739">
        <f t="shared" si="494"/>
        <v>0</v>
      </c>
    </row>
    <row r="677" spans="1:29">
      <c r="A677" s="739" t="s">
        <v>2025</v>
      </c>
      <c r="B677" s="739" t="s">
        <v>2025</v>
      </c>
      <c r="C677" s="739" t="s">
        <v>2026</v>
      </c>
      <c r="D677" s="739" t="s">
        <v>2026</v>
      </c>
      <c r="E677" s="791">
        <v>394000</v>
      </c>
      <c r="G677" s="739" t="str">
        <f t="shared" si="495"/>
        <v>013801</v>
      </c>
      <c r="J677" s="739">
        <v>7000</v>
      </c>
      <c r="Q677" s="773"/>
      <c r="T677" s="775" t="str">
        <f t="shared" si="496"/>
        <v>023801</v>
      </c>
      <c r="W677" s="739" t="s">
        <v>2032</v>
      </c>
      <c r="Y677" s="775">
        <f t="shared" si="497"/>
        <v>2017</v>
      </c>
      <c r="Z677" s="775">
        <v>12</v>
      </c>
      <c r="AA677" s="739">
        <v>0</v>
      </c>
      <c r="AB677" s="739">
        <f t="shared" si="493"/>
        <v>0</v>
      </c>
      <c r="AC677" s="739">
        <f t="shared" si="494"/>
        <v>0</v>
      </c>
    </row>
    <row r="678" spans="1:29">
      <c r="A678" s="739" t="s">
        <v>2025</v>
      </c>
      <c r="B678" s="739" t="s">
        <v>2025</v>
      </c>
      <c r="C678" s="739" t="s">
        <v>2026</v>
      </c>
      <c r="D678" s="739" t="s">
        <v>2026</v>
      </c>
      <c r="E678" s="791">
        <v>395000</v>
      </c>
      <c r="G678" s="739" t="str">
        <f t="shared" si="495"/>
        <v>013801</v>
      </c>
      <c r="J678" s="739">
        <v>7000</v>
      </c>
      <c r="Q678" s="773"/>
      <c r="T678" s="775" t="str">
        <f t="shared" si="496"/>
        <v>023801</v>
      </c>
      <c r="W678" s="739" t="s">
        <v>2032</v>
      </c>
      <c r="Y678" s="775">
        <f t="shared" si="497"/>
        <v>2017</v>
      </c>
      <c r="Z678" s="775">
        <v>12</v>
      </c>
      <c r="AA678" s="739">
        <v>0</v>
      </c>
      <c r="AB678" s="739">
        <f t="shared" si="493"/>
        <v>0</v>
      </c>
      <c r="AC678" s="739">
        <f t="shared" si="494"/>
        <v>0</v>
      </c>
    </row>
    <row r="679" spans="1:29">
      <c r="A679" s="739" t="s">
        <v>2025</v>
      </c>
      <c r="B679" s="739" t="s">
        <v>2025</v>
      </c>
      <c r="C679" s="739" t="s">
        <v>2026</v>
      </c>
      <c r="D679" s="739" t="s">
        <v>2026</v>
      </c>
      <c r="E679" s="791">
        <v>396000</v>
      </c>
      <c r="G679" s="739" t="str">
        <f t="shared" si="495"/>
        <v>013801</v>
      </c>
      <c r="J679" s="739">
        <v>7000</v>
      </c>
      <c r="Q679" s="773"/>
      <c r="T679" s="775" t="str">
        <f t="shared" si="496"/>
        <v>023801</v>
      </c>
      <c r="W679" s="739" t="s">
        <v>2032</v>
      </c>
      <c r="Y679" s="775">
        <f t="shared" si="497"/>
        <v>2017</v>
      </c>
      <c r="Z679" s="775">
        <v>12</v>
      </c>
      <c r="AA679" s="739">
        <v>0</v>
      </c>
      <c r="AB679" s="739">
        <f t="shared" si="493"/>
        <v>0</v>
      </c>
      <c r="AC679" s="739">
        <f t="shared" si="494"/>
        <v>0</v>
      </c>
    </row>
    <row r="680" spans="1:29">
      <c r="A680" s="739" t="s">
        <v>2025</v>
      </c>
      <c r="B680" s="739" t="s">
        <v>2025</v>
      </c>
      <c r="C680" s="739" t="s">
        <v>2026</v>
      </c>
      <c r="D680" s="739" t="s">
        <v>2026</v>
      </c>
      <c r="E680" s="791">
        <v>397000</v>
      </c>
      <c r="G680" s="739" t="str">
        <f t="shared" si="495"/>
        <v>013801</v>
      </c>
      <c r="J680" s="739">
        <v>7000</v>
      </c>
      <c r="Q680" s="773"/>
      <c r="T680" s="775" t="str">
        <f t="shared" si="496"/>
        <v>023801</v>
      </c>
      <c r="W680" s="739" t="s">
        <v>2032</v>
      </c>
      <c r="Y680" s="775">
        <f t="shared" si="497"/>
        <v>2017</v>
      </c>
      <c r="Z680" s="775">
        <v>12</v>
      </c>
      <c r="AA680" s="739">
        <v>0</v>
      </c>
      <c r="AB680" s="739">
        <f t="shared" si="493"/>
        <v>0</v>
      </c>
      <c r="AC680" s="739">
        <f t="shared" si="494"/>
        <v>0</v>
      </c>
    </row>
    <row r="681" spans="1:29">
      <c r="A681" s="739" t="s">
        <v>2025</v>
      </c>
      <c r="B681" s="739" t="s">
        <v>2025</v>
      </c>
      <c r="C681" s="739" t="s">
        <v>2026</v>
      </c>
      <c r="D681" s="739" t="s">
        <v>2026</v>
      </c>
      <c r="E681" s="791">
        <v>410000</v>
      </c>
      <c r="G681" s="739" t="str">
        <f t="shared" si="495"/>
        <v>013801</v>
      </c>
      <c r="J681" s="739">
        <v>7000</v>
      </c>
      <c r="Q681" s="773">
        <v>100</v>
      </c>
      <c r="T681" s="775" t="str">
        <f t="shared" si="496"/>
        <v>023801</v>
      </c>
      <c r="W681" s="739" t="s">
        <v>2032</v>
      </c>
      <c r="Y681" s="775">
        <f t="shared" si="497"/>
        <v>2017</v>
      </c>
      <c r="Z681" s="775">
        <v>12</v>
      </c>
      <c r="AB681" s="739">
        <f t="shared" si="493"/>
        <v>0</v>
      </c>
      <c r="AC681" s="739">
        <f t="shared" si="494"/>
        <v>0</v>
      </c>
    </row>
    <row r="682" spans="1:29">
      <c r="A682" s="739" t="s">
        <v>2025</v>
      </c>
      <c r="B682" s="739" t="s">
        <v>2025</v>
      </c>
      <c r="C682" s="739" t="s">
        <v>2026</v>
      </c>
      <c r="D682" s="739" t="s">
        <v>2026</v>
      </c>
      <c r="E682" s="791">
        <v>410000</v>
      </c>
      <c r="G682" s="739" t="str">
        <f t="shared" si="495"/>
        <v>013801</v>
      </c>
      <c r="J682" s="739">
        <v>7000</v>
      </c>
      <c r="Q682" s="773">
        <v>200</v>
      </c>
      <c r="T682" s="775" t="str">
        <f t="shared" si="496"/>
        <v>023801</v>
      </c>
      <c r="W682" s="739" t="s">
        <v>2032</v>
      </c>
      <c r="Y682" s="775">
        <f t="shared" si="497"/>
        <v>2017</v>
      </c>
      <c r="Z682" s="775">
        <v>12</v>
      </c>
      <c r="AB682" s="739">
        <f t="shared" si="493"/>
        <v>0</v>
      </c>
      <c r="AC682" s="739">
        <f t="shared" si="494"/>
        <v>0</v>
      </c>
    </row>
    <row r="683" spans="1:29">
      <c r="A683" s="739" t="s">
        <v>2025</v>
      </c>
      <c r="B683" s="739" t="s">
        <v>2025</v>
      </c>
      <c r="C683" s="739" t="s">
        <v>2026</v>
      </c>
      <c r="D683" s="739" t="s">
        <v>2026</v>
      </c>
      <c r="E683" s="791">
        <v>410000</v>
      </c>
      <c r="G683" s="739" t="str">
        <f t="shared" si="495"/>
        <v>013801</v>
      </c>
      <c r="J683" s="739">
        <v>7000</v>
      </c>
      <c r="Q683" s="773">
        <v>610</v>
      </c>
      <c r="T683" s="775" t="str">
        <f t="shared" si="496"/>
        <v>023801</v>
      </c>
      <c r="W683" s="739" t="s">
        <v>2032</v>
      </c>
      <c r="Y683" s="775">
        <f t="shared" si="497"/>
        <v>2017</v>
      </c>
      <c r="Z683" s="775">
        <v>12</v>
      </c>
      <c r="AB683" s="739">
        <f t="shared" si="493"/>
        <v>0</v>
      </c>
      <c r="AC683" s="739">
        <f t="shared" si="494"/>
        <v>0</v>
      </c>
    </row>
    <row r="684" spans="1:29">
      <c r="A684" s="739" t="s">
        <v>2025</v>
      </c>
      <c r="B684" s="739" t="s">
        <v>2025</v>
      </c>
      <c r="C684" s="739" t="s">
        <v>2026</v>
      </c>
      <c r="D684" s="739" t="s">
        <v>2026</v>
      </c>
      <c r="E684" s="791">
        <v>410000</v>
      </c>
      <c r="G684" s="739" t="str">
        <f t="shared" si="495"/>
        <v>013801</v>
      </c>
      <c r="J684" s="739">
        <v>7000</v>
      </c>
      <c r="Q684" s="773">
        <v>620</v>
      </c>
      <c r="T684" s="775" t="str">
        <f t="shared" si="496"/>
        <v>023801</v>
      </c>
      <c r="W684" s="739" t="s">
        <v>2032</v>
      </c>
      <c r="Y684" s="775">
        <f t="shared" si="497"/>
        <v>2017</v>
      </c>
      <c r="Z684" s="775">
        <v>12</v>
      </c>
      <c r="AB684" s="739">
        <f t="shared" si="493"/>
        <v>0</v>
      </c>
      <c r="AC684" s="739">
        <f t="shared" si="494"/>
        <v>0</v>
      </c>
    </row>
    <row r="685" spans="1:29">
      <c r="A685" s="739" t="s">
        <v>2025</v>
      </c>
      <c r="B685" s="739" t="s">
        <v>2025</v>
      </c>
      <c r="C685" s="739" t="s">
        <v>2026</v>
      </c>
      <c r="D685" s="739" t="s">
        <v>2026</v>
      </c>
      <c r="E685" s="791">
        <v>410000</v>
      </c>
      <c r="G685" s="739" t="str">
        <f t="shared" si="495"/>
        <v>013801</v>
      </c>
      <c r="J685" s="739">
        <v>7000</v>
      </c>
      <c r="Q685" s="773">
        <v>900</v>
      </c>
      <c r="T685" s="775" t="str">
        <f t="shared" si="496"/>
        <v>023801</v>
      </c>
      <c r="W685" s="739" t="s">
        <v>2032</v>
      </c>
      <c r="Y685" s="775">
        <f t="shared" si="497"/>
        <v>2017</v>
      </c>
      <c r="Z685" s="775">
        <v>12</v>
      </c>
      <c r="AB685" s="739">
        <f t="shared" si="493"/>
        <v>0</v>
      </c>
      <c r="AC685" s="739">
        <f t="shared" si="494"/>
        <v>0</v>
      </c>
    </row>
    <row r="686" spans="1:29">
      <c r="A686" s="739" t="s">
        <v>2025</v>
      </c>
      <c r="B686" s="739" t="s">
        <v>2025</v>
      </c>
      <c r="C686" s="739" t="s">
        <v>2026</v>
      </c>
      <c r="D686" s="739" t="s">
        <v>2026</v>
      </c>
      <c r="E686" s="791">
        <v>420000</v>
      </c>
      <c r="G686" s="739" t="str">
        <f t="shared" si="495"/>
        <v>013801</v>
      </c>
      <c r="J686" s="739">
        <v>7000</v>
      </c>
      <c r="Q686" s="773">
        <v>100</v>
      </c>
      <c r="T686" s="775" t="str">
        <f t="shared" si="496"/>
        <v>023801</v>
      </c>
      <c r="W686" s="739" t="s">
        <v>2032</v>
      </c>
      <c r="Y686" s="775">
        <f t="shared" si="497"/>
        <v>2017</v>
      </c>
      <c r="Z686" s="775">
        <v>12</v>
      </c>
      <c r="AB686" s="739">
        <f t="shared" si="493"/>
        <v>0</v>
      </c>
      <c r="AC686" s="739">
        <f t="shared" si="494"/>
        <v>0</v>
      </c>
    </row>
    <row r="687" spans="1:29">
      <c r="A687" s="739" t="s">
        <v>2025</v>
      </c>
      <c r="B687" s="739" t="s">
        <v>2025</v>
      </c>
      <c r="C687" s="739" t="s">
        <v>2026</v>
      </c>
      <c r="D687" s="739" t="s">
        <v>2026</v>
      </c>
      <c r="E687" s="791">
        <v>420000</v>
      </c>
      <c r="G687" s="739" t="str">
        <f t="shared" si="495"/>
        <v>013801</v>
      </c>
      <c r="J687" s="739">
        <v>7000</v>
      </c>
      <c r="Q687" s="773">
        <v>200</v>
      </c>
      <c r="T687" s="775" t="str">
        <f t="shared" si="496"/>
        <v>023801</v>
      </c>
      <c r="W687" s="739" t="s">
        <v>2032</v>
      </c>
      <c r="Y687" s="775">
        <f t="shared" si="497"/>
        <v>2017</v>
      </c>
      <c r="Z687" s="775">
        <v>12</v>
      </c>
      <c r="AB687" s="739">
        <f t="shared" si="493"/>
        <v>0</v>
      </c>
      <c r="AC687" s="739">
        <f t="shared" si="494"/>
        <v>0</v>
      </c>
    </row>
    <row r="688" spans="1:29">
      <c r="A688" s="739" t="s">
        <v>2025</v>
      </c>
      <c r="B688" s="739" t="s">
        <v>2025</v>
      </c>
      <c r="C688" s="739" t="s">
        <v>2026</v>
      </c>
      <c r="D688" s="739" t="s">
        <v>2026</v>
      </c>
      <c r="E688" s="791">
        <v>420000</v>
      </c>
      <c r="G688" s="739" t="str">
        <f t="shared" si="495"/>
        <v>013801</v>
      </c>
      <c r="J688" s="739">
        <v>7000</v>
      </c>
      <c r="Q688" s="773">
        <v>610</v>
      </c>
      <c r="T688" s="775" t="str">
        <f t="shared" si="496"/>
        <v>023801</v>
      </c>
      <c r="W688" s="739" t="s">
        <v>2032</v>
      </c>
      <c r="Y688" s="775">
        <f t="shared" si="497"/>
        <v>2017</v>
      </c>
      <c r="Z688" s="775">
        <v>12</v>
      </c>
      <c r="AB688" s="739">
        <f t="shared" si="493"/>
        <v>0</v>
      </c>
      <c r="AC688" s="739">
        <f t="shared" si="494"/>
        <v>0</v>
      </c>
    </row>
    <row r="689" spans="1:29">
      <c r="A689" s="739" t="s">
        <v>2025</v>
      </c>
      <c r="B689" s="739" t="s">
        <v>2025</v>
      </c>
      <c r="C689" s="739" t="s">
        <v>2026</v>
      </c>
      <c r="D689" s="739" t="s">
        <v>2026</v>
      </c>
      <c r="E689" s="791">
        <v>420000</v>
      </c>
      <c r="G689" s="739" t="str">
        <f t="shared" si="495"/>
        <v>013801</v>
      </c>
      <c r="J689" s="739">
        <v>7000</v>
      </c>
      <c r="Q689" s="773">
        <v>620</v>
      </c>
      <c r="T689" s="775" t="str">
        <f t="shared" si="496"/>
        <v>023801</v>
      </c>
      <c r="W689" s="739" t="s">
        <v>2032</v>
      </c>
      <c r="Y689" s="775">
        <f t="shared" si="497"/>
        <v>2017</v>
      </c>
      <c r="Z689" s="775">
        <v>12</v>
      </c>
      <c r="AB689" s="739">
        <f t="shared" si="493"/>
        <v>0</v>
      </c>
      <c r="AC689" s="739">
        <f t="shared" si="494"/>
        <v>0</v>
      </c>
    </row>
    <row r="690" spans="1:29">
      <c r="A690" s="739" t="s">
        <v>2025</v>
      </c>
      <c r="B690" s="739" t="s">
        <v>2025</v>
      </c>
      <c r="C690" s="739" t="s">
        <v>2026</v>
      </c>
      <c r="D690" s="739" t="s">
        <v>2026</v>
      </c>
      <c r="E690" s="791">
        <v>420000</v>
      </c>
      <c r="G690" s="739" t="str">
        <f t="shared" si="495"/>
        <v>013801</v>
      </c>
      <c r="J690" s="739">
        <v>7000</v>
      </c>
      <c r="Q690" s="773">
        <v>900</v>
      </c>
      <c r="T690" s="775" t="str">
        <f t="shared" si="496"/>
        <v>023801</v>
      </c>
      <c r="W690" s="739" t="s">
        <v>2032</v>
      </c>
      <c r="Y690" s="775">
        <f t="shared" si="497"/>
        <v>2017</v>
      </c>
      <c r="Z690" s="775">
        <v>12</v>
      </c>
      <c r="AB690" s="739">
        <f t="shared" si="493"/>
        <v>0</v>
      </c>
      <c r="AC690" s="739">
        <f t="shared" si="494"/>
        <v>0</v>
      </c>
    </row>
    <row r="691" spans="1:29">
      <c r="A691" s="739" t="s">
        <v>2025</v>
      </c>
      <c r="B691" s="739" t="s">
        <v>2025</v>
      </c>
      <c r="C691" s="739" t="s">
        <v>2026</v>
      </c>
      <c r="D691" s="739" t="s">
        <v>2026</v>
      </c>
      <c r="E691" s="791">
        <v>430000</v>
      </c>
      <c r="G691" s="739" t="str">
        <f t="shared" si="495"/>
        <v>013801</v>
      </c>
      <c r="J691" s="739">
        <v>7000</v>
      </c>
      <c r="Q691" s="773">
        <v>100</v>
      </c>
      <c r="T691" s="775" t="str">
        <f t="shared" si="496"/>
        <v>023801</v>
      </c>
      <c r="W691" s="739" t="s">
        <v>2032</v>
      </c>
      <c r="Y691" s="775">
        <f t="shared" si="497"/>
        <v>2017</v>
      </c>
      <c r="Z691" s="775">
        <v>12</v>
      </c>
      <c r="AB691" s="739">
        <f t="shared" si="493"/>
        <v>0</v>
      </c>
      <c r="AC691" s="739">
        <f t="shared" si="494"/>
        <v>0</v>
      </c>
    </row>
    <row r="692" spans="1:29">
      <c r="A692" s="739" t="s">
        <v>2025</v>
      </c>
      <c r="B692" s="739" t="s">
        <v>2025</v>
      </c>
      <c r="C692" s="739" t="s">
        <v>2026</v>
      </c>
      <c r="D692" s="739" t="s">
        <v>2026</v>
      </c>
      <c r="E692" s="791">
        <v>430000</v>
      </c>
      <c r="G692" s="739" t="str">
        <f t="shared" si="495"/>
        <v>013801</v>
      </c>
      <c r="J692" s="739">
        <v>7000</v>
      </c>
      <c r="Q692" s="773">
        <v>200</v>
      </c>
      <c r="T692" s="775" t="str">
        <f t="shared" si="496"/>
        <v>023801</v>
      </c>
      <c r="W692" s="739" t="s">
        <v>2032</v>
      </c>
      <c r="Y692" s="775">
        <f t="shared" si="497"/>
        <v>2017</v>
      </c>
      <c r="Z692" s="775">
        <v>12</v>
      </c>
      <c r="AB692" s="739">
        <f t="shared" si="493"/>
        <v>0</v>
      </c>
      <c r="AC692" s="739">
        <f t="shared" si="494"/>
        <v>0</v>
      </c>
    </row>
    <row r="693" spans="1:29">
      <c r="A693" s="739" t="s">
        <v>2025</v>
      </c>
      <c r="B693" s="739" t="s">
        <v>2025</v>
      </c>
      <c r="C693" s="739" t="s">
        <v>2026</v>
      </c>
      <c r="D693" s="739" t="s">
        <v>2026</v>
      </c>
      <c r="E693" s="791">
        <v>430000</v>
      </c>
      <c r="G693" s="739" t="str">
        <f t="shared" si="495"/>
        <v>013801</v>
      </c>
      <c r="J693" s="739">
        <v>7000</v>
      </c>
      <c r="Q693" s="773">
        <v>610</v>
      </c>
      <c r="T693" s="775" t="str">
        <f t="shared" si="496"/>
        <v>023801</v>
      </c>
      <c r="W693" s="739" t="s">
        <v>2032</v>
      </c>
      <c r="Y693" s="775">
        <f t="shared" si="497"/>
        <v>2017</v>
      </c>
      <c r="Z693" s="775">
        <v>12</v>
      </c>
      <c r="AB693" s="739">
        <f t="shared" si="493"/>
        <v>0</v>
      </c>
      <c r="AC693" s="739">
        <f t="shared" si="494"/>
        <v>0</v>
      </c>
    </row>
    <row r="694" spans="1:29">
      <c r="A694" s="739" t="s">
        <v>2025</v>
      </c>
      <c r="B694" s="739" t="s">
        <v>2025</v>
      </c>
      <c r="C694" s="739" t="s">
        <v>2026</v>
      </c>
      <c r="D694" s="739" t="s">
        <v>2026</v>
      </c>
      <c r="E694" s="791">
        <v>430000</v>
      </c>
      <c r="G694" s="739" t="str">
        <f t="shared" si="495"/>
        <v>013801</v>
      </c>
      <c r="J694" s="739">
        <v>7000</v>
      </c>
      <c r="Q694" s="773">
        <v>620</v>
      </c>
      <c r="T694" s="775" t="str">
        <f t="shared" si="496"/>
        <v>023801</v>
      </c>
      <c r="W694" s="739" t="s">
        <v>2032</v>
      </c>
      <c r="Y694" s="775">
        <f t="shared" si="497"/>
        <v>2017</v>
      </c>
      <c r="Z694" s="775">
        <v>12</v>
      </c>
      <c r="AB694" s="739">
        <f t="shared" si="493"/>
        <v>0</v>
      </c>
      <c r="AC694" s="739">
        <f t="shared" si="494"/>
        <v>0</v>
      </c>
    </row>
    <row r="695" spans="1:29">
      <c r="A695" s="739" t="s">
        <v>2025</v>
      </c>
      <c r="B695" s="739" t="s">
        <v>2025</v>
      </c>
      <c r="C695" s="739" t="s">
        <v>2026</v>
      </c>
      <c r="D695" s="739" t="s">
        <v>2026</v>
      </c>
      <c r="E695" s="791">
        <v>430000</v>
      </c>
      <c r="G695" s="739" t="str">
        <f t="shared" si="495"/>
        <v>013801</v>
      </c>
      <c r="J695" s="739">
        <v>7000</v>
      </c>
      <c r="Q695" s="773">
        <v>900</v>
      </c>
      <c r="T695" s="775" t="str">
        <f t="shared" si="496"/>
        <v>023801</v>
      </c>
      <c r="W695" s="739" t="s">
        <v>2032</v>
      </c>
      <c r="Y695" s="775">
        <f t="shared" si="497"/>
        <v>2017</v>
      </c>
      <c r="Z695" s="775">
        <v>12</v>
      </c>
      <c r="AB695" s="739">
        <f t="shared" si="493"/>
        <v>0</v>
      </c>
      <c r="AC695" s="739">
        <f t="shared" si="494"/>
        <v>0</v>
      </c>
    </row>
    <row r="696" spans="1:29">
      <c r="A696" s="739" t="s">
        <v>2025</v>
      </c>
      <c r="B696" s="739" t="s">
        <v>2025</v>
      </c>
      <c r="C696" s="739" t="s">
        <v>2026</v>
      </c>
      <c r="D696" s="739" t="s">
        <v>2026</v>
      </c>
      <c r="E696" s="791">
        <v>440000</v>
      </c>
      <c r="G696" s="739" t="str">
        <f t="shared" si="495"/>
        <v>013801</v>
      </c>
      <c r="J696" s="739">
        <v>7000</v>
      </c>
      <c r="Q696" s="773">
        <v>100</v>
      </c>
      <c r="T696" s="775" t="str">
        <f t="shared" si="496"/>
        <v>023801</v>
      </c>
      <c r="W696" s="739" t="s">
        <v>2032</v>
      </c>
      <c r="Y696" s="775">
        <f t="shared" si="497"/>
        <v>2017</v>
      </c>
      <c r="Z696" s="775">
        <v>12</v>
      </c>
      <c r="AB696" s="739">
        <f t="shared" si="493"/>
        <v>0</v>
      </c>
      <c r="AC696" s="739">
        <f t="shared" si="494"/>
        <v>0</v>
      </c>
    </row>
    <row r="697" spans="1:29">
      <c r="A697" s="739" t="s">
        <v>2025</v>
      </c>
      <c r="B697" s="739" t="s">
        <v>2025</v>
      </c>
      <c r="C697" s="739" t="s">
        <v>2026</v>
      </c>
      <c r="D697" s="739" t="s">
        <v>2026</v>
      </c>
      <c r="E697" s="791">
        <v>440000</v>
      </c>
      <c r="G697" s="739" t="str">
        <f t="shared" si="495"/>
        <v>013801</v>
      </c>
      <c r="J697" s="739">
        <v>7000</v>
      </c>
      <c r="Q697" s="773">
        <v>200</v>
      </c>
      <c r="T697" s="775" t="str">
        <f t="shared" si="496"/>
        <v>023801</v>
      </c>
      <c r="W697" s="739" t="s">
        <v>2032</v>
      </c>
      <c r="Y697" s="775">
        <f t="shared" si="497"/>
        <v>2017</v>
      </c>
      <c r="Z697" s="775">
        <v>12</v>
      </c>
      <c r="AB697" s="739">
        <f t="shared" si="493"/>
        <v>0</v>
      </c>
      <c r="AC697" s="739">
        <f t="shared" si="494"/>
        <v>0</v>
      </c>
    </row>
    <row r="698" spans="1:29">
      <c r="A698" s="739" t="s">
        <v>2025</v>
      </c>
      <c r="B698" s="739" t="s">
        <v>2025</v>
      </c>
      <c r="C698" s="739" t="s">
        <v>2026</v>
      </c>
      <c r="D698" s="739" t="s">
        <v>2026</v>
      </c>
      <c r="E698" s="791">
        <v>440000</v>
      </c>
      <c r="G698" s="739" t="str">
        <f t="shared" si="495"/>
        <v>013801</v>
      </c>
      <c r="J698" s="739">
        <v>7000</v>
      </c>
      <c r="Q698" s="773">
        <v>610</v>
      </c>
      <c r="T698" s="775" t="str">
        <f t="shared" si="496"/>
        <v>023801</v>
      </c>
      <c r="W698" s="739" t="s">
        <v>2032</v>
      </c>
      <c r="Y698" s="775">
        <f t="shared" si="497"/>
        <v>2017</v>
      </c>
      <c r="Z698" s="775">
        <v>12</v>
      </c>
      <c r="AB698" s="739">
        <f t="shared" si="493"/>
        <v>0</v>
      </c>
      <c r="AC698" s="739">
        <f t="shared" si="494"/>
        <v>0</v>
      </c>
    </row>
    <row r="699" spans="1:29">
      <c r="A699" s="739" t="s">
        <v>2025</v>
      </c>
      <c r="B699" s="739" t="s">
        <v>2025</v>
      </c>
      <c r="C699" s="739" t="s">
        <v>2026</v>
      </c>
      <c r="D699" s="739" t="s">
        <v>2026</v>
      </c>
      <c r="E699" s="791">
        <v>440000</v>
      </c>
      <c r="G699" s="739" t="str">
        <f t="shared" si="495"/>
        <v>013801</v>
      </c>
      <c r="J699" s="739">
        <v>7000</v>
      </c>
      <c r="Q699" s="773">
        <v>620</v>
      </c>
      <c r="T699" s="775" t="str">
        <f t="shared" si="496"/>
        <v>023801</v>
      </c>
      <c r="W699" s="739" t="s">
        <v>2032</v>
      </c>
      <c r="Y699" s="775">
        <f t="shared" si="497"/>
        <v>2017</v>
      </c>
      <c r="Z699" s="775">
        <v>12</v>
      </c>
      <c r="AB699" s="739">
        <f t="shared" si="493"/>
        <v>0</v>
      </c>
      <c r="AC699" s="739">
        <f t="shared" si="494"/>
        <v>0</v>
      </c>
    </row>
    <row r="700" spans="1:29">
      <c r="A700" s="739" t="s">
        <v>2025</v>
      </c>
      <c r="B700" s="739" t="s">
        <v>2025</v>
      </c>
      <c r="C700" s="739" t="s">
        <v>2026</v>
      </c>
      <c r="D700" s="739" t="s">
        <v>2026</v>
      </c>
      <c r="E700" s="791">
        <v>440000</v>
      </c>
      <c r="G700" s="739" t="str">
        <f t="shared" si="495"/>
        <v>013801</v>
      </c>
      <c r="J700" s="739">
        <v>7000</v>
      </c>
      <c r="Q700" s="773">
        <v>900</v>
      </c>
      <c r="T700" s="775" t="str">
        <f t="shared" si="496"/>
        <v>023801</v>
      </c>
      <c r="W700" s="739" t="s">
        <v>2032</v>
      </c>
      <c r="Y700" s="775">
        <f t="shared" si="497"/>
        <v>2017</v>
      </c>
      <c r="Z700" s="775">
        <v>12</v>
      </c>
      <c r="AB700" s="739">
        <f t="shared" ref="AB700:AB754" si="498">AA700</f>
        <v>0</v>
      </c>
      <c r="AC700" s="739">
        <f t="shared" ref="AC700:AC754" si="499">AA700</f>
        <v>0</v>
      </c>
    </row>
    <row r="701" spans="1:29">
      <c r="A701" s="739" t="s">
        <v>2025</v>
      </c>
      <c r="B701" s="739" t="s">
        <v>2025</v>
      </c>
      <c r="C701" s="739" t="s">
        <v>2026</v>
      </c>
      <c r="D701" s="739" t="s">
        <v>2026</v>
      </c>
      <c r="E701" s="791">
        <v>450000</v>
      </c>
      <c r="G701" s="739" t="str">
        <f t="shared" si="495"/>
        <v>013801</v>
      </c>
      <c r="J701" s="739">
        <v>7000</v>
      </c>
      <c r="Q701" s="773">
        <v>100</v>
      </c>
      <c r="T701" s="775" t="str">
        <f t="shared" si="496"/>
        <v>023801</v>
      </c>
      <c r="W701" s="739" t="s">
        <v>2032</v>
      </c>
      <c r="Y701" s="775">
        <f t="shared" si="497"/>
        <v>2017</v>
      </c>
      <c r="Z701" s="775">
        <v>12</v>
      </c>
      <c r="AB701" s="739">
        <f t="shared" si="498"/>
        <v>0</v>
      </c>
      <c r="AC701" s="739">
        <f t="shared" si="499"/>
        <v>0</v>
      </c>
    </row>
    <row r="702" spans="1:29">
      <c r="A702" s="739" t="s">
        <v>2025</v>
      </c>
      <c r="B702" s="739" t="s">
        <v>2025</v>
      </c>
      <c r="C702" s="739" t="s">
        <v>2026</v>
      </c>
      <c r="D702" s="739" t="s">
        <v>2026</v>
      </c>
      <c r="E702" s="791">
        <v>450000</v>
      </c>
      <c r="G702" s="739" t="str">
        <f t="shared" si="495"/>
        <v>013801</v>
      </c>
      <c r="J702" s="739">
        <v>7000</v>
      </c>
      <c r="Q702" s="773">
        <v>200</v>
      </c>
      <c r="T702" s="775" t="str">
        <f t="shared" si="496"/>
        <v>023801</v>
      </c>
      <c r="W702" s="739" t="s">
        <v>2032</v>
      </c>
      <c r="Y702" s="775">
        <f t="shared" si="497"/>
        <v>2017</v>
      </c>
      <c r="Z702" s="775">
        <v>12</v>
      </c>
      <c r="AB702" s="739">
        <f t="shared" si="498"/>
        <v>0</v>
      </c>
      <c r="AC702" s="739">
        <f t="shared" si="499"/>
        <v>0</v>
      </c>
    </row>
    <row r="703" spans="1:29">
      <c r="A703" s="739" t="s">
        <v>2025</v>
      </c>
      <c r="B703" s="739" t="s">
        <v>2025</v>
      </c>
      <c r="C703" s="739" t="s">
        <v>2026</v>
      </c>
      <c r="D703" s="739" t="s">
        <v>2026</v>
      </c>
      <c r="E703" s="791">
        <v>450000</v>
      </c>
      <c r="G703" s="739" t="str">
        <f t="shared" si="495"/>
        <v>013801</v>
      </c>
      <c r="J703" s="739">
        <v>7000</v>
      </c>
      <c r="Q703" s="773">
        <v>610</v>
      </c>
      <c r="T703" s="775" t="str">
        <f t="shared" si="496"/>
        <v>023801</v>
      </c>
      <c r="W703" s="739" t="s">
        <v>2032</v>
      </c>
      <c r="Y703" s="775">
        <f t="shared" si="497"/>
        <v>2017</v>
      </c>
      <c r="Z703" s="775">
        <v>12</v>
      </c>
      <c r="AB703" s="739">
        <f t="shared" si="498"/>
        <v>0</v>
      </c>
      <c r="AC703" s="739">
        <f t="shared" si="499"/>
        <v>0</v>
      </c>
    </row>
    <row r="704" spans="1:29">
      <c r="A704" s="739" t="s">
        <v>2025</v>
      </c>
      <c r="B704" s="739" t="s">
        <v>2025</v>
      </c>
      <c r="C704" s="739" t="s">
        <v>2026</v>
      </c>
      <c r="D704" s="739" t="s">
        <v>2026</v>
      </c>
      <c r="E704" s="791">
        <v>450000</v>
      </c>
      <c r="G704" s="739" t="str">
        <f t="shared" si="495"/>
        <v>013801</v>
      </c>
      <c r="J704" s="739">
        <v>7000</v>
      </c>
      <c r="Q704" s="773">
        <v>620</v>
      </c>
      <c r="T704" s="775" t="str">
        <f t="shared" si="496"/>
        <v>023801</v>
      </c>
      <c r="W704" s="739" t="s">
        <v>2032</v>
      </c>
      <c r="Y704" s="775">
        <f t="shared" si="497"/>
        <v>2017</v>
      </c>
      <c r="Z704" s="775">
        <v>12</v>
      </c>
      <c r="AB704" s="739">
        <f t="shared" si="498"/>
        <v>0</v>
      </c>
      <c r="AC704" s="739">
        <f t="shared" si="499"/>
        <v>0</v>
      </c>
    </row>
    <row r="705" spans="1:29">
      <c r="A705" s="739" t="s">
        <v>2025</v>
      </c>
      <c r="B705" s="739" t="s">
        <v>2025</v>
      </c>
      <c r="C705" s="739" t="s">
        <v>2026</v>
      </c>
      <c r="D705" s="739" t="s">
        <v>2026</v>
      </c>
      <c r="E705" s="791">
        <v>450000</v>
      </c>
      <c r="G705" s="739" t="str">
        <f t="shared" si="495"/>
        <v>013801</v>
      </c>
      <c r="J705" s="739">
        <v>7000</v>
      </c>
      <c r="Q705" s="773">
        <v>900</v>
      </c>
      <c r="T705" s="775" t="str">
        <f t="shared" si="496"/>
        <v>023801</v>
      </c>
      <c r="W705" s="739" t="s">
        <v>2032</v>
      </c>
      <c r="Y705" s="775">
        <f t="shared" si="497"/>
        <v>2017</v>
      </c>
      <c r="Z705" s="775">
        <v>12</v>
      </c>
      <c r="AB705" s="739">
        <f t="shared" si="498"/>
        <v>0</v>
      </c>
      <c r="AC705" s="739">
        <f t="shared" si="499"/>
        <v>0</v>
      </c>
    </row>
    <row r="706" spans="1:29">
      <c r="A706" s="739" t="s">
        <v>2025</v>
      </c>
      <c r="B706" s="739" t="s">
        <v>2025</v>
      </c>
      <c r="C706" s="739" t="s">
        <v>2026</v>
      </c>
      <c r="D706" s="739" t="s">
        <v>2026</v>
      </c>
      <c r="E706" s="791">
        <v>460000</v>
      </c>
      <c r="G706" s="739" t="str">
        <f t="shared" si="495"/>
        <v>013801</v>
      </c>
      <c r="J706" s="739">
        <v>7000</v>
      </c>
      <c r="Q706" s="773">
        <v>100</v>
      </c>
      <c r="T706" s="775" t="str">
        <f t="shared" si="496"/>
        <v>023801</v>
      </c>
      <c r="W706" s="739" t="s">
        <v>2032</v>
      </c>
      <c r="Y706" s="775">
        <f t="shared" si="497"/>
        <v>2017</v>
      </c>
      <c r="Z706" s="775">
        <v>12</v>
      </c>
      <c r="AB706" s="739">
        <f t="shared" si="498"/>
        <v>0</v>
      </c>
      <c r="AC706" s="739">
        <f t="shared" si="499"/>
        <v>0</v>
      </c>
    </row>
    <row r="707" spans="1:29">
      <c r="A707" s="739" t="s">
        <v>2025</v>
      </c>
      <c r="B707" s="739" t="s">
        <v>2025</v>
      </c>
      <c r="C707" s="739" t="s">
        <v>2026</v>
      </c>
      <c r="D707" s="739" t="s">
        <v>2026</v>
      </c>
      <c r="E707" s="791">
        <v>460000</v>
      </c>
      <c r="G707" s="739" t="str">
        <f t="shared" si="495"/>
        <v>013801</v>
      </c>
      <c r="J707" s="739">
        <v>7000</v>
      </c>
      <c r="Q707" s="773">
        <v>200</v>
      </c>
      <c r="T707" s="775" t="str">
        <f t="shared" si="496"/>
        <v>023801</v>
      </c>
      <c r="W707" s="739" t="s">
        <v>2032</v>
      </c>
      <c r="Y707" s="775">
        <f t="shared" si="497"/>
        <v>2017</v>
      </c>
      <c r="Z707" s="775">
        <v>12</v>
      </c>
      <c r="AB707" s="739">
        <f t="shared" si="498"/>
        <v>0</v>
      </c>
      <c r="AC707" s="739">
        <f t="shared" si="499"/>
        <v>0</v>
      </c>
    </row>
    <row r="708" spans="1:29">
      <c r="A708" s="739" t="s">
        <v>2025</v>
      </c>
      <c r="B708" s="739" t="s">
        <v>2025</v>
      </c>
      <c r="C708" s="739" t="s">
        <v>2026</v>
      </c>
      <c r="D708" s="739" t="s">
        <v>2026</v>
      </c>
      <c r="E708" s="791">
        <v>460000</v>
      </c>
      <c r="G708" s="739" t="str">
        <f t="shared" si="495"/>
        <v>013801</v>
      </c>
      <c r="J708" s="739">
        <v>7000</v>
      </c>
      <c r="Q708" s="773">
        <v>610</v>
      </c>
      <c r="T708" s="775" t="str">
        <f t="shared" si="496"/>
        <v>023801</v>
      </c>
      <c r="W708" s="739" t="s">
        <v>2032</v>
      </c>
      <c r="Y708" s="775">
        <f t="shared" si="497"/>
        <v>2017</v>
      </c>
      <c r="Z708" s="775">
        <v>12</v>
      </c>
      <c r="AB708" s="739">
        <f t="shared" si="498"/>
        <v>0</v>
      </c>
      <c r="AC708" s="739">
        <f t="shared" si="499"/>
        <v>0</v>
      </c>
    </row>
    <row r="709" spans="1:29">
      <c r="A709" s="739" t="s">
        <v>2025</v>
      </c>
      <c r="B709" s="739" t="s">
        <v>2025</v>
      </c>
      <c r="C709" s="739" t="s">
        <v>2026</v>
      </c>
      <c r="D709" s="739" t="s">
        <v>2026</v>
      </c>
      <c r="E709" s="791">
        <v>460000</v>
      </c>
      <c r="G709" s="739" t="str">
        <f t="shared" si="495"/>
        <v>013801</v>
      </c>
      <c r="J709" s="739">
        <v>7000</v>
      </c>
      <c r="Q709" s="773">
        <v>620</v>
      </c>
      <c r="T709" s="775" t="str">
        <f t="shared" si="496"/>
        <v>023801</v>
      </c>
      <c r="W709" s="739" t="s">
        <v>2032</v>
      </c>
      <c r="Y709" s="775">
        <f t="shared" si="497"/>
        <v>2017</v>
      </c>
      <c r="Z709" s="775">
        <v>12</v>
      </c>
      <c r="AB709" s="739">
        <f t="shared" si="498"/>
        <v>0</v>
      </c>
      <c r="AC709" s="739">
        <f t="shared" si="499"/>
        <v>0</v>
      </c>
    </row>
    <row r="710" spans="1:29">
      <c r="A710" s="739" t="s">
        <v>2025</v>
      </c>
      <c r="B710" s="739" t="s">
        <v>2025</v>
      </c>
      <c r="C710" s="739" t="s">
        <v>2026</v>
      </c>
      <c r="D710" s="739" t="s">
        <v>2026</v>
      </c>
      <c r="E710" s="791">
        <v>460000</v>
      </c>
      <c r="G710" s="739" t="str">
        <f t="shared" si="495"/>
        <v>013801</v>
      </c>
      <c r="J710" s="739">
        <v>7000</v>
      </c>
      <c r="Q710" s="773">
        <v>900</v>
      </c>
      <c r="T710" s="775" t="str">
        <f t="shared" si="496"/>
        <v>023801</v>
      </c>
      <c r="W710" s="739" t="s">
        <v>2032</v>
      </c>
      <c r="Y710" s="775">
        <f t="shared" si="497"/>
        <v>2017</v>
      </c>
      <c r="Z710" s="775">
        <v>12</v>
      </c>
      <c r="AB710" s="739">
        <f t="shared" si="498"/>
        <v>0</v>
      </c>
      <c r="AC710" s="739">
        <f t="shared" si="499"/>
        <v>0</v>
      </c>
    </row>
    <row r="711" spans="1:29">
      <c r="A711" s="739" t="s">
        <v>2025</v>
      </c>
      <c r="B711" s="739" t="s">
        <v>2025</v>
      </c>
      <c r="C711" s="739" t="s">
        <v>2026</v>
      </c>
      <c r="D711" s="739" t="s">
        <v>2026</v>
      </c>
      <c r="E711" s="791">
        <v>470000</v>
      </c>
      <c r="G711" s="739" t="str">
        <f t="shared" si="495"/>
        <v>013801</v>
      </c>
      <c r="J711" s="739">
        <v>7000</v>
      </c>
      <c r="Q711" s="773">
        <v>100</v>
      </c>
      <c r="T711" s="775" t="str">
        <f t="shared" si="496"/>
        <v>023801</v>
      </c>
      <c r="W711" s="739" t="s">
        <v>2032</v>
      </c>
      <c r="Y711" s="775">
        <f t="shared" si="497"/>
        <v>2017</v>
      </c>
      <c r="Z711" s="775">
        <v>12</v>
      </c>
      <c r="AB711" s="739">
        <f t="shared" si="498"/>
        <v>0</v>
      </c>
      <c r="AC711" s="739">
        <f t="shared" si="499"/>
        <v>0</v>
      </c>
    </row>
    <row r="712" spans="1:29">
      <c r="A712" s="739" t="s">
        <v>2025</v>
      </c>
      <c r="B712" s="739" t="s">
        <v>2025</v>
      </c>
      <c r="C712" s="739" t="s">
        <v>2026</v>
      </c>
      <c r="D712" s="739" t="s">
        <v>2026</v>
      </c>
      <c r="E712" s="791">
        <v>470000</v>
      </c>
      <c r="G712" s="739" t="str">
        <f t="shared" si="495"/>
        <v>013801</v>
      </c>
      <c r="J712" s="739">
        <v>7000</v>
      </c>
      <c r="Q712" s="773">
        <v>200</v>
      </c>
      <c r="T712" s="775" t="str">
        <f t="shared" si="496"/>
        <v>023801</v>
      </c>
      <c r="W712" s="739" t="s">
        <v>2032</v>
      </c>
      <c r="Y712" s="775">
        <f t="shared" si="497"/>
        <v>2017</v>
      </c>
      <c r="Z712" s="775">
        <v>12</v>
      </c>
      <c r="AB712" s="739">
        <f t="shared" si="498"/>
        <v>0</v>
      </c>
      <c r="AC712" s="739">
        <f t="shared" si="499"/>
        <v>0</v>
      </c>
    </row>
    <row r="713" spans="1:29">
      <c r="A713" s="739" t="s">
        <v>2025</v>
      </c>
      <c r="B713" s="739" t="s">
        <v>2025</v>
      </c>
      <c r="C713" s="739" t="s">
        <v>2026</v>
      </c>
      <c r="D713" s="739" t="s">
        <v>2026</v>
      </c>
      <c r="E713" s="791">
        <v>470000</v>
      </c>
      <c r="G713" s="739" t="str">
        <f t="shared" si="495"/>
        <v>013801</v>
      </c>
      <c r="J713" s="739">
        <v>7000</v>
      </c>
      <c r="Q713" s="773">
        <v>610</v>
      </c>
      <c r="T713" s="775" t="str">
        <f t="shared" si="496"/>
        <v>023801</v>
      </c>
      <c r="W713" s="739" t="s">
        <v>2032</v>
      </c>
      <c r="Y713" s="775">
        <f t="shared" si="497"/>
        <v>2017</v>
      </c>
      <c r="Z713" s="775">
        <v>12</v>
      </c>
      <c r="AB713" s="739">
        <f t="shared" si="498"/>
        <v>0</v>
      </c>
      <c r="AC713" s="739">
        <f t="shared" si="499"/>
        <v>0</v>
      </c>
    </row>
    <row r="714" spans="1:29">
      <c r="A714" s="739" t="s">
        <v>2025</v>
      </c>
      <c r="B714" s="739" t="s">
        <v>2025</v>
      </c>
      <c r="C714" s="739" t="s">
        <v>2026</v>
      </c>
      <c r="D714" s="739" t="s">
        <v>2026</v>
      </c>
      <c r="E714" s="791">
        <v>470000</v>
      </c>
      <c r="G714" s="739" t="str">
        <f t="shared" si="495"/>
        <v>013801</v>
      </c>
      <c r="J714" s="739">
        <v>7000</v>
      </c>
      <c r="Q714" s="773">
        <v>620</v>
      </c>
      <c r="T714" s="775" t="str">
        <f t="shared" si="496"/>
        <v>023801</v>
      </c>
      <c r="W714" s="739" t="s">
        <v>2032</v>
      </c>
      <c r="Y714" s="775">
        <f t="shared" si="497"/>
        <v>2017</v>
      </c>
      <c r="Z714" s="775">
        <v>12</v>
      </c>
      <c r="AB714" s="739">
        <f t="shared" si="498"/>
        <v>0</v>
      </c>
      <c r="AC714" s="739">
        <f t="shared" si="499"/>
        <v>0</v>
      </c>
    </row>
    <row r="715" spans="1:29">
      <c r="A715" s="739" t="s">
        <v>2025</v>
      </c>
      <c r="B715" s="739" t="s">
        <v>2025</v>
      </c>
      <c r="C715" s="739" t="s">
        <v>2026</v>
      </c>
      <c r="D715" s="739" t="s">
        <v>2026</v>
      </c>
      <c r="E715" s="791">
        <v>470000</v>
      </c>
      <c r="G715" s="739" t="str">
        <f t="shared" si="495"/>
        <v>013801</v>
      </c>
      <c r="J715" s="739">
        <v>7000</v>
      </c>
      <c r="Q715" s="773">
        <v>900</v>
      </c>
      <c r="T715" s="775" t="str">
        <f t="shared" si="496"/>
        <v>023801</v>
      </c>
      <c r="W715" s="739" t="s">
        <v>2032</v>
      </c>
      <c r="Y715" s="775">
        <f t="shared" si="497"/>
        <v>2017</v>
      </c>
      <c r="Z715" s="775">
        <v>12</v>
      </c>
      <c r="AB715" s="739">
        <f t="shared" si="498"/>
        <v>0</v>
      </c>
      <c r="AC715" s="739">
        <f t="shared" si="499"/>
        <v>0</v>
      </c>
    </row>
    <row r="716" spans="1:29">
      <c r="A716" s="739" t="s">
        <v>2025</v>
      </c>
      <c r="B716" s="739" t="s">
        <v>2025</v>
      </c>
      <c r="C716" s="739" t="s">
        <v>2026</v>
      </c>
      <c r="D716" s="739" t="s">
        <v>2026</v>
      </c>
      <c r="E716" s="791">
        <v>480000</v>
      </c>
      <c r="G716" s="739" t="str">
        <f t="shared" ref="G716:G779" si="500">$G$6</f>
        <v>013801</v>
      </c>
      <c r="J716" s="739">
        <v>7000</v>
      </c>
      <c r="Q716" s="773">
        <v>100</v>
      </c>
      <c r="T716" s="775" t="str">
        <f t="shared" ref="T716:T779" si="501">$T$6</f>
        <v>023801</v>
      </c>
      <c r="W716" s="739" t="s">
        <v>2032</v>
      </c>
      <c r="Y716" s="775">
        <f t="shared" ref="Y716:Y779" si="502">$Y$6</f>
        <v>2017</v>
      </c>
      <c r="Z716" s="775">
        <v>12</v>
      </c>
      <c r="AB716" s="739">
        <f t="shared" si="498"/>
        <v>0</v>
      </c>
      <c r="AC716" s="739">
        <f t="shared" si="499"/>
        <v>0</v>
      </c>
    </row>
    <row r="717" spans="1:29">
      <c r="A717" s="739" t="s">
        <v>2025</v>
      </c>
      <c r="B717" s="739" t="s">
        <v>2025</v>
      </c>
      <c r="C717" s="739" t="s">
        <v>2026</v>
      </c>
      <c r="D717" s="739" t="s">
        <v>2026</v>
      </c>
      <c r="E717" s="791">
        <v>480000</v>
      </c>
      <c r="G717" s="739" t="str">
        <f t="shared" si="500"/>
        <v>013801</v>
      </c>
      <c r="J717" s="739">
        <v>7000</v>
      </c>
      <c r="Q717" s="773">
        <v>200</v>
      </c>
      <c r="T717" s="775" t="str">
        <f t="shared" si="501"/>
        <v>023801</v>
      </c>
      <c r="W717" s="739" t="s">
        <v>2032</v>
      </c>
      <c r="Y717" s="775">
        <f t="shared" si="502"/>
        <v>2017</v>
      </c>
      <c r="Z717" s="775">
        <v>12</v>
      </c>
      <c r="AB717" s="739">
        <f t="shared" si="498"/>
        <v>0</v>
      </c>
      <c r="AC717" s="739">
        <f t="shared" si="499"/>
        <v>0</v>
      </c>
    </row>
    <row r="718" spans="1:29">
      <c r="A718" s="739" t="s">
        <v>2025</v>
      </c>
      <c r="B718" s="739" t="s">
        <v>2025</v>
      </c>
      <c r="C718" s="739" t="s">
        <v>2026</v>
      </c>
      <c r="D718" s="739" t="s">
        <v>2026</v>
      </c>
      <c r="E718" s="791">
        <v>480000</v>
      </c>
      <c r="G718" s="739" t="str">
        <f t="shared" si="500"/>
        <v>013801</v>
      </c>
      <c r="J718" s="739">
        <v>7000</v>
      </c>
      <c r="Q718" s="773">
        <v>610</v>
      </c>
      <c r="T718" s="775" t="str">
        <f t="shared" si="501"/>
        <v>023801</v>
      </c>
      <c r="W718" s="739" t="s">
        <v>2032</v>
      </c>
      <c r="Y718" s="775">
        <f t="shared" si="502"/>
        <v>2017</v>
      </c>
      <c r="Z718" s="775">
        <v>12</v>
      </c>
      <c r="AB718" s="739">
        <f t="shared" si="498"/>
        <v>0</v>
      </c>
      <c r="AC718" s="739">
        <f t="shared" si="499"/>
        <v>0</v>
      </c>
    </row>
    <row r="719" spans="1:29">
      <c r="A719" s="739" t="s">
        <v>2025</v>
      </c>
      <c r="B719" s="739" t="s">
        <v>2025</v>
      </c>
      <c r="C719" s="739" t="s">
        <v>2026</v>
      </c>
      <c r="D719" s="739" t="s">
        <v>2026</v>
      </c>
      <c r="E719" s="791">
        <v>480000</v>
      </c>
      <c r="G719" s="739" t="str">
        <f t="shared" si="500"/>
        <v>013801</v>
      </c>
      <c r="J719" s="739">
        <v>7000</v>
      </c>
      <c r="Q719" s="773">
        <v>620</v>
      </c>
      <c r="T719" s="775" t="str">
        <f t="shared" si="501"/>
        <v>023801</v>
      </c>
      <c r="W719" s="739" t="s">
        <v>2032</v>
      </c>
      <c r="Y719" s="775">
        <f t="shared" si="502"/>
        <v>2017</v>
      </c>
      <c r="Z719" s="775">
        <v>12</v>
      </c>
      <c r="AB719" s="739">
        <f t="shared" si="498"/>
        <v>0</v>
      </c>
      <c r="AC719" s="739">
        <f t="shared" si="499"/>
        <v>0</v>
      </c>
    </row>
    <row r="720" spans="1:29">
      <c r="A720" s="739" t="s">
        <v>2025</v>
      </c>
      <c r="B720" s="739" t="s">
        <v>2025</v>
      </c>
      <c r="C720" s="739" t="s">
        <v>2026</v>
      </c>
      <c r="D720" s="739" t="s">
        <v>2026</v>
      </c>
      <c r="E720" s="791">
        <v>480000</v>
      </c>
      <c r="G720" s="739" t="str">
        <f t="shared" si="500"/>
        <v>013801</v>
      </c>
      <c r="J720" s="739">
        <v>7000</v>
      </c>
      <c r="Q720" s="773">
        <v>900</v>
      </c>
      <c r="T720" s="775" t="str">
        <f t="shared" si="501"/>
        <v>023801</v>
      </c>
      <c r="W720" s="739" t="s">
        <v>2032</v>
      </c>
      <c r="Y720" s="775">
        <f t="shared" si="502"/>
        <v>2017</v>
      </c>
      <c r="Z720" s="775">
        <v>12</v>
      </c>
      <c r="AB720" s="739">
        <f t="shared" si="498"/>
        <v>0</v>
      </c>
      <c r="AC720" s="739">
        <f t="shared" si="499"/>
        <v>0</v>
      </c>
    </row>
    <row r="721" spans="1:29">
      <c r="A721" s="739" t="s">
        <v>2025</v>
      </c>
      <c r="B721" s="739" t="s">
        <v>2025</v>
      </c>
      <c r="C721" s="739" t="s">
        <v>2026</v>
      </c>
      <c r="D721" s="739" t="s">
        <v>2026</v>
      </c>
      <c r="E721" s="791">
        <v>490000</v>
      </c>
      <c r="G721" s="739" t="str">
        <f t="shared" si="500"/>
        <v>013801</v>
      </c>
      <c r="J721" s="739">
        <v>7000</v>
      </c>
      <c r="Q721" s="773">
        <v>100</v>
      </c>
      <c r="T721" s="775" t="str">
        <f t="shared" si="501"/>
        <v>023801</v>
      </c>
      <c r="W721" s="739" t="s">
        <v>2032</v>
      </c>
      <c r="Y721" s="775">
        <f t="shared" si="502"/>
        <v>2017</v>
      </c>
      <c r="Z721" s="775">
        <v>12</v>
      </c>
      <c r="AB721" s="739">
        <f t="shared" si="498"/>
        <v>0</v>
      </c>
      <c r="AC721" s="739">
        <f t="shared" si="499"/>
        <v>0</v>
      </c>
    </row>
    <row r="722" spans="1:29">
      <c r="A722" s="739" t="s">
        <v>2025</v>
      </c>
      <c r="B722" s="739" t="s">
        <v>2025</v>
      </c>
      <c r="C722" s="739" t="s">
        <v>2026</v>
      </c>
      <c r="D722" s="739" t="s">
        <v>2026</v>
      </c>
      <c r="E722" s="791">
        <v>490000</v>
      </c>
      <c r="G722" s="739" t="str">
        <f t="shared" si="500"/>
        <v>013801</v>
      </c>
      <c r="J722" s="739">
        <v>7000</v>
      </c>
      <c r="Q722" s="773">
        <v>200</v>
      </c>
      <c r="T722" s="775" t="str">
        <f t="shared" si="501"/>
        <v>023801</v>
      </c>
      <c r="W722" s="739" t="s">
        <v>2032</v>
      </c>
      <c r="Y722" s="775">
        <f t="shared" si="502"/>
        <v>2017</v>
      </c>
      <c r="Z722" s="775">
        <v>12</v>
      </c>
      <c r="AB722" s="739">
        <f t="shared" si="498"/>
        <v>0</v>
      </c>
      <c r="AC722" s="739">
        <f t="shared" si="499"/>
        <v>0</v>
      </c>
    </row>
    <row r="723" spans="1:29">
      <c r="A723" s="739" t="s">
        <v>2025</v>
      </c>
      <c r="B723" s="739" t="s">
        <v>2025</v>
      </c>
      <c r="C723" s="739" t="s">
        <v>2026</v>
      </c>
      <c r="D723" s="739" t="s">
        <v>2026</v>
      </c>
      <c r="E723" s="791">
        <v>490000</v>
      </c>
      <c r="G723" s="739" t="str">
        <f t="shared" si="500"/>
        <v>013801</v>
      </c>
      <c r="J723" s="739">
        <v>7000</v>
      </c>
      <c r="Q723" s="773">
        <v>610</v>
      </c>
      <c r="T723" s="775" t="str">
        <f t="shared" si="501"/>
        <v>023801</v>
      </c>
      <c r="W723" s="739" t="s">
        <v>2032</v>
      </c>
      <c r="Y723" s="775">
        <f t="shared" si="502"/>
        <v>2017</v>
      </c>
      <c r="Z723" s="775">
        <v>12</v>
      </c>
      <c r="AB723" s="739">
        <f t="shared" si="498"/>
        <v>0</v>
      </c>
      <c r="AC723" s="739">
        <f t="shared" si="499"/>
        <v>0</v>
      </c>
    </row>
    <row r="724" spans="1:29">
      <c r="A724" s="739" t="s">
        <v>2025</v>
      </c>
      <c r="B724" s="739" t="s">
        <v>2025</v>
      </c>
      <c r="C724" s="739" t="s">
        <v>2026</v>
      </c>
      <c r="D724" s="739" t="s">
        <v>2026</v>
      </c>
      <c r="E724" s="791">
        <v>490000</v>
      </c>
      <c r="G724" s="739" t="str">
        <f t="shared" si="500"/>
        <v>013801</v>
      </c>
      <c r="J724" s="739">
        <v>7000</v>
      </c>
      <c r="Q724" s="773">
        <v>620</v>
      </c>
      <c r="T724" s="775" t="str">
        <f t="shared" si="501"/>
        <v>023801</v>
      </c>
      <c r="W724" s="739" t="s">
        <v>2032</v>
      </c>
      <c r="Y724" s="775">
        <f t="shared" si="502"/>
        <v>2017</v>
      </c>
      <c r="Z724" s="775">
        <v>12</v>
      </c>
      <c r="AB724" s="739">
        <f t="shared" si="498"/>
        <v>0</v>
      </c>
      <c r="AC724" s="739">
        <f t="shared" si="499"/>
        <v>0</v>
      </c>
    </row>
    <row r="725" spans="1:29">
      <c r="A725" s="739" t="s">
        <v>2025</v>
      </c>
      <c r="B725" s="739" t="s">
        <v>2025</v>
      </c>
      <c r="C725" s="739" t="s">
        <v>2026</v>
      </c>
      <c r="D725" s="739" t="s">
        <v>2026</v>
      </c>
      <c r="E725" s="791">
        <v>490000</v>
      </c>
      <c r="G725" s="739" t="str">
        <f t="shared" si="500"/>
        <v>013801</v>
      </c>
      <c r="J725" s="739">
        <v>7000</v>
      </c>
      <c r="Q725" s="773">
        <v>900</v>
      </c>
      <c r="T725" s="775" t="str">
        <f t="shared" si="501"/>
        <v>023801</v>
      </c>
      <c r="W725" s="739" t="s">
        <v>2032</v>
      </c>
      <c r="Y725" s="775">
        <f t="shared" si="502"/>
        <v>2017</v>
      </c>
      <c r="Z725" s="775">
        <v>12</v>
      </c>
      <c r="AB725" s="739">
        <f t="shared" si="498"/>
        <v>0</v>
      </c>
      <c r="AC725" s="739">
        <f t="shared" si="499"/>
        <v>0</v>
      </c>
    </row>
    <row r="726" spans="1:29">
      <c r="A726" s="739" t="s">
        <v>2025</v>
      </c>
      <c r="B726" s="739" t="s">
        <v>2025</v>
      </c>
      <c r="C726" s="739" t="s">
        <v>2026</v>
      </c>
      <c r="D726" s="739" t="s">
        <v>2026</v>
      </c>
      <c r="E726" s="791">
        <v>500000</v>
      </c>
      <c r="G726" s="739" t="str">
        <f t="shared" si="500"/>
        <v>013801</v>
      </c>
      <c r="J726" s="739">
        <v>7000</v>
      </c>
      <c r="Q726" s="773">
        <v>100</v>
      </c>
      <c r="T726" s="775" t="str">
        <f t="shared" si="501"/>
        <v>023801</v>
      </c>
      <c r="W726" s="739" t="s">
        <v>2032</v>
      </c>
      <c r="Y726" s="775">
        <f t="shared" si="502"/>
        <v>2017</v>
      </c>
      <c r="Z726" s="775">
        <v>12</v>
      </c>
      <c r="AB726" s="739">
        <f t="shared" si="498"/>
        <v>0</v>
      </c>
      <c r="AC726" s="739">
        <f t="shared" si="499"/>
        <v>0</v>
      </c>
    </row>
    <row r="727" spans="1:29">
      <c r="A727" s="739" t="s">
        <v>2025</v>
      </c>
      <c r="B727" s="739" t="s">
        <v>2025</v>
      </c>
      <c r="C727" s="739" t="s">
        <v>2026</v>
      </c>
      <c r="D727" s="739" t="s">
        <v>2026</v>
      </c>
      <c r="E727" s="791">
        <v>500000</v>
      </c>
      <c r="G727" s="739" t="str">
        <f t="shared" si="500"/>
        <v>013801</v>
      </c>
      <c r="J727" s="739">
        <v>7000</v>
      </c>
      <c r="Q727" s="773">
        <v>200</v>
      </c>
      <c r="T727" s="775" t="str">
        <f t="shared" si="501"/>
        <v>023801</v>
      </c>
      <c r="W727" s="739" t="s">
        <v>2032</v>
      </c>
      <c r="Y727" s="775">
        <f t="shared" si="502"/>
        <v>2017</v>
      </c>
      <c r="Z727" s="775">
        <v>12</v>
      </c>
      <c r="AB727" s="739">
        <f t="shared" si="498"/>
        <v>0</v>
      </c>
      <c r="AC727" s="739">
        <f t="shared" si="499"/>
        <v>0</v>
      </c>
    </row>
    <row r="728" spans="1:29">
      <c r="A728" s="739" t="s">
        <v>2025</v>
      </c>
      <c r="B728" s="739" t="s">
        <v>2025</v>
      </c>
      <c r="C728" s="739" t="s">
        <v>2026</v>
      </c>
      <c r="D728" s="739" t="s">
        <v>2026</v>
      </c>
      <c r="E728" s="791">
        <v>500000</v>
      </c>
      <c r="G728" s="739" t="str">
        <f t="shared" si="500"/>
        <v>013801</v>
      </c>
      <c r="J728" s="739">
        <v>7000</v>
      </c>
      <c r="Q728" s="773">
        <v>610</v>
      </c>
      <c r="T728" s="775" t="str">
        <f t="shared" si="501"/>
        <v>023801</v>
      </c>
      <c r="W728" s="739" t="s">
        <v>2032</v>
      </c>
      <c r="Y728" s="775">
        <f t="shared" si="502"/>
        <v>2017</v>
      </c>
      <c r="Z728" s="775">
        <v>12</v>
      </c>
      <c r="AB728" s="739">
        <f t="shared" si="498"/>
        <v>0</v>
      </c>
      <c r="AC728" s="739">
        <f t="shared" si="499"/>
        <v>0</v>
      </c>
    </row>
    <row r="729" spans="1:29">
      <c r="A729" s="739" t="s">
        <v>2025</v>
      </c>
      <c r="B729" s="739" t="s">
        <v>2025</v>
      </c>
      <c r="C729" s="739" t="s">
        <v>2026</v>
      </c>
      <c r="D729" s="739" t="s">
        <v>2026</v>
      </c>
      <c r="E729" s="791">
        <v>500000</v>
      </c>
      <c r="G729" s="739" t="str">
        <f t="shared" si="500"/>
        <v>013801</v>
      </c>
      <c r="J729" s="739">
        <v>7000</v>
      </c>
      <c r="Q729" s="773">
        <v>620</v>
      </c>
      <c r="T729" s="775" t="str">
        <f t="shared" si="501"/>
        <v>023801</v>
      </c>
      <c r="W729" s="739" t="s">
        <v>2032</v>
      </c>
      <c r="Y729" s="775">
        <f t="shared" si="502"/>
        <v>2017</v>
      </c>
      <c r="Z729" s="775">
        <v>12</v>
      </c>
      <c r="AB729" s="739">
        <f t="shared" si="498"/>
        <v>0</v>
      </c>
      <c r="AC729" s="739">
        <f t="shared" si="499"/>
        <v>0</v>
      </c>
    </row>
    <row r="730" spans="1:29">
      <c r="A730" s="739" t="s">
        <v>2025</v>
      </c>
      <c r="B730" s="739" t="s">
        <v>2025</v>
      </c>
      <c r="C730" s="739" t="s">
        <v>2026</v>
      </c>
      <c r="D730" s="739" t="s">
        <v>2026</v>
      </c>
      <c r="E730" s="791">
        <v>500000</v>
      </c>
      <c r="G730" s="739" t="str">
        <f t="shared" si="500"/>
        <v>013801</v>
      </c>
      <c r="J730" s="739">
        <v>7000</v>
      </c>
      <c r="Q730" s="773">
        <v>900</v>
      </c>
      <c r="T730" s="775" t="str">
        <f t="shared" si="501"/>
        <v>023801</v>
      </c>
      <c r="W730" s="739" t="s">
        <v>2032</v>
      </c>
      <c r="Y730" s="775">
        <f t="shared" si="502"/>
        <v>2017</v>
      </c>
      <c r="Z730" s="775">
        <v>12</v>
      </c>
      <c r="AB730" s="739">
        <f t="shared" si="498"/>
        <v>0</v>
      </c>
      <c r="AC730" s="739">
        <f t="shared" si="499"/>
        <v>0</v>
      </c>
    </row>
    <row r="731" spans="1:29">
      <c r="A731" s="739" t="s">
        <v>2025</v>
      </c>
      <c r="B731" s="739" t="s">
        <v>2025</v>
      </c>
      <c r="C731" s="739" t="s">
        <v>2026</v>
      </c>
      <c r="D731" s="739" t="s">
        <v>2026</v>
      </c>
      <c r="E731" s="791">
        <v>510000</v>
      </c>
      <c r="G731" s="739" t="str">
        <f t="shared" si="500"/>
        <v>013801</v>
      </c>
      <c r="J731" s="739">
        <v>7000</v>
      </c>
      <c r="Q731" s="773">
        <v>100</v>
      </c>
      <c r="T731" s="775" t="str">
        <f t="shared" si="501"/>
        <v>023801</v>
      </c>
      <c r="W731" s="739" t="s">
        <v>2032</v>
      </c>
      <c r="Y731" s="775">
        <f t="shared" si="502"/>
        <v>2017</v>
      </c>
      <c r="Z731" s="775">
        <v>12</v>
      </c>
      <c r="AB731" s="739">
        <f t="shared" si="498"/>
        <v>0</v>
      </c>
      <c r="AC731" s="739">
        <f t="shared" si="499"/>
        <v>0</v>
      </c>
    </row>
    <row r="732" spans="1:29">
      <c r="A732" s="739" t="s">
        <v>2025</v>
      </c>
      <c r="B732" s="739" t="s">
        <v>2025</v>
      </c>
      <c r="C732" s="739" t="s">
        <v>2026</v>
      </c>
      <c r="D732" s="739" t="s">
        <v>2026</v>
      </c>
      <c r="E732" s="792">
        <v>510000</v>
      </c>
      <c r="G732" s="739" t="str">
        <f t="shared" si="500"/>
        <v>013801</v>
      </c>
      <c r="J732" s="739">
        <v>7000</v>
      </c>
      <c r="Q732" s="773">
        <v>200</v>
      </c>
      <c r="T732" s="775" t="str">
        <f t="shared" si="501"/>
        <v>023801</v>
      </c>
      <c r="W732" s="739" t="s">
        <v>2032</v>
      </c>
      <c r="Y732" s="775">
        <f t="shared" si="502"/>
        <v>2017</v>
      </c>
      <c r="Z732" s="775">
        <v>12</v>
      </c>
      <c r="AA732" s="739">
        <f>'CHANGE NET POSITION-FIDUC(22)'!D28+'CHANGE NET POSITION-FIDUC(22)'!E28+'CHANGE NET POSITION-FIDUC(22)'!F28</f>
        <v>0</v>
      </c>
      <c r="AB732" s="739">
        <f t="shared" si="498"/>
        <v>0</v>
      </c>
      <c r="AC732" s="739">
        <f t="shared" si="499"/>
        <v>0</v>
      </c>
    </row>
    <row r="733" spans="1:29">
      <c r="A733" s="739" t="s">
        <v>2025</v>
      </c>
      <c r="B733" s="739" t="s">
        <v>2025</v>
      </c>
      <c r="C733" s="739" t="s">
        <v>2026</v>
      </c>
      <c r="D733" s="739" t="s">
        <v>2026</v>
      </c>
      <c r="E733" s="791">
        <v>510000</v>
      </c>
      <c r="G733" s="739" t="str">
        <f t="shared" si="500"/>
        <v>013801</v>
      </c>
      <c r="J733" s="739">
        <v>7000</v>
      </c>
      <c r="Q733" s="773">
        <v>610</v>
      </c>
      <c r="T733" s="775" t="str">
        <f t="shared" si="501"/>
        <v>023801</v>
      </c>
      <c r="W733" s="739" t="s">
        <v>2032</v>
      </c>
      <c r="Y733" s="775">
        <f t="shared" si="502"/>
        <v>2017</v>
      </c>
      <c r="Z733" s="775">
        <v>12</v>
      </c>
      <c r="AB733" s="739">
        <f t="shared" si="498"/>
        <v>0</v>
      </c>
      <c r="AC733" s="739">
        <f t="shared" si="499"/>
        <v>0</v>
      </c>
    </row>
    <row r="734" spans="1:29">
      <c r="A734" s="739" t="s">
        <v>2025</v>
      </c>
      <c r="B734" s="739" t="s">
        <v>2025</v>
      </c>
      <c r="C734" s="739" t="s">
        <v>2026</v>
      </c>
      <c r="D734" s="739" t="s">
        <v>2026</v>
      </c>
      <c r="E734" s="791">
        <v>510000</v>
      </c>
      <c r="G734" s="739" t="str">
        <f t="shared" si="500"/>
        <v>013801</v>
      </c>
      <c r="J734" s="739">
        <v>7000</v>
      </c>
      <c r="Q734" s="773">
        <v>620</v>
      </c>
      <c r="T734" s="775" t="str">
        <f t="shared" si="501"/>
        <v>023801</v>
      </c>
      <c r="W734" s="739" t="s">
        <v>2032</v>
      </c>
      <c r="Y734" s="775">
        <f t="shared" si="502"/>
        <v>2017</v>
      </c>
      <c r="Z734" s="775">
        <v>12</v>
      </c>
      <c r="AB734" s="739">
        <f t="shared" si="498"/>
        <v>0</v>
      </c>
      <c r="AC734" s="739">
        <f t="shared" si="499"/>
        <v>0</v>
      </c>
    </row>
    <row r="735" spans="1:29">
      <c r="A735" s="739" t="s">
        <v>2025</v>
      </c>
      <c r="B735" s="739" t="s">
        <v>2025</v>
      </c>
      <c r="C735" s="739" t="s">
        <v>2026</v>
      </c>
      <c r="D735" s="739" t="s">
        <v>2026</v>
      </c>
      <c r="E735" s="791">
        <v>510000</v>
      </c>
      <c r="G735" s="739" t="str">
        <f t="shared" si="500"/>
        <v>013801</v>
      </c>
      <c r="J735" s="739">
        <v>7000</v>
      </c>
      <c r="Q735" s="773">
        <v>900</v>
      </c>
      <c r="T735" s="775" t="str">
        <f t="shared" si="501"/>
        <v>023801</v>
      </c>
      <c r="W735" s="739" t="s">
        <v>2032</v>
      </c>
      <c r="Y735" s="775">
        <f t="shared" si="502"/>
        <v>2017</v>
      </c>
      <c r="Z735" s="775">
        <v>12</v>
      </c>
      <c r="AB735" s="739">
        <f t="shared" si="498"/>
        <v>0</v>
      </c>
      <c r="AC735" s="739">
        <f t="shared" si="499"/>
        <v>0</v>
      </c>
    </row>
    <row r="736" spans="1:29">
      <c r="A736" s="739" t="s">
        <v>2025</v>
      </c>
      <c r="B736" s="739" t="s">
        <v>2025</v>
      </c>
      <c r="C736" s="739" t="s">
        <v>2026</v>
      </c>
      <c r="D736" s="739" t="s">
        <v>2026</v>
      </c>
      <c r="E736" s="791">
        <v>520000</v>
      </c>
      <c r="G736" s="739" t="str">
        <f t="shared" si="500"/>
        <v>013801</v>
      </c>
      <c r="J736" s="739">
        <v>7000</v>
      </c>
      <c r="Q736" s="773">
        <v>100</v>
      </c>
      <c r="T736" s="775" t="str">
        <f t="shared" si="501"/>
        <v>023801</v>
      </c>
      <c r="W736" s="739" t="s">
        <v>2032</v>
      </c>
      <c r="Y736" s="775">
        <f t="shared" si="502"/>
        <v>2017</v>
      </c>
      <c r="Z736" s="775">
        <v>12</v>
      </c>
      <c r="AB736" s="739">
        <f t="shared" si="498"/>
        <v>0</v>
      </c>
      <c r="AC736" s="739">
        <f t="shared" si="499"/>
        <v>0</v>
      </c>
    </row>
    <row r="737" spans="1:29">
      <c r="A737" s="739" t="s">
        <v>2025</v>
      </c>
      <c r="B737" s="739" t="s">
        <v>2025</v>
      </c>
      <c r="C737" s="739" t="s">
        <v>2026</v>
      </c>
      <c r="D737" s="739" t="s">
        <v>2026</v>
      </c>
      <c r="E737" s="791">
        <v>520000</v>
      </c>
      <c r="G737" s="739" t="str">
        <f t="shared" si="500"/>
        <v>013801</v>
      </c>
      <c r="J737" s="739">
        <v>7000</v>
      </c>
      <c r="Q737" s="773">
        <v>200</v>
      </c>
      <c r="T737" s="775" t="str">
        <f t="shared" si="501"/>
        <v>023801</v>
      </c>
      <c r="W737" s="739" t="s">
        <v>2032</v>
      </c>
      <c r="Y737" s="775">
        <f t="shared" si="502"/>
        <v>2017</v>
      </c>
      <c r="Z737" s="775">
        <v>12</v>
      </c>
      <c r="AB737" s="739">
        <f t="shared" si="498"/>
        <v>0</v>
      </c>
      <c r="AC737" s="739">
        <f t="shared" si="499"/>
        <v>0</v>
      </c>
    </row>
    <row r="738" spans="1:29">
      <c r="A738" s="739" t="s">
        <v>2025</v>
      </c>
      <c r="B738" s="739" t="s">
        <v>2025</v>
      </c>
      <c r="C738" s="739" t="s">
        <v>2026</v>
      </c>
      <c r="D738" s="739" t="s">
        <v>2026</v>
      </c>
      <c r="E738" s="791">
        <v>520000</v>
      </c>
      <c r="G738" s="739" t="str">
        <f t="shared" si="500"/>
        <v>013801</v>
      </c>
      <c r="J738" s="739">
        <v>7000</v>
      </c>
      <c r="Q738" s="773">
        <v>610</v>
      </c>
      <c r="T738" s="775" t="str">
        <f t="shared" si="501"/>
        <v>023801</v>
      </c>
      <c r="W738" s="739" t="s">
        <v>2032</v>
      </c>
      <c r="Y738" s="775">
        <f t="shared" si="502"/>
        <v>2017</v>
      </c>
      <c r="Z738" s="775">
        <v>12</v>
      </c>
      <c r="AB738" s="739">
        <f t="shared" si="498"/>
        <v>0</v>
      </c>
      <c r="AC738" s="739">
        <f t="shared" si="499"/>
        <v>0</v>
      </c>
    </row>
    <row r="739" spans="1:29">
      <c r="A739" s="739" t="s">
        <v>2025</v>
      </c>
      <c r="B739" s="739" t="s">
        <v>2025</v>
      </c>
      <c r="C739" s="739" t="s">
        <v>2026</v>
      </c>
      <c r="D739" s="739" t="s">
        <v>2026</v>
      </c>
      <c r="E739" s="791">
        <v>520000</v>
      </c>
      <c r="G739" s="739" t="str">
        <f t="shared" si="500"/>
        <v>013801</v>
      </c>
      <c r="J739" s="739">
        <v>7000</v>
      </c>
      <c r="Q739" s="773">
        <v>620</v>
      </c>
      <c r="T739" s="775" t="str">
        <f t="shared" si="501"/>
        <v>023801</v>
      </c>
      <c r="W739" s="739" t="s">
        <v>2032</v>
      </c>
      <c r="Y739" s="775">
        <f t="shared" si="502"/>
        <v>2017</v>
      </c>
      <c r="Z739" s="775">
        <v>12</v>
      </c>
      <c r="AB739" s="739">
        <f t="shared" si="498"/>
        <v>0</v>
      </c>
      <c r="AC739" s="739">
        <f t="shared" si="499"/>
        <v>0</v>
      </c>
    </row>
    <row r="740" spans="1:29">
      <c r="A740" s="739" t="s">
        <v>2025</v>
      </c>
      <c r="B740" s="739" t="s">
        <v>2025</v>
      </c>
      <c r="C740" s="739" t="s">
        <v>2026</v>
      </c>
      <c r="D740" s="739" t="s">
        <v>2026</v>
      </c>
      <c r="E740" s="791">
        <v>520000</v>
      </c>
      <c r="G740" s="739" t="str">
        <f t="shared" si="500"/>
        <v>013801</v>
      </c>
      <c r="J740" s="739">
        <v>7000</v>
      </c>
      <c r="Q740" s="773">
        <v>900</v>
      </c>
      <c r="T740" s="775" t="str">
        <f t="shared" si="501"/>
        <v>023801</v>
      </c>
      <c r="W740" s="739" t="s">
        <v>2032</v>
      </c>
      <c r="Y740" s="775">
        <f t="shared" si="502"/>
        <v>2017</v>
      </c>
      <c r="Z740" s="775">
        <v>12</v>
      </c>
      <c r="AB740" s="739">
        <f t="shared" si="498"/>
        <v>0</v>
      </c>
      <c r="AC740" s="739">
        <f t="shared" si="499"/>
        <v>0</v>
      </c>
    </row>
    <row r="741" spans="1:29">
      <c r="A741" s="739" t="s">
        <v>2025</v>
      </c>
      <c r="B741" s="739" t="s">
        <v>2025</v>
      </c>
      <c r="C741" s="739" t="s">
        <v>2026</v>
      </c>
      <c r="D741" s="739" t="s">
        <v>2026</v>
      </c>
      <c r="E741" s="791">
        <v>100000</v>
      </c>
      <c r="G741" s="739" t="str">
        <f t="shared" si="500"/>
        <v>013801</v>
      </c>
      <c r="J741" s="739">
        <v>7100</v>
      </c>
      <c r="Q741" s="773"/>
      <c r="T741" s="775" t="str">
        <f t="shared" si="501"/>
        <v>023801</v>
      </c>
      <c r="W741" s="739" t="s">
        <v>2032</v>
      </c>
      <c r="Y741" s="775">
        <f t="shared" si="502"/>
        <v>2017</v>
      </c>
      <c r="Z741" s="775">
        <v>12</v>
      </c>
      <c r="AA741" s="739">
        <f>'NET POSITION-FIDUCIARY(21)'!G12+'NET POSITION-FIDUCIARY(21)'!G17</f>
        <v>35153.99</v>
      </c>
      <c r="AB741" s="739">
        <f t="shared" si="498"/>
        <v>35153.99</v>
      </c>
      <c r="AC741" s="739">
        <f t="shared" si="499"/>
        <v>35153.99</v>
      </c>
    </row>
    <row r="742" spans="1:29">
      <c r="A742" s="739" t="s">
        <v>2025</v>
      </c>
      <c r="B742" s="739" t="s">
        <v>2025</v>
      </c>
      <c r="C742" s="739" t="s">
        <v>2026</v>
      </c>
      <c r="D742" s="739" t="s">
        <v>2026</v>
      </c>
      <c r="E742" s="791">
        <v>110000</v>
      </c>
      <c r="G742" s="739" t="str">
        <f t="shared" si="500"/>
        <v>013801</v>
      </c>
      <c r="J742" s="739">
        <v>7100</v>
      </c>
      <c r="Q742" s="773"/>
      <c r="T742" s="775" t="str">
        <f t="shared" si="501"/>
        <v>023801</v>
      </c>
      <c r="W742" s="739" t="s">
        <v>2032</v>
      </c>
      <c r="Y742" s="775">
        <f t="shared" si="502"/>
        <v>2017</v>
      </c>
      <c r="Z742" s="775">
        <v>12</v>
      </c>
      <c r="AA742" s="739">
        <f>'NET POSITION-FIDUCIARY(21)'!G14</f>
        <v>0</v>
      </c>
      <c r="AB742" s="739">
        <f t="shared" si="498"/>
        <v>0</v>
      </c>
      <c r="AC742" s="739">
        <f t="shared" si="499"/>
        <v>0</v>
      </c>
    </row>
    <row r="743" spans="1:29">
      <c r="A743" s="739" t="s">
        <v>2025</v>
      </c>
      <c r="B743" s="739" t="s">
        <v>2025</v>
      </c>
      <c r="C743" s="739" t="s">
        <v>2026</v>
      </c>
      <c r="D743" s="739" t="s">
        <v>2026</v>
      </c>
      <c r="E743" s="791">
        <v>120000</v>
      </c>
      <c r="G743" s="739" t="str">
        <f t="shared" si="500"/>
        <v>013801</v>
      </c>
      <c r="J743" s="739">
        <v>7100</v>
      </c>
      <c r="Q743" s="773"/>
      <c r="T743" s="775" t="str">
        <f t="shared" si="501"/>
        <v>023801</v>
      </c>
      <c r="W743" s="739" t="s">
        <v>2032</v>
      </c>
      <c r="Y743" s="775">
        <f t="shared" si="502"/>
        <v>2017</v>
      </c>
      <c r="Z743" s="775">
        <v>12</v>
      </c>
      <c r="AA743" s="739">
        <f>'NET POSITION-FIDUCIARY(21)'!G15+'NET POSITION-FIDUCIARY(21)'!G16</f>
        <v>0</v>
      </c>
      <c r="AB743" s="739">
        <f t="shared" si="498"/>
        <v>0</v>
      </c>
      <c r="AC743" s="739">
        <f t="shared" si="499"/>
        <v>0</v>
      </c>
    </row>
    <row r="744" spans="1:29">
      <c r="A744" s="739" t="s">
        <v>2025</v>
      </c>
      <c r="B744" s="739" t="s">
        <v>2025</v>
      </c>
      <c r="C744" s="739" t="s">
        <v>2026</v>
      </c>
      <c r="D744" s="739" t="s">
        <v>2026</v>
      </c>
      <c r="E744" s="791">
        <v>130000</v>
      </c>
      <c r="G744" s="739" t="str">
        <f t="shared" si="500"/>
        <v>013801</v>
      </c>
      <c r="J744" s="739">
        <v>7100</v>
      </c>
      <c r="Q744" s="773"/>
      <c r="T744" s="775" t="str">
        <f t="shared" si="501"/>
        <v>023801</v>
      </c>
      <c r="W744" s="739" t="s">
        <v>2032</v>
      </c>
      <c r="Y744" s="775">
        <f t="shared" si="502"/>
        <v>2017</v>
      </c>
      <c r="Z744" s="775">
        <v>12</v>
      </c>
      <c r="AB744" s="739">
        <f t="shared" si="498"/>
        <v>0</v>
      </c>
      <c r="AC744" s="739">
        <f t="shared" si="499"/>
        <v>0</v>
      </c>
    </row>
    <row r="745" spans="1:29">
      <c r="A745" s="739" t="s">
        <v>2025</v>
      </c>
      <c r="B745" s="739" t="s">
        <v>2025</v>
      </c>
      <c r="C745" s="739" t="s">
        <v>2026</v>
      </c>
      <c r="D745" s="739" t="s">
        <v>2026</v>
      </c>
      <c r="E745" s="791">
        <v>140000</v>
      </c>
      <c r="G745" s="739" t="str">
        <f t="shared" si="500"/>
        <v>013801</v>
      </c>
      <c r="J745" s="739">
        <v>7100</v>
      </c>
      <c r="Q745" s="773"/>
      <c r="T745" s="775" t="str">
        <f t="shared" si="501"/>
        <v>023801</v>
      </c>
      <c r="W745" s="739" t="s">
        <v>2032</v>
      </c>
      <c r="Y745" s="775">
        <f t="shared" si="502"/>
        <v>2017</v>
      </c>
      <c r="Z745" s="775">
        <v>12</v>
      </c>
      <c r="AB745" s="739">
        <f t="shared" si="498"/>
        <v>0</v>
      </c>
      <c r="AC745" s="739">
        <f t="shared" si="499"/>
        <v>0</v>
      </c>
    </row>
    <row r="746" spans="1:29">
      <c r="A746" s="739" t="s">
        <v>2025</v>
      </c>
      <c r="B746" s="739" t="s">
        <v>2025</v>
      </c>
      <c r="C746" s="739" t="s">
        <v>2026</v>
      </c>
      <c r="D746" s="739" t="s">
        <v>2026</v>
      </c>
      <c r="E746" s="791">
        <v>150000</v>
      </c>
      <c r="G746" s="739" t="str">
        <f t="shared" si="500"/>
        <v>013801</v>
      </c>
      <c r="J746" s="739">
        <v>7100</v>
      </c>
      <c r="Q746" s="773"/>
      <c r="T746" s="775" t="str">
        <f t="shared" si="501"/>
        <v>023801</v>
      </c>
      <c r="W746" s="739" t="s">
        <v>2032</v>
      </c>
      <c r="Y746" s="775">
        <f t="shared" si="502"/>
        <v>2017</v>
      </c>
      <c r="Z746" s="775">
        <v>12</v>
      </c>
      <c r="AB746" s="739">
        <f t="shared" si="498"/>
        <v>0</v>
      </c>
      <c r="AC746" s="739">
        <f t="shared" si="499"/>
        <v>0</v>
      </c>
    </row>
    <row r="747" spans="1:29">
      <c r="A747" s="739" t="s">
        <v>2025</v>
      </c>
      <c r="B747" s="739" t="s">
        <v>2025</v>
      </c>
      <c r="C747" s="739" t="s">
        <v>2026</v>
      </c>
      <c r="D747" s="739" t="s">
        <v>2026</v>
      </c>
      <c r="E747" s="791">
        <v>160000</v>
      </c>
      <c r="G747" s="739" t="str">
        <f t="shared" si="500"/>
        <v>013801</v>
      </c>
      <c r="J747" s="739">
        <v>7100</v>
      </c>
      <c r="Q747" s="773"/>
      <c r="T747" s="775" t="str">
        <f t="shared" si="501"/>
        <v>023801</v>
      </c>
      <c r="W747" s="739" t="s">
        <v>2032</v>
      </c>
      <c r="Y747" s="775">
        <f t="shared" si="502"/>
        <v>2017</v>
      </c>
      <c r="Z747" s="775">
        <v>12</v>
      </c>
      <c r="AB747" s="739">
        <f t="shared" si="498"/>
        <v>0</v>
      </c>
      <c r="AC747" s="739">
        <f t="shared" si="499"/>
        <v>0</v>
      </c>
    </row>
    <row r="748" spans="1:29">
      <c r="A748" s="739" t="s">
        <v>2025</v>
      </c>
      <c r="B748" s="739" t="s">
        <v>2025</v>
      </c>
      <c r="C748" s="739" t="s">
        <v>2026</v>
      </c>
      <c r="D748" s="739" t="s">
        <v>2026</v>
      </c>
      <c r="E748" s="791">
        <v>170000</v>
      </c>
      <c r="G748" s="739" t="str">
        <f t="shared" si="500"/>
        <v>013801</v>
      </c>
      <c r="J748" s="739">
        <v>7100</v>
      </c>
      <c r="Q748" s="773"/>
      <c r="T748" s="775" t="str">
        <f t="shared" si="501"/>
        <v>023801</v>
      </c>
      <c r="W748" s="739" t="s">
        <v>2032</v>
      </c>
      <c r="Y748" s="775">
        <f t="shared" si="502"/>
        <v>2017</v>
      </c>
      <c r="Z748" s="775">
        <v>12</v>
      </c>
    </row>
    <row r="749" spans="1:29">
      <c r="A749" s="739" t="s">
        <v>2025</v>
      </c>
      <c r="B749" s="739" t="s">
        <v>2025</v>
      </c>
      <c r="C749" s="739" t="s">
        <v>2026</v>
      </c>
      <c r="D749" s="739" t="s">
        <v>2026</v>
      </c>
      <c r="E749" s="791">
        <v>180000</v>
      </c>
      <c r="G749" s="739" t="str">
        <f t="shared" si="500"/>
        <v>013801</v>
      </c>
      <c r="J749" s="739">
        <v>7100</v>
      </c>
      <c r="Q749" s="773"/>
      <c r="T749" s="775" t="str">
        <f t="shared" si="501"/>
        <v>023801</v>
      </c>
      <c r="W749" s="739" t="s">
        <v>2032</v>
      </c>
      <c r="Y749" s="775">
        <f t="shared" si="502"/>
        <v>2017</v>
      </c>
      <c r="Z749" s="775">
        <v>12</v>
      </c>
      <c r="AB749" s="739">
        <f t="shared" si="498"/>
        <v>0</v>
      </c>
      <c r="AC749" s="739">
        <f t="shared" si="499"/>
        <v>0</v>
      </c>
    </row>
    <row r="750" spans="1:29">
      <c r="A750" s="739" t="s">
        <v>2025</v>
      </c>
      <c r="B750" s="739" t="s">
        <v>2025</v>
      </c>
      <c r="C750" s="739" t="s">
        <v>2026</v>
      </c>
      <c r="D750" s="739" t="s">
        <v>2026</v>
      </c>
      <c r="E750" s="791">
        <v>190000</v>
      </c>
      <c r="G750" s="739" t="str">
        <f t="shared" si="500"/>
        <v>013801</v>
      </c>
      <c r="J750" s="739">
        <v>7100</v>
      </c>
      <c r="Q750" s="773"/>
      <c r="T750" s="775" t="str">
        <f t="shared" si="501"/>
        <v>023801</v>
      </c>
      <c r="W750" s="739" t="s">
        <v>2032</v>
      </c>
      <c r="Y750" s="775">
        <f t="shared" si="502"/>
        <v>2017</v>
      </c>
      <c r="Z750" s="775">
        <v>12</v>
      </c>
      <c r="AA750" s="739">
        <f>'NET POSITION-FIDUCIARY(21)'!G21</f>
        <v>0</v>
      </c>
      <c r="AB750" s="739">
        <f t="shared" si="498"/>
        <v>0</v>
      </c>
      <c r="AC750" s="739">
        <f t="shared" si="499"/>
        <v>0</v>
      </c>
    </row>
    <row r="751" spans="1:29">
      <c r="A751" s="739" t="s">
        <v>2025</v>
      </c>
      <c r="B751" s="739" t="s">
        <v>2025</v>
      </c>
      <c r="C751" s="739" t="s">
        <v>2026</v>
      </c>
      <c r="D751" s="739" t="s">
        <v>2026</v>
      </c>
      <c r="E751" s="791">
        <v>200000</v>
      </c>
      <c r="G751" s="739" t="str">
        <f t="shared" si="500"/>
        <v>013801</v>
      </c>
      <c r="J751" s="739">
        <v>7100</v>
      </c>
      <c r="Q751" s="773"/>
      <c r="T751" s="775" t="str">
        <f t="shared" si="501"/>
        <v>023801</v>
      </c>
      <c r="W751" s="739" t="s">
        <v>2032</v>
      </c>
      <c r="Y751" s="775">
        <f t="shared" si="502"/>
        <v>2017</v>
      </c>
      <c r="Z751" s="775">
        <v>12</v>
      </c>
      <c r="AA751" s="739">
        <f>('NET POSITION-FIDUCIARY(21)'!G24+'NET POSITION-FIDUCIARY(21)'!G25+'NET POSITION-FIDUCIARY(21)'!G26+'NET POSITION-FIDUCIARY(21)'!G27)*-1</f>
        <v>-34475.99</v>
      </c>
      <c r="AB751" s="739">
        <f t="shared" si="498"/>
        <v>-34475.99</v>
      </c>
      <c r="AC751" s="739">
        <f t="shared" si="499"/>
        <v>-34475.99</v>
      </c>
    </row>
    <row r="752" spans="1:29">
      <c r="A752" s="739" t="s">
        <v>2025</v>
      </c>
      <c r="B752" s="739" t="s">
        <v>2025</v>
      </c>
      <c r="C752" s="739" t="s">
        <v>2026</v>
      </c>
      <c r="D752" s="739" t="s">
        <v>2026</v>
      </c>
      <c r="E752" s="791">
        <v>210000</v>
      </c>
      <c r="G752" s="739" t="str">
        <f t="shared" si="500"/>
        <v>013801</v>
      </c>
      <c r="J752" s="739">
        <v>7100</v>
      </c>
      <c r="Q752" s="773"/>
      <c r="T752" s="775" t="str">
        <f t="shared" si="501"/>
        <v>023801</v>
      </c>
      <c r="W752" s="739" t="s">
        <v>2032</v>
      </c>
      <c r="Y752" s="775">
        <f t="shared" si="502"/>
        <v>2017</v>
      </c>
      <c r="Z752" s="775">
        <v>12</v>
      </c>
      <c r="AA752" s="739">
        <f>('NET POSITION-FIDUCIARY(21)'!G28+'NET POSITION-FIDUCIARY(21)'!G29+'NET POSITION-FIDUCIARY(21)'!G30)*-1</f>
        <v>-678</v>
      </c>
      <c r="AB752" s="739">
        <f t="shared" si="498"/>
        <v>-678</v>
      </c>
      <c r="AC752" s="739">
        <f t="shared" si="499"/>
        <v>-678</v>
      </c>
    </row>
    <row r="753" spans="1:29">
      <c r="A753" s="739" t="s">
        <v>2025</v>
      </c>
      <c r="B753" s="739" t="s">
        <v>2025</v>
      </c>
      <c r="C753" s="739" t="s">
        <v>2026</v>
      </c>
      <c r="D753" s="739" t="s">
        <v>2026</v>
      </c>
      <c r="E753" s="791">
        <v>216000</v>
      </c>
      <c r="G753" s="739" t="str">
        <f t="shared" si="500"/>
        <v>013801</v>
      </c>
      <c r="J753" s="739">
        <v>7100</v>
      </c>
      <c r="Q753" s="773"/>
      <c r="T753" s="775" t="str">
        <f t="shared" si="501"/>
        <v>023801</v>
      </c>
      <c r="W753" s="739" t="s">
        <v>2032</v>
      </c>
      <c r="Y753" s="775">
        <f t="shared" si="502"/>
        <v>2017</v>
      </c>
      <c r="Z753" s="775">
        <v>12</v>
      </c>
      <c r="AA753" s="739">
        <v>0</v>
      </c>
    </row>
    <row r="754" spans="1:29">
      <c r="A754" s="739" t="s">
        <v>2025</v>
      </c>
      <c r="B754" s="739" t="s">
        <v>2025</v>
      </c>
      <c r="C754" s="739" t="s">
        <v>2026</v>
      </c>
      <c r="D754" s="739" t="s">
        <v>2026</v>
      </c>
      <c r="E754" s="791">
        <v>220000</v>
      </c>
      <c r="G754" s="739" t="str">
        <f t="shared" si="500"/>
        <v>013801</v>
      </c>
      <c r="J754" s="739">
        <v>7100</v>
      </c>
      <c r="Q754" s="773"/>
      <c r="T754" s="775" t="str">
        <f t="shared" si="501"/>
        <v>023801</v>
      </c>
      <c r="W754" s="739" t="s">
        <v>2032</v>
      </c>
      <c r="Y754" s="775">
        <f t="shared" si="502"/>
        <v>2017</v>
      </c>
      <c r="Z754" s="775">
        <v>12</v>
      </c>
      <c r="AA754" s="739">
        <f>('NET POSITION-FIDUCIARY(21)'!G33)*-1</f>
        <v>0</v>
      </c>
      <c r="AB754" s="739">
        <f t="shared" si="498"/>
        <v>0</v>
      </c>
      <c r="AC754" s="739">
        <f t="shared" si="499"/>
        <v>0</v>
      </c>
    </row>
    <row r="755" spans="1:29">
      <c r="A755" s="739" t="s">
        <v>2025</v>
      </c>
      <c r="B755" s="739" t="s">
        <v>2025</v>
      </c>
      <c r="C755" s="739" t="s">
        <v>2026</v>
      </c>
      <c r="D755" s="739" t="s">
        <v>2026</v>
      </c>
      <c r="E755" s="791">
        <v>100000</v>
      </c>
      <c r="G755" s="739" t="str">
        <f t="shared" si="500"/>
        <v>013801</v>
      </c>
      <c r="J755" s="739">
        <v>8000</v>
      </c>
      <c r="Q755" s="773"/>
      <c r="T755" s="775" t="str">
        <f t="shared" si="501"/>
        <v>023801</v>
      </c>
      <c r="W755" s="739" t="s">
        <v>2032</v>
      </c>
      <c r="Y755" s="775">
        <f t="shared" si="502"/>
        <v>2017</v>
      </c>
      <c r="Z755" s="775">
        <v>12</v>
      </c>
      <c r="AA755" s="739">
        <f>'BS-PERMANENT FUNDS(75-76)'!H6+'BS-PERMANENT FUNDS(75-76)'!H7+'BS-PERMANENT FUNDS(75-76)'!H8+'BS-PERMANENT FUNDS(75-76)'!H9+'BS-PERMANENT FUNDS(75-76)'!H10+'BS-PERMANENT FUNDS(75-76)'!H11+'LedgerLoad Assist'!BF38</f>
        <v>0</v>
      </c>
      <c r="AB755" s="739">
        <f>AA755</f>
        <v>0</v>
      </c>
      <c r="AC755" s="739">
        <f>AB755</f>
        <v>0</v>
      </c>
    </row>
    <row r="756" spans="1:29">
      <c r="A756" s="739" t="s">
        <v>2025</v>
      </c>
      <c r="B756" s="739" t="s">
        <v>2025</v>
      </c>
      <c r="C756" s="739" t="s">
        <v>2026</v>
      </c>
      <c r="D756" s="739" t="s">
        <v>2026</v>
      </c>
      <c r="E756" s="791">
        <v>110000</v>
      </c>
      <c r="G756" s="739" t="str">
        <f t="shared" si="500"/>
        <v>013801</v>
      </c>
      <c r="J756" s="739">
        <v>8000</v>
      </c>
      <c r="Q756" s="773"/>
      <c r="T756" s="775" t="str">
        <f t="shared" si="501"/>
        <v>023801</v>
      </c>
      <c r="W756" s="739" t="s">
        <v>2032</v>
      </c>
      <c r="Y756" s="775">
        <f t="shared" si="502"/>
        <v>2017</v>
      </c>
      <c r="Z756" s="775">
        <v>12</v>
      </c>
      <c r="AA756" s="739">
        <f>'BS-PERMANENT FUNDS(75-76)'!H13+'BS-PERMANENT FUNDS(75-76)'!H14+'BS-PERMANENT FUNDS(75-76)'!H15+'BS-PERMANENT FUNDS(75-76)'!H16+'BS-PERMANENT FUNDS(75-76)'!H17+'BS-PERMANENT FUNDS(75-76)'!H18+'LedgerLoad Assist'!BF39</f>
        <v>0</v>
      </c>
      <c r="AB756" s="739">
        <f t="shared" ref="AB756:AC756" si="503">AA756</f>
        <v>0</v>
      </c>
      <c r="AC756" s="739">
        <f t="shared" si="503"/>
        <v>0</v>
      </c>
    </row>
    <row r="757" spans="1:29">
      <c r="A757" s="739" t="s">
        <v>2025</v>
      </c>
      <c r="B757" s="739" t="s">
        <v>2025</v>
      </c>
      <c r="C757" s="739" t="s">
        <v>2026</v>
      </c>
      <c r="D757" s="739" t="s">
        <v>2026</v>
      </c>
      <c r="E757" s="791">
        <v>120000</v>
      </c>
      <c r="G757" s="739" t="str">
        <f t="shared" si="500"/>
        <v>013801</v>
      </c>
      <c r="J757" s="739">
        <v>8000</v>
      </c>
      <c r="Q757" s="773"/>
      <c r="T757" s="775" t="str">
        <f t="shared" si="501"/>
        <v>023801</v>
      </c>
      <c r="W757" s="739" t="s">
        <v>2032</v>
      </c>
      <c r="Y757" s="775">
        <f t="shared" si="502"/>
        <v>2017</v>
      </c>
      <c r="Z757" s="775">
        <v>12</v>
      </c>
      <c r="AA757" s="739">
        <f>'BS-PERMANENT FUNDS(75-76)'!H19+'LedgerLoad Assist'!BF40</f>
        <v>0</v>
      </c>
      <c r="AB757" s="739">
        <f t="shared" ref="AB757:AC757" si="504">AA757</f>
        <v>0</v>
      </c>
      <c r="AC757" s="739">
        <f t="shared" si="504"/>
        <v>0</v>
      </c>
    </row>
    <row r="758" spans="1:29">
      <c r="A758" s="739" t="s">
        <v>2025</v>
      </c>
      <c r="B758" s="739" t="s">
        <v>2025</v>
      </c>
      <c r="C758" s="739" t="s">
        <v>2026</v>
      </c>
      <c r="D758" s="739" t="s">
        <v>2026</v>
      </c>
      <c r="E758" s="791">
        <v>130000</v>
      </c>
      <c r="G758" s="739" t="str">
        <f t="shared" si="500"/>
        <v>013801</v>
      </c>
      <c r="J758" s="739">
        <v>8000</v>
      </c>
      <c r="Q758" s="773"/>
      <c r="T758" s="775" t="str">
        <f t="shared" si="501"/>
        <v>023801</v>
      </c>
      <c r="W758" s="739" t="s">
        <v>2032</v>
      </c>
      <c r="Y758" s="775">
        <f t="shared" si="502"/>
        <v>2017</v>
      </c>
      <c r="Z758" s="775">
        <v>12</v>
      </c>
      <c r="AA758" s="739">
        <f>'BS-PERMANENT FUNDS(75-76)'!H20+'BS-PERMANENT FUNDS(75-76)'!H21+'BS-PERMANENT FUNDS(75-76)'!H22+'LedgerLoad Assist'!BF41</f>
        <v>0</v>
      </c>
      <c r="AB758" s="739">
        <f t="shared" ref="AB758:AC758" si="505">AA758</f>
        <v>0</v>
      </c>
      <c r="AC758" s="739">
        <f t="shared" si="505"/>
        <v>0</v>
      </c>
    </row>
    <row r="759" spans="1:29">
      <c r="A759" s="739" t="s">
        <v>2025</v>
      </c>
      <c r="B759" s="739" t="s">
        <v>2025</v>
      </c>
      <c r="C759" s="739" t="s">
        <v>2026</v>
      </c>
      <c r="D759" s="739" t="s">
        <v>2026</v>
      </c>
      <c r="E759" s="791">
        <v>140000</v>
      </c>
      <c r="G759" s="739" t="str">
        <f t="shared" si="500"/>
        <v>013801</v>
      </c>
      <c r="J759" s="739">
        <v>8000</v>
      </c>
      <c r="Q759" s="773"/>
      <c r="T759" s="775" t="str">
        <f t="shared" si="501"/>
        <v>023801</v>
      </c>
      <c r="W759" s="739" t="s">
        <v>2032</v>
      </c>
      <c r="Y759" s="775">
        <f t="shared" si="502"/>
        <v>2017</v>
      </c>
      <c r="Z759" s="775">
        <v>12</v>
      </c>
      <c r="AA759" s="739">
        <f>'BS-PERMANENT FUNDS(75-76)'!H23+'LedgerLoad Assist'!BF42</f>
        <v>0</v>
      </c>
      <c r="AB759" s="739">
        <f t="shared" ref="AB759:AC759" si="506">AA759</f>
        <v>0</v>
      </c>
      <c r="AC759" s="739">
        <f t="shared" si="506"/>
        <v>0</v>
      </c>
    </row>
    <row r="760" spans="1:29">
      <c r="A760" s="739" t="s">
        <v>2025</v>
      </c>
      <c r="B760" s="739" t="s">
        <v>2025</v>
      </c>
      <c r="C760" s="739" t="s">
        <v>2026</v>
      </c>
      <c r="D760" s="739" t="s">
        <v>2026</v>
      </c>
      <c r="E760" s="791">
        <v>150000</v>
      </c>
      <c r="G760" s="739" t="str">
        <f t="shared" si="500"/>
        <v>013801</v>
      </c>
      <c r="J760" s="739">
        <v>8000</v>
      </c>
      <c r="Q760" s="773"/>
      <c r="T760" s="775" t="str">
        <f t="shared" si="501"/>
        <v>023801</v>
      </c>
      <c r="W760" s="739" t="s">
        <v>2032</v>
      </c>
      <c r="Y760" s="775">
        <f t="shared" si="502"/>
        <v>2017</v>
      </c>
      <c r="Z760" s="775">
        <v>12</v>
      </c>
      <c r="AA760" s="739">
        <f>'BS-PERMANENT FUNDS(75-76)'!H24+'LedgerLoad Assist'!BF43</f>
        <v>0</v>
      </c>
      <c r="AB760" s="739">
        <f t="shared" ref="AB760:AC760" si="507">AA760</f>
        <v>0</v>
      </c>
      <c r="AC760" s="739">
        <f t="shared" si="507"/>
        <v>0</v>
      </c>
    </row>
    <row r="761" spans="1:29">
      <c r="A761" s="739" t="s">
        <v>2025</v>
      </c>
      <c r="B761" s="739" t="s">
        <v>2025</v>
      </c>
      <c r="C761" s="739" t="s">
        <v>2026</v>
      </c>
      <c r="D761" s="739" t="s">
        <v>2026</v>
      </c>
      <c r="E761" s="791">
        <v>160000</v>
      </c>
      <c r="G761" s="739" t="str">
        <f t="shared" si="500"/>
        <v>013801</v>
      </c>
      <c r="J761" s="739">
        <v>8000</v>
      </c>
      <c r="Q761" s="773"/>
      <c r="T761" s="775" t="str">
        <f t="shared" si="501"/>
        <v>023801</v>
      </c>
      <c r="W761" s="739" t="s">
        <v>2032</v>
      </c>
      <c r="Y761" s="775">
        <f t="shared" si="502"/>
        <v>2017</v>
      </c>
      <c r="Z761" s="775">
        <v>12</v>
      </c>
    </row>
    <row r="762" spans="1:29">
      <c r="A762" s="739" t="s">
        <v>2025</v>
      </c>
      <c r="B762" s="739" t="s">
        <v>2025</v>
      </c>
      <c r="C762" s="739" t="s">
        <v>2026</v>
      </c>
      <c r="D762" s="739" t="s">
        <v>2026</v>
      </c>
      <c r="E762" s="791">
        <v>170000</v>
      </c>
      <c r="G762" s="739" t="str">
        <f t="shared" si="500"/>
        <v>013801</v>
      </c>
      <c r="J762" s="739">
        <v>8000</v>
      </c>
      <c r="Q762" s="773"/>
      <c r="T762" s="775" t="str">
        <f t="shared" si="501"/>
        <v>023801</v>
      </c>
      <c r="W762" s="739" t="s">
        <v>2032</v>
      </c>
      <c r="Y762" s="775">
        <f t="shared" si="502"/>
        <v>2017</v>
      </c>
      <c r="Z762" s="775">
        <v>12</v>
      </c>
      <c r="AA762" s="739">
        <f>'BS-PERMANENT FUNDS(75-76)'!H25+'LedgerLoad Assist'!BF45</f>
        <v>0</v>
      </c>
      <c r="AB762" s="739">
        <f>AA762</f>
        <v>0</v>
      </c>
      <c r="AC762" s="739">
        <f>AB762</f>
        <v>0</v>
      </c>
    </row>
    <row r="763" spans="1:29">
      <c r="A763" s="739" t="s">
        <v>2025</v>
      </c>
      <c r="B763" s="739" t="s">
        <v>2025</v>
      </c>
      <c r="C763" s="739" t="s">
        <v>2026</v>
      </c>
      <c r="D763" s="739" t="s">
        <v>2026</v>
      </c>
      <c r="E763" s="791">
        <v>180000</v>
      </c>
      <c r="G763" s="739" t="str">
        <f t="shared" si="500"/>
        <v>013801</v>
      </c>
      <c r="J763" s="739">
        <v>8000</v>
      </c>
      <c r="Q763" s="773"/>
      <c r="T763" s="775" t="str">
        <f t="shared" si="501"/>
        <v>023801</v>
      </c>
      <c r="W763" s="739" t="s">
        <v>2032</v>
      </c>
      <c r="Y763" s="775">
        <f t="shared" si="502"/>
        <v>2017</v>
      </c>
      <c r="Z763" s="775">
        <v>12</v>
      </c>
      <c r="AB763" s="739">
        <f t="shared" ref="AB763:AC763" si="508">AA763</f>
        <v>0</v>
      </c>
      <c r="AC763" s="739">
        <f t="shared" si="508"/>
        <v>0</v>
      </c>
    </row>
    <row r="764" spans="1:29">
      <c r="A764" s="739" t="s">
        <v>2025</v>
      </c>
      <c r="B764" s="739" t="s">
        <v>2025</v>
      </c>
      <c r="C764" s="739" t="s">
        <v>2026</v>
      </c>
      <c r="D764" s="739" t="s">
        <v>2026</v>
      </c>
      <c r="E764" s="791">
        <v>190000</v>
      </c>
      <c r="G764" s="739" t="str">
        <f t="shared" si="500"/>
        <v>013801</v>
      </c>
      <c r="J764" s="739">
        <v>8000</v>
      </c>
      <c r="Q764" s="773"/>
      <c r="T764" s="775" t="str">
        <f t="shared" si="501"/>
        <v>023801</v>
      </c>
      <c r="W764" s="739" t="s">
        <v>2032</v>
      </c>
      <c r="Y764" s="775">
        <f t="shared" si="502"/>
        <v>2017</v>
      </c>
      <c r="Z764" s="775">
        <v>12</v>
      </c>
      <c r="AA764" s="739">
        <f>'BS-PERMANENT FUNDS(75-76)'!H31+'LedgerLoad Assist'!BF47</f>
        <v>0</v>
      </c>
      <c r="AB764" s="739">
        <f t="shared" ref="AB764:AC764" si="509">AA764</f>
        <v>0</v>
      </c>
      <c r="AC764" s="739">
        <f t="shared" si="509"/>
        <v>0</v>
      </c>
    </row>
    <row r="765" spans="1:29">
      <c r="A765" s="739" t="s">
        <v>2025</v>
      </c>
      <c r="B765" s="739" t="s">
        <v>2025</v>
      </c>
      <c r="C765" s="739" t="s">
        <v>2026</v>
      </c>
      <c r="D765" s="739" t="s">
        <v>2026</v>
      </c>
      <c r="E765" s="791">
        <v>200000</v>
      </c>
      <c r="G765" s="739" t="str">
        <f t="shared" si="500"/>
        <v>013801</v>
      </c>
      <c r="J765" s="739">
        <v>8000</v>
      </c>
      <c r="Q765" s="773"/>
      <c r="T765" s="775" t="str">
        <f t="shared" si="501"/>
        <v>023801</v>
      </c>
      <c r="W765" s="739" t="s">
        <v>2032</v>
      </c>
      <c r="Y765" s="775">
        <f t="shared" si="502"/>
        <v>2017</v>
      </c>
      <c r="Z765" s="775">
        <v>12</v>
      </c>
      <c r="AA765" s="739">
        <f>('BS-PERMANENT FUNDS(75-76)'!H34+'BS-PERMANENT FUNDS(75-76)'!H35+'BS-PERMANENT FUNDS(75-76)'!H36+'BS-PERMANENT FUNDS(75-76)'!H37+'BS-PERMANENT FUNDS(75-76)'!H38+'BS-PERMANENT FUNDS(75-76)'!H39+'LedgerLoad Assist'!BF48)*-1</f>
        <v>0</v>
      </c>
      <c r="AB765" s="739">
        <f t="shared" ref="AB765:AC765" si="510">AA765</f>
        <v>0</v>
      </c>
      <c r="AC765" s="739">
        <f t="shared" si="510"/>
        <v>0</v>
      </c>
    </row>
    <row r="766" spans="1:29">
      <c r="A766" s="739" t="s">
        <v>2025</v>
      </c>
      <c r="B766" s="739" t="s">
        <v>2025</v>
      </c>
      <c r="C766" s="739" t="s">
        <v>2026</v>
      </c>
      <c r="D766" s="739" t="s">
        <v>2026</v>
      </c>
      <c r="E766" s="791">
        <v>210000</v>
      </c>
      <c r="G766" s="739" t="str">
        <f t="shared" si="500"/>
        <v>013801</v>
      </c>
      <c r="J766" s="739">
        <v>8000</v>
      </c>
      <c r="Q766" s="773"/>
      <c r="T766" s="775" t="str">
        <f t="shared" si="501"/>
        <v>023801</v>
      </c>
      <c r="W766" s="739" t="s">
        <v>2032</v>
      </c>
      <c r="Y766" s="775">
        <f t="shared" si="502"/>
        <v>2017</v>
      </c>
      <c r="Z766" s="775">
        <v>12</v>
      </c>
      <c r="AA766" s="739">
        <f>('BS-PERMANENT FUNDS(75-76)'!H40+'BS-PERMANENT FUNDS(75-76)'!H41+'BS-PERMANENT FUNDS(75-76)'!H42+'LedgerLoad Assist'!BF49+'BS-PERMANENT FUNDS(75-76)'!H43+'LedgerLoad Assist'!BF50)*-1</f>
        <v>0</v>
      </c>
      <c r="AB766" s="739">
        <f t="shared" ref="AB766:AC766" si="511">AA766</f>
        <v>0</v>
      </c>
      <c r="AC766" s="739">
        <f t="shared" si="511"/>
        <v>0</v>
      </c>
    </row>
    <row r="767" spans="1:29">
      <c r="A767" s="739" t="s">
        <v>2025</v>
      </c>
      <c r="B767" s="739" t="s">
        <v>2025</v>
      </c>
      <c r="C767" s="739" t="s">
        <v>2026</v>
      </c>
      <c r="D767" s="739" t="s">
        <v>2026</v>
      </c>
      <c r="E767" s="791">
        <v>216000</v>
      </c>
      <c r="G767" s="739" t="str">
        <f t="shared" si="500"/>
        <v>013801</v>
      </c>
      <c r="J767" s="739">
        <v>8000</v>
      </c>
      <c r="Q767" s="773"/>
      <c r="T767" s="775" t="str">
        <f t="shared" si="501"/>
        <v>023801</v>
      </c>
      <c r="W767" s="739" t="s">
        <v>2032</v>
      </c>
      <c r="Y767" s="775">
        <f t="shared" si="502"/>
        <v>2017</v>
      </c>
      <c r="Z767" s="775">
        <v>12</v>
      </c>
      <c r="AA767" s="739">
        <v>0</v>
      </c>
    </row>
    <row r="768" spans="1:29">
      <c r="A768" s="739" t="s">
        <v>2025</v>
      </c>
      <c r="B768" s="739" t="s">
        <v>2025</v>
      </c>
      <c r="C768" s="739" t="s">
        <v>2026</v>
      </c>
      <c r="D768" s="739" t="s">
        <v>2026</v>
      </c>
      <c r="E768" s="791">
        <v>220000</v>
      </c>
      <c r="G768" s="739" t="str">
        <f t="shared" si="500"/>
        <v>013801</v>
      </c>
      <c r="J768" s="739">
        <v>8000</v>
      </c>
      <c r="Q768" s="773"/>
      <c r="T768" s="775" t="str">
        <f t="shared" si="501"/>
        <v>023801</v>
      </c>
      <c r="W768" s="739" t="s">
        <v>2032</v>
      </c>
      <c r="Y768" s="775">
        <f t="shared" si="502"/>
        <v>2017</v>
      </c>
      <c r="Z768" s="775">
        <v>12</v>
      </c>
      <c r="AA768" s="739">
        <f>('BS-PERMANENT FUNDS(75-76)'!H50+'LedgerLoad Assist'!BF51)*-1</f>
        <v>0</v>
      </c>
      <c r="AB768" s="739">
        <f t="shared" ref="AB768:AC768" si="512">AA768</f>
        <v>0</v>
      </c>
      <c r="AC768" s="739">
        <f t="shared" si="512"/>
        <v>0</v>
      </c>
    </row>
    <row r="769" spans="1:29">
      <c r="A769" s="739" t="s">
        <v>2025</v>
      </c>
      <c r="B769" s="739" t="s">
        <v>2025</v>
      </c>
      <c r="C769" s="739" t="s">
        <v>2026</v>
      </c>
      <c r="D769" s="739" t="s">
        <v>2026</v>
      </c>
      <c r="E769" s="791">
        <v>230000</v>
      </c>
      <c r="G769" s="739" t="str">
        <f t="shared" si="500"/>
        <v>013801</v>
      </c>
      <c r="J769" s="739">
        <v>8000</v>
      </c>
      <c r="Q769" s="773"/>
      <c r="T769" s="775" t="str">
        <f t="shared" si="501"/>
        <v>023801</v>
      </c>
      <c r="W769" s="739" t="s">
        <v>2032</v>
      </c>
      <c r="Y769" s="775">
        <f t="shared" si="502"/>
        <v>2017</v>
      </c>
      <c r="Z769" s="775">
        <v>12</v>
      </c>
      <c r="AA769" s="739">
        <f>('BS-PERMANENT FUNDS(75-76)'!H44+'LedgerLoad Assist'!BF52)*-1</f>
        <v>0</v>
      </c>
      <c r="AB769" s="739">
        <f t="shared" ref="AB769:AC769" si="513">AA769</f>
        <v>0</v>
      </c>
      <c r="AC769" s="739">
        <f t="shared" si="513"/>
        <v>0</v>
      </c>
    </row>
    <row r="770" spans="1:29">
      <c r="A770" s="739" t="s">
        <v>2025</v>
      </c>
      <c r="B770" s="739" t="s">
        <v>2025</v>
      </c>
      <c r="C770" s="739" t="s">
        <v>2026</v>
      </c>
      <c r="D770" s="739" t="s">
        <v>2026</v>
      </c>
      <c r="E770" s="791">
        <v>240000</v>
      </c>
      <c r="G770" s="739" t="str">
        <f t="shared" si="500"/>
        <v>013801</v>
      </c>
      <c r="J770" s="739">
        <v>8000</v>
      </c>
      <c r="Q770" s="773"/>
      <c r="T770" s="775" t="str">
        <f t="shared" si="501"/>
        <v>023801</v>
      </c>
      <c r="W770" s="739" t="s">
        <v>2032</v>
      </c>
      <c r="Y770" s="775">
        <f t="shared" si="502"/>
        <v>2017</v>
      </c>
      <c r="Z770" s="775">
        <v>12</v>
      </c>
      <c r="AA770" s="739">
        <v>0</v>
      </c>
    </row>
    <row r="771" spans="1:29">
      <c r="A771" s="739" t="s">
        <v>2025</v>
      </c>
      <c r="B771" s="739" t="s">
        <v>2025</v>
      </c>
      <c r="C771" s="739" t="s">
        <v>2026</v>
      </c>
      <c r="D771" s="739" t="s">
        <v>2026</v>
      </c>
      <c r="E771" s="791">
        <v>250000</v>
      </c>
      <c r="G771" s="739" t="str">
        <f t="shared" si="500"/>
        <v>013801</v>
      </c>
      <c r="J771" s="739">
        <v>8000</v>
      </c>
      <c r="Q771" s="773"/>
      <c r="T771" s="775" t="str">
        <f t="shared" si="501"/>
        <v>023801</v>
      </c>
      <c r="W771" s="739" t="s">
        <v>2032</v>
      </c>
      <c r="Y771" s="775">
        <f t="shared" si="502"/>
        <v>2017</v>
      </c>
      <c r="Z771" s="775">
        <v>12</v>
      </c>
      <c r="AA771" s="739">
        <v>0</v>
      </c>
    </row>
    <row r="772" spans="1:29">
      <c r="A772" s="739" t="s">
        <v>2025</v>
      </c>
      <c r="B772" s="739" t="s">
        <v>2025</v>
      </c>
      <c r="C772" s="739" t="s">
        <v>2026</v>
      </c>
      <c r="D772" s="739" t="s">
        <v>2026</v>
      </c>
      <c r="E772" s="791">
        <v>260000</v>
      </c>
      <c r="G772" s="739" t="str">
        <f t="shared" si="500"/>
        <v>013801</v>
      </c>
      <c r="J772" s="739">
        <v>8000</v>
      </c>
      <c r="Q772" s="773"/>
      <c r="T772" s="775" t="str">
        <f t="shared" si="501"/>
        <v>023801</v>
      </c>
      <c r="W772" s="739" t="s">
        <v>2032</v>
      </c>
      <c r="Y772" s="775">
        <f t="shared" si="502"/>
        <v>2017</v>
      </c>
      <c r="Z772" s="775">
        <v>12</v>
      </c>
      <c r="AA772" s="739">
        <v>0</v>
      </c>
    </row>
    <row r="773" spans="1:29">
      <c r="A773" s="739" t="s">
        <v>2025</v>
      </c>
      <c r="B773" s="739" t="s">
        <v>2025</v>
      </c>
      <c r="C773" s="739" t="s">
        <v>2026</v>
      </c>
      <c r="D773" s="739" t="s">
        <v>2026</v>
      </c>
      <c r="E773" s="791">
        <v>270000</v>
      </c>
      <c r="G773" s="739" t="str">
        <f t="shared" si="500"/>
        <v>013801</v>
      </c>
      <c r="J773" s="739">
        <v>8000</v>
      </c>
      <c r="Q773" s="773"/>
      <c r="T773" s="775" t="str">
        <f t="shared" si="501"/>
        <v>023801</v>
      </c>
      <c r="W773" s="739" t="s">
        <v>2032</v>
      </c>
      <c r="Y773" s="775">
        <f t="shared" si="502"/>
        <v>2017</v>
      </c>
      <c r="Z773" s="775">
        <v>12</v>
      </c>
      <c r="AA773" s="739">
        <f>('BS-PERMANENT FUNDS(75-76)'!H58+'LedgerLoad Assist'!BF56)*-1</f>
        <v>0</v>
      </c>
      <c r="AB773" s="739">
        <f>AA773</f>
        <v>0</v>
      </c>
      <c r="AC773" s="739">
        <f>AB773</f>
        <v>0</v>
      </c>
    </row>
    <row r="774" spans="1:29">
      <c r="A774" s="739" t="s">
        <v>2025</v>
      </c>
      <c r="B774" s="739" t="s">
        <v>2025</v>
      </c>
      <c r="C774" s="739" t="s">
        <v>2026</v>
      </c>
      <c r="D774" s="739" t="s">
        <v>2026</v>
      </c>
      <c r="E774" s="791">
        <v>280000</v>
      </c>
      <c r="G774" s="739" t="str">
        <f t="shared" si="500"/>
        <v>013801</v>
      </c>
      <c r="J774" s="739">
        <v>8000</v>
      </c>
      <c r="Q774" s="773"/>
      <c r="T774" s="775" t="str">
        <f t="shared" si="501"/>
        <v>023801</v>
      </c>
      <c r="W774" s="739" t="s">
        <v>2032</v>
      </c>
      <c r="Y774" s="775">
        <f t="shared" si="502"/>
        <v>2017</v>
      </c>
      <c r="Z774" s="775">
        <v>12</v>
      </c>
      <c r="AA774" s="739">
        <v>0</v>
      </c>
    </row>
    <row r="775" spans="1:29">
      <c r="A775" s="739" t="s">
        <v>2025</v>
      </c>
      <c r="B775" s="739" t="s">
        <v>2025</v>
      </c>
      <c r="C775" s="739" t="s">
        <v>2026</v>
      </c>
      <c r="D775" s="739" t="s">
        <v>2026</v>
      </c>
      <c r="E775" s="791">
        <v>310000</v>
      </c>
      <c r="G775" s="739" t="str">
        <f t="shared" si="500"/>
        <v>013801</v>
      </c>
      <c r="J775" s="739">
        <v>8000</v>
      </c>
      <c r="Q775" s="773"/>
      <c r="T775" s="775" t="str">
        <f t="shared" si="501"/>
        <v>023801</v>
      </c>
      <c r="W775" s="739" t="s">
        <v>2032</v>
      </c>
      <c r="Y775" s="775">
        <f t="shared" si="502"/>
        <v>2017</v>
      </c>
      <c r="Z775" s="775">
        <v>12</v>
      </c>
      <c r="AA775" s="739">
        <f>('LedgerLoad Assist'!BF58)*-1</f>
        <v>0</v>
      </c>
      <c r="AB775" s="739">
        <f t="shared" ref="AB775:AC775" si="514">AA775</f>
        <v>0</v>
      </c>
      <c r="AC775" s="739">
        <f t="shared" si="514"/>
        <v>0</v>
      </c>
    </row>
    <row r="776" spans="1:29">
      <c r="A776" s="739" t="s">
        <v>2025</v>
      </c>
      <c r="B776" s="739" t="s">
        <v>2025</v>
      </c>
      <c r="C776" s="739" t="s">
        <v>2026</v>
      </c>
      <c r="D776" s="739" t="s">
        <v>2026</v>
      </c>
      <c r="E776" s="791">
        <v>311000</v>
      </c>
      <c r="G776" s="739" t="str">
        <f t="shared" si="500"/>
        <v>013801</v>
      </c>
      <c r="J776" s="739">
        <v>8000</v>
      </c>
      <c r="Q776" s="773"/>
      <c r="T776" s="775" t="str">
        <f t="shared" si="501"/>
        <v>023801</v>
      </c>
      <c r="W776" s="739" t="s">
        <v>2032</v>
      </c>
      <c r="Y776" s="775">
        <f t="shared" si="502"/>
        <v>2017</v>
      </c>
      <c r="Z776" s="775">
        <v>12</v>
      </c>
      <c r="AA776" s="739">
        <f>('OPER.-PERMANENT FUNDS(77-78)'!H10+'LedgerLoad Assist'!BF59)*-1</f>
        <v>0</v>
      </c>
      <c r="AB776" s="739">
        <f t="shared" ref="AB776:AC776" si="515">AA776</f>
        <v>0</v>
      </c>
      <c r="AC776" s="739">
        <f t="shared" si="515"/>
        <v>0</v>
      </c>
    </row>
    <row r="777" spans="1:29">
      <c r="A777" s="739" t="s">
        <v>2025</v>
      </c>
      <c r="B777" s="739" t="s">
        <v>2025</v>
      </c>
      <c r="C777" s="739" t="s">
        <v>2026</v>
      </c>
      <c r="D777" s="739" t="s">
        <v>2026</v>
      </c>
      <c r="E777" s="791">
        <v>312000</v>
      </c>
      <c r="G777" s="739" t="str">
        <f t="shared" si="500"/>
        <v>013801</v>
      </c>
      <c r="J777" s="739">
        <v>8000</v>
      </c>
      <c r="Q777" s="773"/>
      <c r="T777" s="775" t="str">
        <f t="shared" si="501"/>
        <v>023801</v>
      </c>
      <c r="W777" s="739" t="s">
        <v>2032</v>
      </c>
      <c r="Y777" s="775">
        <f t="shared" si="502"/>
        <v>2017</v>
      </c>
      <c r="Z777" s="775">
        <v>12</v>
      </c>
      <c r="AA777" s="739">
        <f>('LedgerLoad Assist'!BF60)*-1</f>
        <v>0</v>
      </c>
      <c r="AB777" s="739">
        <f t="shared" ref="AB777:AC777" si="516">AA777</f>
        <v>0</v>
      </c>
      <c r="AC777" s="739">
        <f t="shared" si="516"/>
        <v>0</v>
      </c>
    </row>
    <row r="778" spans="1:29">
      <c r="A778" s="739" t="s">
        <v>2025</v>
      </c>
      <c r="B778" s="739" t="s">
        <v>2025</v>
      </c>
      <c r="C778" s="739" t="s">
        <v>2026</v>
      </c>
      <c r="D778" s="739" t="s">
        <v>2026</v>
      </c>
      <c r="E778" s="791">
        <v>313000</v>
      </c>
      <c r="G778" s="739" t="str">
        <f t="shared" si="500"/>
        <v>013801</v>
      </c>
      <c r="J778" s="739">
        <v>8000</v>
      </c>
      <c r="Q778" s="773"/>
      <c r="T778" s="775" t="str">
        <f t="shared" si="501"/>
        <v>023801</v>
      </c>
      <c r="W778" s="739" t="s">
        <v>2032</v>
      </c>
      <c r="Y778" s="775">
        <f t="shared" si="502"/>
        <v>2017</v>
      </c>
      <c r="Z778" s="775">
        <v>12</v>
      </c>
      <c r="AA778" s="739">
        <v>0</v>
      </c>
    </row>
    <row r="779" spans="1:29">
      <c r="A779" s="739" t="s">
        <v>2025</v>
      </c>
      <c r="B779" s="739" t="s">
        <v>2025</v>
      </c>
      <c r="C779" s="739" t="s">
        <v>2026</v>
      </c>
      <c r="D779" s="739" t="s">
        <v>2026</v>
      </c>
      <c r="E779" s="791">
        <v>314000</v>
      </c>
      <c r="G779" s="739" t="str">
        <f t="shared" si="500"/>
        <v>013801</v>
      </c>
      <c r="J779" s="739">
        <v>8000</v>
      </c>
      <c r="Q779" s="773"/>
      <c r="T779" s="775" t="str">
        <f t="shared" si="501"/>
        <v>023801</v>
      </c>
      <c r="W779" s="739" t="s">
        <v>2032</v>
      </c>
      <c r="Y779" s="775">
        <f t="shared" si="502"/>
        <v>2017</v>
      </c>
      <c r="Z779" s="775">
        <v>12</v>
      </c>
      <c r="AA779" s="739">
        <f>('OPER.-PERMANENT FUNDS(77-78)'!H11+'LedgerLoad Assist'!BF62)*-1</f>
        <v>0</v>
      </c>
      <c r="AB779" s="739">
        <f t="shared" ref="AB779:AC779" si="517">AA779</f>
        <v>0</v>
      </c>
      <c r="AC779" s="739">
        <f t="shared" si="517"/>
        <v>0</v>
      </c>
    </row>
    <row r="780" spans="1:29">
      <c r="A780" s="739" t="s">
        <v>2025</v>
      </c>
      <c r="B780" s="739" t="s">
        <v>2025</v>
      </c>
      <c r="C780" s="739" t="s">
        <v>2026</v>
      </c>
      <c r="D780" s="739" t="s">
        <v>2026</v>
      </c>
      <c r="E780" s="791">
        <v>315000</v>
      </c>
      <c r="G780" s="739" t="str">
        <f t="shared" ref="G780:G843" si="518">$G$6</f>
        <v>013801</v>
      </c>
      <c r="J780" s="739">
        <v>8000</v>
      </c>
      <c r="Q780" s="773"/>
      <c r="T780" s="775" t="str">
        <f t="shared" ref="T780:T843" si="519">$T$6</f>
        <v>023801</v>
      </c>
      <c r="W780" s="739" t="s">
        <v>2032</v>
      </c>
      <c r="Y780" s="775">
        <f t="shared" ref="Y780:Y843" si="520">$Y$6</f>
        <v>2017</v>
      </c>
      <c r="Z780" s="775">
        <v>12</v>
      </c>
      <c r="AA780" s="739">
        <f>('LedgerLoad Assist'!BF63)*-1</f>
        <v>0</v>
      </c>
      <c r="AB780" s="739">
        <f t="shared" ref="AB780:AC780" si="521">AA780</f>
        <v>0</v>
      </c>
      <c r="AC780" s="739">
        <f t="shared" si="521"/>
        <v>0</v>
      </c>
    </row>
    <row r="781" spans="1:29">
      <c r="A781" s="739" t="s">
        <v>2025</v>
      </c>
      <c r="B781" s="739" t="s">
        <v>2025</v>
      </c>
      <c r="C781" s="739" t="s">
        <v>2026</v>
      </c>
      <c r="D781" s="739" t="s">
        <v>2026</v>
      </c>
      <c r="E781" s="791">
        <v>316000</v>
      </c>
      <c r="G781" s="739" t="str">
        <f t="shared" si="518"/>
        <v>013801</v>
      </c>
      <c r="J781" s="739">
        <v>8000</v>
      </c>
      <c r="Q781" s="773"/>
      <c r="T781" s="775" t="str">
        <f t="shared" si="519"/>
        <v>023801</v>
      </c>
      <c r="W781" s="739" t="s">
        <v>2032</v>
      </c>
      <c r="Y781" s="775">
        <f t="shared" si="520"/>
        <v>2017</v>
      </c>
      <c r="Z781" s="775">
        <v>12</v>
      </c>
      <c r="AA781" s="739">
        <f>('LedgerLoad Assist'!BF64)*-1</f>
        <v>0</v>
      </c>
      <c r="AB781" s="739">
        <f t="shared" ref="AB781:AC781" si="522">AA781</f>
        <v>0</v>
      </c>
      <c r="AC781" s="739">
        <f t="shared" si="522"/>
        <v>0</v>
      </c>
    </row>
    <row r="782" spans="1:29">
      <c r="A782" s="739" t="s">
        <v>2025</v>
      </c>
      <c r="B782" s="739" t="s">
        <v>2025</v>
      </c>
      <c r="C782" s="739" t="s">
        <v>2026</v>
      </c>
      <c r="D782" s="739" t="s">
        <v>2026</v>
      </c>
      <c r="E782" s="791">
        <v>320000</v>
      </c>
      <c r="G782" s="739" t="str">
        <f t="shared" si="518"/>
        <v>013801</v>
      </c>
      <c r="J782" s="739">
        <v>8000</v>
      </c>
      <c r="Q782" s="773"/>
      <c r="T782" s="775" t="str">
        <f t="shared" si="519"/>
        <v>023801</v>
      </c>
      <c r="W782" s="739" t="s">
        <v>2032</v>
      </c>
      <c r="Y782" s="775">
        <f t="shared" si="520"/>
        <v>2017</v>
      </c>
      <c r="Z782" s="775">
        <v>12</v>
      </c>
      <c r="AA782" s="739">
        <f>('LedgerLoad Assist'!BF65)*-1</f>
        <v>0</v>
      </c>
      <c r="AB782" s="739">
        <f t="shared" ref="AB782:AC782" si="523">AA782</f>
        <v>0</v>
      </c>
      <c r="AC782" s="739">
        <f t="shared" si="523"/>
        <v>0</v>
      </c>
    </row>
    <row r="783" spans="1:29">
      <c r="A783" s="739" t="s">
        <v>2025</v>
      </c>
      <c r="B783" s="739" t="s">
        <v>2025</v>
      </c>
      <c r="C783" s="739" t="s">
        <v>2026</v>
      </c>
      <c r="D783" s="739" t="s">
        <v>2026</v>
      </c>
      <c r="E783" s="791">
        <v>322000</v>
      </c>
      <c r="G783" s="739" t="str">
        <f t="shared" si="518"/>
        <v>013801</v>
      </c>
      <c r="J783" s="739">
        <v>8000</v>
      </c>
      <c r="Q783" s="773"/>
      <c r="T783" s="775" t="str">
        <f t="shared" si="519"/>
        <v>023801</v>
      </c>
      <c r="W783" s="739" t="s">
        <v>2032</v>
      </c>
      <c r="Y783" s="775">
        <f t="shared" si="520"/>
        <v>2017</v>
      </c>
      <c r="Z783" s="775">
        <v>12</v>
      </c>
      <c r="AA783" s="739">
        <f>('LedgerLoad Assist'!BF66)*-1</f>
        <v>0</v>
      </c>
      <c r="AB783" s="739">
        <f t="shared" ref="AB783:AC783" si="524">AA783</f>
        <v>0</v>
      </c>
      <c r="AC783" s="739">
        <f t="shared" si="524"/>
        <v>0</v>
      </c>
    </row>
    <row r="784" spans="1:29">
      <c r="A784" s="739" t="s">
        <v>2025</v>
      </c>
      <c r="B784" s="739" t="s">
        <v>2025</v>
      </c>
      <c r="C784" s="739" t="s">
        <v>2026</v>
      </c>
      <c r="D784" s="739" t="s">
        <v>2026</v>
      </c>
      <c r="E784" s="791">
        <v>323000</v>
      </c>
      <c r="G784" s="739" t="str">
        <f t="shared" si="518"/>
        <v>013801</v>
      </c>
      <c r="J784" s="739">
        <v>8000</v>
      </c>
      <c r="Q784" s="773"/>
      <c r="T784" s="775" t="str">
        <f t="shared" si="519"/>
        <v>023801</v>
      </c>
      <c r="W784" s="739" t="s">
        <v>2032</v>
      </c>
      <c r="Y784" s="775">
        <f t="shared" si="520"/>
        <v>2017</v>
      </c>
      <c r="Z784" s="775">
        <v>12</v>
      </c>
      <c r="AA784" s="739">
        <f>('LedgerLoad Assist'!BF67)*-1</f>
        <v>0</v>
      </c>
      <c r="AB784" s="739">
        <f t="shared" ref="AB784:AC784" si="525">AA784</f>
        <v>0</v>
      </c>
      <c r="AC784" s="739">
        <f t="shared" si="525"/>
        <v>0</v>
      </c>
    </row>
    <row r="785" spans="1:29">
      <c r="A785" s="739" t="s">
        <v>2025</v>
      </c>
      <c r="B785" s="739" t="s">
        <v>2025</v>
      </c>
      <c r="C785" s="739" t="s">
        <v>2026</v>
      </c>
      <c r="D785" s="739" t="s">
        <v>2026</v>
      </c>
      <c r="E785" s="791">
        <v>330000</v>
      </c>
      <c r="G785" s="739" t="str">
        <f t="shared" si="518"/>
        <v>013801</v>
      </c>
      <c r="J785" s="739">
        <v>8000</v>
      </c>
      <c r="Q785" s="773"/>
      <c r="T785" s="775" t="str">
        <f t="shared" si="519"/>
        <v>023801</v>
      </c>
      <c r="W785" s="739" t="s">
        <v>2032</v>
      </c>
      <c r="Y785" s="775">
        <f t="shared" si="520"/>
        <v>2017</v>
      </c>
      <c r="Z785" s="775">
        <v>12</v>
      </c>
      <c r="AA785" s="739">
        <f>('LedgerLoad Assist'!BF68)*-1</f>
        <v>0</v>
      </c>
      <c r="AB785" s="739">
        <f t="shared" ref="AB785:AC785" si="526">AA785</f>
        <v>0</v>
      </c>
      <c r="AC785" s="739">
        <f t="shared" si="526"/>
        <v>0</v>
      </c>
    </row>
    <row r="786" spans="1:29">
      <c r="A786" s="739" t="s">
        <v>2025</v>
      </c>
      <c r="B786" s="739" t="s">
        <v>2025</v>
      </c>
      <c r="C786" s="739" t="s">
        <v>2026</v>
      </c>
      <c r="D786" s="739" t="s">
        <v>2026</v>
      </c>
      <c r="E786" s="791">
        <v>331000</v>
      </c>
      <c r="G786" s="739" t="str">
        <f t="shared" si="518"/>
        <v>013801</v>
      </c>
      <c r="J786" s="739">
        <v>8000</v>
      </c>
      <c r="Q786" s="773"/>
      <c r="T786" s="775" t="str">
        <f t="shared" si="519"/>
        <v>023801</v>
      </c>
      <c r="W786" s="739" t="s">
        <v>2032</v>
      </c>
      <c r="Y786" s="775">
        <f t="shared" si="520"/>
        <v>2017</v>
      </c>
      <c r="Z786" s="775">
        <v>12</v>
      </c>
      <c r="AA786" s="739">
        <f>('OPER.-PERMANENT FUNDS(77-78)'!H13+'OPER.-PERMANENT FUNDS(77-78)'!H14+'LedgerLoad Assist'!BF69)*-1</f>
        <v>0</v>
      </c>
      <c r="AB786" s="739">
        <f t="shared" ref="AB786:AC786" si="527">AA786</f>
        <v>0</v>
      </c>
      <c r="AC786" s="739">
        <f t="shared" si="527"/>
        <v>0</v>
      </c>
    </row>
    <row r="787" spans="1:29">
      <c r="A787" s="739" t="s">
        <v>2025</v>
      </c>
      <c r="B787" s="739" t="s">
        <v>2025</v>
      </c>
      <c r="C787" s="739" t="s">
        <v>2026</v>
      </c>
      <c r="D787" s="739" t="s">
        <v>2026</v>
      </c>
      <c r="E787" s="791">
        <v>332000</v>
      </c>
      <c r="G787" s="739" t="str">
        <f t="shared" si="518"/>
        <v>013801</v>
      </c>
      <c r="J787" s="739">
        <v>8000</v>
      </c>
      <c r="Q787" s="773"/>
      <c r="T787" s="775" t="str">
        <f t="shared" si="519"/>
        <v>023801</v>
      </c>
      <c r="W787" s="739" t="s">
        <v>2032</v>
      </c>
      <c r="Y787" s="775">
        <f t="shared" si="520"/>
        <v>2017</v>
      </c>
      <c r="Z787" s="775">
        <v>12</v>
      </c>
      <c r="AA787" s="739">
        <f>('OPER.-PERMANENT FUNDS(77-78)'!H15+'LedgerLoad Assist'!BF70)*-1</f>
        <v>0</v>
      </c>
      <c r="AB787" s="739">
        <f t="shared" ref="AB787:AC787" si="528">AA787</f>
        <v>0</v>
      </c>
      <c r="AC787" s="739">
        <f t="shared" si="528"/>
        <v>0</v>
      </c>
    </row>
    <row r="788" spans="1:29">
      <c r="A788" s="739" t="s">
        <v>2025</v>
      </c>
      <c r="B788" s="739" t="s">
        <v>2025</v>
      </c>
      <c r="C788" s="739" t="s">
        <v>2026</v>
      </c>
      <c r="D788" s="739" t="s">
        <v>2026</v>
      </c>
      <c r="E788" s="791">
        <v>333000</v>
      </c>
      <c r="G788" s="739" t="str">
        <f t="shared" si="518"/>
        <v>013801</v>
      </c>
      <c r="J788" s="739">
        <v>8000</v>
      </c>
      <c r="Q788" s="773"/>
      <c r="T788" s="775" t="str">
        <f t="shared" si="519"/>
        <v>023801</v>
      </c>
      <c r="W788" s="739" t="s">
        <v>2032</v>
      </c>
      <c r="Y788" s="775">
        <f t="shared" si="520"/>
        <v>2017</v>
      </c>
      <c r="Z788" s="775">
        <v>12</v>
      </c>
      <c r="AA788" s="739">
        <f>('LedgerLoad Assist'!BF71)*-1</f>
        <v>0</v>
      </c>
      <c r="AB788" s="739">
        <f t="shared" ref="AB788:AC788" si="529">AA788</f>
        <v>0</v>
      </c>
      <c r="AC788" s="739">
        <f t="shared" si="529"/>
        <v>0</v>
      </c>
    </row>
    <row r="789" spans="1:29">
      <c r="A789" s="739" t="s">
        <v>2025</v>
      </c>
      <c r="B789" s="739" t="s">
        <v>2025</v>
      </c>
      <c r="C789" s="739" t="s">
        <v>2026</v>
      </c>
      <c r="D789" s="739" t="s">
        <v>2026</v>
      </c>
      <c r="E789" s="791">
        <v>334000</v>
      </c>
      <c r="G789" s="739" t="str">
        <f t="shared" si="518"/>
        <v>013801</v>
      </c>
      <c r="J789" s="739">
        <v>8000</v>
      </c>
      <c r="Q789" s="773"/>
      <c r="T789" s="775" t="str">
        <f t="shared" si="519"/>
        <v>023801</v>
      </c>
      <c r="W789" s="739" t="s">
        <v>2032</v>
      </c>
      <c r="Y789" s="775">
        <f t="shared" si="520"/>
        <v>2017</v>
      </c>
      <c r="Z789" s="775">
        <v>12</v>
      </c>
      <c r="AA789" s="739">
        <f>('OPER.-PERMANENT FUNDS(77-78)'!H16+'OPER.-PERMANENT FUNDS(77-78)'!H17+'LedgerLoad Assist'!BF72)*-1</f>
        <v>0</v>
      </c>
      <c r="AB789" s="739">
        <f t="shared" ref="AB789:AC789" si="530">AA789</f>
        <v>0</v>
      </c>
      <c r="AC789" s="739">
        <f t="shared" si="530"/>
        <v>0</v>
      </c>
    </row>
    <row r="790" spans="1:29">
      <c r="A790" s="739" t="s">
        <v>2025</v>
      </c>
      <c r="B790" s="739" t="s">
        <v>2025</v>
      </c>
      <c r="C790" s="739" t="s">
        <v>2026</v>
      </c>
      <c r="D790" s="739" t="s">
        <v>2026</v>
      </c>
      <c r="E790" s="791">
        <v>335000</v>
      </c>
      <c r="G790" s="739" t="str">
        <f t="shared" si="518"/>
        <v>013801</v>
      </c>
      <c r="J790" s="739">
        <v>8000</v>
      </c>
      <c r="Q790" s="773"/>
      <c r="T790" s="775" t="str">
        <f t="shared" si="519"/>
        <v>023801</v>
      </c>
      <c r="W790" s="739" t="s">
        <v>2032</v>
      </c>
      <c r="Y790" s="775">
        <f t="shared" si="520"/>
        <v>2017</v>
      </c>
      <c r="Z790" s="775">
        <v>12</v>
      </c>
      <c r="AA790" s="739">
        <f>('OPER.-PERMANENT FUNDS(77-78)'!H18+'LedgerLoad Assist'!BF73)*-1</f>
        <v>0</v>
      </c>
      <c r="AB790" s="739">
        <f t="shared" ref="AB790:AC790" si="531">AA790</f>
        <v>0</v>
      </c>
      <c r="AC790" s="739">
        <f t="shared" si="531"/>
        <v>0</v>
      </c>
    </row>
    <row r="791" spans="1:29">
      <c r="A791" s="739" t="s">
        <v>2025</v>
      </c>
      <c r="B791" s="739" t="s">
        <v>2025</v>
      </c>
      <c r="C791" s="739" t="s">
        <v>2026</v>
      </c>
      <c r="D791" s="739" t="s">
        <v>2026</v>
      </c>
      <c r="E791" s="791">
        <v>336000</v>
      </c>
      <c r="G791" s="739" t="str">
        <f t="shared" si="518"/>
        <v>013801</v>
      </c>
      <c r="J791" s="739">
        <v>8000</v>
      </c>
      <c r="Q791" s="773"/>
      <c r="T791" s="775" t="str">
        <f t="shared" si="519"/>
        <v>023801</v>
      </c>
      <c r="W791" s="739" t="s">
        <v>2032</v>
      </c>
      <c r="Y791" s="775">
        <f t="shared" si="520"/>
        <v>2017</v>
      </c>
      <c r="Z791" s="775">
        <v>12</v>
      </c>
      <c r="AA791" s="739">
        <f>('LedgerLoad Assist'!BF74)*-1</f>
        <v>0</v>
      </c>
      <c r="AB791" s="739">
        <f t="shared" ref="AB791:AC791" si="532">AA791</f>
        <v>0</v>
      </c>
      <c r="AC791" s="739">
        <f t="shared" si="532"/>
        <v>0</v>
      </c>
    </row>
    <row r="792" spans="1:29">
      <c r="A792" s="739" t="s">
        <v>2025</v>
      </c>
      <c r="B792" s="739" t="s">
        <v>2025</v>
      </c>
      <c r="C792" s="739" t="s">
        <v>2026</v>
      </c>
      <c r="D792" s="739" t="s">
        <v>2026</v>
      </c>
      <c r="E792" s="791">
        <v>337000</v>
      </c>
      <c r="G792" s="739" t="str">
        <f t="shared" si="518"/>
        <v>013801</v>
      </c>
      <c r="J792" s="739">
        <v>8000</v>
      </c>
      <c r="Q792" s="773"/>
      <c r="T792" s="775" t="str">
        <f t="shared" si="519"/>
        <v>023801</v>
      </c>
      <c r="W792" s="739" t="s">
        <v>2032</v>
      </c>
      <c r="Y792" s="775">
        <f t="shared" si="520"/>
        <v>2017</v>
      </c>
      <c r="Z792" s="775">
        <v>12</v>
      </c>
      <c r="AA792" s="739">
        <f>('LedgerLoad Assist'!BF75)*-1</f>
        <v>0</v>
      </c>
      <c r="AB792" s="739">
        <f t="shared" ref="AB792:AC792" si="533">AA792</f>
        <v>0</v>
      </c>
      <c r="AC792" s="739">
        <f t="shared" si="533"/>
        <v>0</v>
      </c>
    </row>
    <row r="793" spans="1:29">
      <c r="A793" s="739" t="s">
        <v>2025</v>
      </c>
      <c r="B793" s="739" t="s">
        <v>2025</v>
      </c>
      <c r="C793" s="739" t="s">
        <v>2026</v>
      </c>
      <c r="D793" s="739" t="s">
        <v>2026</v>
      </c>
      <c r="E793" s="791">
        <v>338000</v>
      </c>
      <c r="G793" s="739" t="str">
        <f t="shared" si="518"/>
        <v>013801</v>
      </c>
      <c r="J793" s="739">
        <v>8000</v>
      </c>
      <c r="Q793" s="773"/>
      <c r="T793" s="775" t="str">
        <f t="shared" si="519"/>
        <v>023801</v>
      </c>
      <c r="W793" s="739" t="s">
        <v>2032</v>
      </c>
      <c r="Y793" s="775">
        <f t="shared" si="520"/>
        <v>2017</v>
      </c>
      <c r="Z793" s="775">
        <v>12</v>
      </c>
      <c r="AA793" s="739">
        <f>('LedgerLoad Assist'!BF76)*-1</f>
        <v>0</v>
      </c>
      <c r="AB793" s="739">
        <f t="shared" ref="AB793:AC793" si="534">AA793</f>
        <v>0</v>
      </c>
      <c r="AC793" s="739">
        <f t="shared" si="534"/>
        <v>0</v>
      </c>
    </row>
    <row r="794" spans="1:29">
      <c r="A794" s="739" t="s">
        <v>2025</v>
      </c>
      <c r="B794" s="739" t="s">
        <v>2025</v>
      </c>
      <c r="C794" s="739" t="s">
        <v>2026</v>
      </c>
      <c r="D794" s="739" t="s">
        <v>2026</v>
      </c>
      <c r="E794" s="791">
        <v>339000</v>
      </c>
      <c r="G794" s="739" t="str">
        <f t="shared" si="518"/>
        <v>013801</v>
      </c>
      <c r="J794" s="739">
        <v>8000</v>
      </c>
      <c r="Q794" s="773"/>
      <c r="T794" s="775" t="str">
        <f t="shared" si="519"/>
        <v>023801</v>
      </c>
      <c r="W794" s="739" t="s">
        <v>2032</v>
      </c>
      <c r="Y794" s="775">
        <f t="shared" si="520"/>
        <v>2017</v>
      </c>
      <c r="Z794" s="775">
        <v>12</v>
      </c>
      <c r="AA794" s="739">
        <f>('LedgerLoad Assist'!BF77)*-1</f>
        <v>0</v>
      </c>
      <c r="AB794" s="739">
        <f t="shared" ref="AB794:AC794" si="535">AA794</f>
        <v>0</v>
      </c>
      <c r="AC794" s="739">
        <f t="shared" si="535"/>
        <v>0</v>
      </c>
    </row>
    <row r="795" spans="1:29">
      <c r="A795" s="739" t="s">
        <v>2025</v>
      </c>
      <c r="B795" s="739" t="s">
        <v>2025</v>
      </c>
      <c r="C795" s="739" t="s">
        <v>2026</v>
      </c>
      <c r="D795" s="739" t="s">
        <v>2026</v>
      </c>
      <c r="E795" s="791">
        <v>340000</v>
      </c>
      <c r="G795" s="739" t="str">
        <f t="shared" si="518"/>
        <v>013801</v>
      </c>
      <c r="J795" s="739">
        <v>8000</v>
      </c>
      <c r="Q795" s="773"/>
      <c r="T795" s="775" t="str">
        <f t="shared" si="519"/>
        <v>023801</v>
      </c>
      <c r="W795" s="739" t="s">
        <v>2032</v>
      </c>
      <c r="Y795" s="775">
        <f t="shared" si="520"/>
        <v>2017</v>
      </c>
      <c r="Z795" s="775">
        <v>12</v>
      </c>
      <c r="AA795" s="739">
        <f>('LedgerLoad Assist'!BF78)*-1</f>
        <v>0</v>
      </c>
      <c r="AB795" s="739">
        <f t="shared" ref="AB795:AC795" si="536">AA795</f>
        <v>0</v>
      </c>
      <c r="AC795" s="739">
        <f t="shared" si="536"/>
        <v>0</v>
      </c>
    </row>
    <row r="796" spans="1:29">
      <c r="A796" s="739" t="s">
        <v>2025</v>
      </c>
      <c r="B796" s="739" t="s">
        <v>2025</v>
      </c>
      <c r="C796" s="739" t="s">
        <v>2026</v>
      </c>
      <c r="D796" s="739" t="s">
        <v>2026</v>
      </c>
      <c r="E796" s="791">
        <v>341000</v>
      </c>
      <c r="G796" s="739" t="str">
        <f t="shared" si="518"/>
        <v>013801</v>
      </c>
      <c r="J796" s="739">
        <v>8000</v>
      </c>
      <c r="Q796" s="773"/>
      <c r="T796" s="775" t="str">
        <f t="shared" si="519"/>
        <v>023801</v>
      </c>
      <c r="W796" s="739" t="s">
        <v>2032</v>
      </c>
      <c r="Y796" s="775">
        <f t="shared" si="520"/>
        <v>2017</v>
      </c>
      <c r="Z796" s="775">
        <v>12</v>
      </c>
      <c r="AA796" s="739">
        <f>('OPER.-PERMANENT FUNDS(77-78)'!H20+'OPER.-PERMANENT FUNDS(77-78)'!H21+'LedgerLoad Assist'!BF79)*-1</f>
        <v>0</v>
      </c>
      <c r="AB796" s="739">
        <f t="shared" ref="AB796:AC796" si="537">AA796</f>
        <v>0</v>
      </c>
      <c r="AC796" s="739">
        <f t="shared" si="537"/>
        <v>0</v>
      </c>
    </row>
    <row r="797" spans="1:29">
      <c r="A797" s="739" t="s">
        <v>2025</v>
      </c>
      <c r="B797" s="739" t="s">
        <v>2025</v>
      </c>
      <c r="C797" s="739" t="s">
        <v>2026</v>
      </c>
      <c r="D797" s="739" t="s">
        <v>2026</v>
      </c>
      <c r="E797" s="791">
        <v>342000</v>
      </c>
      <c r="G797" s="739" t="str">
        <f t="shared" si="518"/>
        <v>013801</v>
      </c>
      <c r="J797" s="739">
        <v>8000</v>
      </c>
      <c r="Q797" s="773"/>
      <c r="T797" s="775" t="str">
        <f t="shared" si="519"/>
        <v>023801</v>
      </c>
      <c r="W797" s="739" t="s">
        <v>2032</v>
      </c>
      <c r="Y797" s="775">
        <f t="shared" si="520"/>
        <v>2017</v>
      </c>
      <c r="Z797" s="775">
        <v>12</v>
      </c>
      <c r="AA797" s="739">
        <f>('LedgerLoad Assist'!BF80)*-1</f>
        <v>0</v>
      </c>
      <c r="AB797" s="739">
        <f t="shared" ref="AB797:AC797" si="538">AA797</f>
        <v>0</v>
      </c>
      <c r="AC797" s="739">
        <f t="shared" si="538"/>
        <v>0</v>
      </c>
    </row>
    <row r="798" spans="1:29">
      <c r="A798" s="739" t="s">
        <v>2025</v>
      </c>
      <c r="B798" s="739" t="s">
        <v>2025</v>
      </c>
      <c r="C798" s="739" t="s">
        <v>2026</v>
      </c>
      <c r="D798" s="739" t="s">
        <v>2026</v>
      </c>
      <c r="E798" s="791">
        <v>343000</v>
      </c>
      <c r="G798" s="739" t="str">
        <f t="shared" si="518"/>
        <v>013801</v>
      </c>
      <c r="J798" s="739">
        <v>8000</v>
      </c>
      <c r="Q798" s="773"/>
      <c r="T798" s="775" t="str">
        <f t="shared" si="519"/>
        <v>023801</v>
      </c>
      <c r="W798" s="739" t="s">
        <v>2032</v>
      </c>
      <c r="Y798" s="775">
        <f t="shared" si="520"/>
        <v>2017</v>
      </c>
      <c r="Z798" s="775">
        <v>12</v>
      </c>
      <c r="AA798" s="739">
        <f>('OPER.-PERMANENT FUNDS(77-78)'!H22+'LedgerLoad Assist'!BF81)*-1</f>
        <v>0</v>
      </c>
      <c r="AB798" s="739">
        <f t="shared" ref="AB798:AC798" si="539">AA798</f>
        <v>0</v>
      </c>
      <c r="AC798" s="739">
        <f t="shared" si="539"/>
        <v>0</v>
      </c>
    </row>
    <row r="799" spans="1:29">
      <c r="A799" s="739" t="s">
        <v>2025</v>
      </c>
      <c r="B799" s="739" t="s">
        <v>2025</v>
      </c>
      <c r="C799" s="739" t="s">
        <v>2026</v>
      </c>
      <c r="D799" s="739" t="s">
        <v>2026</v>
      </c>
      <c r="E799" s="791">
        <v>344000</v>
      </c>
      <c r="G799" s="739" t="str">
        <f t="shared" si="518"/>
        <v>013801</v>
      </c>
      <c r="J799" s="739">
        <v>8000</v>
      </c>
      <c r="Q799" s="773"/>
      <c r="T799" s="775" t="str">
        <f t="shared" si="519"/>
        <v>023801</v>
      </c>
      <c r="W799" s="739" t="s">
        <v>2032</v>
      </c>
      <c r="Y799" s="775">
        <f t="shared" si="520"/>
        <v>2017</v>
      </c>
      <c r="Z799" s="775">
        <v>12</v>
      </c>
      <c r="AA799" s="739">
        <f>('LedgerLoad Assist'!BF82)*-1</f>
        <v>0</v>
      </c>
      <c r="AB799" s="739">
        <f t="shared" ref="AB799:AC799" si="540">AA799</f>
        <v>0</v>
      </c>
      <c r="AC799" s="739">
        <f t="shared" si="540"/>
        <v>0</v>
      </c>
    </row>
    <row r="800" spans="1:29">
      <c r="A800" s="739" t="s">
        <v>2025</v>
      </c>
      <c r="B800" s="739" t="s">
        <v>2025</v>
      </c>
      <c r="C800" s="739" t="s">
        <v>2026</v>
      </c>
      <c r="D800" s="739" t="s">
        <v>2026</v>
      </c>
      <c r="E800" s="791">
        <v>345000</v>
      </c>
      <c r="G800" s="739" t="str">
        <f t="shared" si="518"/>
        <v>013801</v>
      </c>
      <c r="J800" s="739">
        <v>8000</v>
      </c>
      <c r="Q800" s="773"/>
      <c r="T800" s="775" t="str">
        <f t="shared" si="519"/>
        <v>023801</v>
      </c>
      <c r="W800" s="739" t="s">
        <v>2032</v>
      </c>
      <c r="Y800" s="775">
        <f t="shared" si="520"/>
        <v>2017</v>
      </c>
      <c r="Z800" s="775">
        <v>12</v>
      </c>
      <c r="AA800" s="739">
        <f>('LedgerLoad Assist'!BF83)*-1</f>
        <v>0</v>
      </c>
      <c r="AB800" s="739">
        <f t="shared" ref="AB800:AC800" si="541">AA800</f>
        <v>0</v>
      </c>
      <c r="AC800" s="739">
        <f t="shared" si="541"/>
        <v>0</v>
      </c>
    </row>
    <row r="801" spans="1:29">
      <c r="A801" s="739" t="s">
        <v>2025</v>
      </c>
      <c r="B801" s="739" t="s">
        <v>2025</v>
      </c>
      <c r="C801" s="739" t="s">
        <v>2026</v>
      </c>
      <c r="D801" s="739" t="s">
        <v>2026</v>
      </c>
      <c r="E801" s="791">
        <v>346000</v>
      </c>
      <c r="G801" s="739" t="str">
        <f t="shared" si="518"/>
        <v>013801</v>
      </c>
      <c r="J801" s="739">
        <v>8000</v>
      </c>
      <c r="Q801" s="773"/>
      <c r="T801" s="775" t="str">
        <f t="shared" si="519"/>
        <v>023801</v>
      </c>
      <c r="W801" s="739" t="s">
        <v>2032</v>
      </c>
      <c r="Y801" s="775">
        <f t="shared" si="520"/>
        <v>2017</v>
      </c>
      <c r="Z801" s="775">
        <v>12</v>
      </c>
      <c r="AA801" s="739">
        <f>('LedgerLoad Assist'!BF84)*-1</f>
        <v>0</v>
      </c>
      <c r="AB801" s="739">
        <f t="shared" ref="AB801:AC801" si="542">AA801</f>
        <v>0</v>
      </c>
      <c r="AC801" s="739">
        <f t="shared" si="542"/>
        <v>0</v>
      </c>
    </row>
    <row r="802" spans="1:29">
      <c r="A802" s="739" t="s">
        <v>2025</v>
      </c>
      <c r="B802" s="739" t="s">
        <v>2025</v>
      </c>
      <c r="C802" s="739" t="s">
        <v>2026</v>
      </c>
      <c r="D802" s="739" t="s">
        <v>2026</v>
      </c>
      <c r="E802" s="791">
        <v>350000</v>
      </c>
      <c r="G802" s="739" t="str">
        <f t="shared" si="518"/>
        <v>013801</v>
      </c>
      <c r="J802" s="739">
        <v>8000</v>
      </c>
      <c r="Q802" s="773"/>
      <c r="T802" s="775" t="str">
        <f t="shared" si="519"/>
        <v>023801</v>
      </c>
      <c r="W802" s="739" t="s">
        <v>2032</v>
      </c>
      <c r="Y802" s="775">
        <f t="shared" si="520"/>
        <v>2017</v>
      </c>
      <c r="Z802" s="775">
        <v>12</v>
      </c>
      <c r="AA802" s="739">
        <f>('LedgerLoad Assist'!BF85)*-1</f>
        <v>0</v>
      </c>
      <c r="AB802" s="739">
        <f t="shared" ref="AB802:AC802" si="543">AA802</f>
        <v>0</v>
      </c>
      <c r="AC802" s="739">
        <f t="shared" si="543"/>
        <v>0</v>
      </c>
    </row>
    <row r="803" spans="1:29">
      <c r="A803" s="739" t="s">
        <v>2025</v>
      </c>
      <c r="B803" s="739" t="s">
        <v>2025</v>
      </c>
      <c r="C803" s="739" t="s">
        <v>2026</v>
      </c>
      <c r="D803" s="739" t="s">
        <v>2026</v>
      </c>
      <c r="E803" s="791">
        <v>351000</v>
      </c>
      <c r="G803" s="739" t="str">
        <f t="shared" si="518"/>
        <v>013801</v>
      </c>
      <c r="J803" s="739">
        <v>8000</v>
      </c>
      <c r="Q803" s="773"/>
      <c r="T803" s="775" t="str">
        <f t="shared" si="519"/>
        <v>023801</v>
      </c>
      <c r="W803" s="739" t="s">
        <v>2032</v>
      </c>
      <c r="Y803" s="775">
        <f t="shared" si="520"/>
        <v>2017</v>
      </c>
      <c r="Z803" s="775">
        <v>12</v>
      </c>
      <c r="AA803" s="739">
        <f>('LedgerLoad Assist'!BF86)*-1</f>
        <v>0</v>
      </c>
      <c r="AB803" s="739">
        <f t="shared" ref="AB803:AC803" si="544">AA803</f>
        <v>0</v>
      </c>
      <c r="AC803" s="739">
        <f t="shared" si="544"/>
        <v>0</v>
      </c>
    </row>
    <row r="804" spans="1:29">
      <c r="A804" s="739" t="s">
        <v>2025</v>
      </c>
      <c r="B804" s="739" t="s">
        <v>2025</v>
      </c>
      <c r="C804" s="739" t="s">
        <v>2026</v>
      </c>
      <c r="D804" s="739" t="s">
        <v>2026</v>
      </c>
      <c r="E804" s="792">
        <v>360000</v>
      </c>
      <c r="G804" s="739" t="str">
        <f t="shared" si="518"/>
        <v>013801</v>
      </c>
      <c r="J804" s="739">
        <v>8000</v>
      </c>
      <c r="Q804" s="773"/>
      <c r="T804" s="775" t="str">
        <f t="shared" si="519"/>
        <v>023801</v>
      </c>
      <c r="W804" s="739" t="s">
        <v>2032</v>
      </c>
      <c r="Y804" s="775">
        <f t="shared" si="520"/>
        <v>2017</v>
      </c>
      <c r="Z804" s="775">
        <v>12</v>
      </c>
      <c r="AA804" s="739">
        <v>0</v>
      </c>
    </row>
    <row r="805" spans="1:29">
      <c r="A805" s="739" t="s">
        <v>2025</v>
      </c>
      <c r="B805" s="739" t="s">
        <v>2025</v>
      </c>
      <c r="C805" s="739" t="s">
        <v>2026</v>
      </c>
      <c r="D805" s="739" t="s">
        <v>2026</v>
      </c>
      <c r="E805" s="791">
        <v>361000</v>
      </c>
      <c r="G805" s="739" t="str">
        <f t="shared" si="518"/>
        <v>013801</v>
      </c>
      <c r="J805" s="739">
        <v>8000</v>
      </c>
      <c r="Q805" s="773"/>
      <c r="T805" s="775" t="str">
        <f t="shared" si="519"/>
        <v>023801</v>
      </c>
      <c r="W805" s="739" t="s">
        <v>2032</v>
      </c>
      <c r="Y805" s="775">
        <f t="shared" si="520"/>
        <v>2017</v>
      </c>
      <c r="Z805" s="775">
        <v>12</v>
      </c>
      <c r="AA805" s="739">
        <f>('OPER.-PERMANENT FUNDS(77-78)'!H24+'LedgerLoad Assist'!BF88)*-1</f>
        <v>0</v>
      </c>
      <c r="AB805" s="739">
        <f t="shared" ref="AB805:AC805" si="545">AA805</f>
        <v>0</v>
      </c>
      <c r="AC805" s="739">
        <f t="shared" si="545"/>
        <v>0</v>
      </c>
    </row>
    <row r="806" spans="1:29">
      <c r="A806" s="739" t="s">
        <v>2025</v>
      </c>
      <c r="B806" s="739" t="s">
        <v>2025</v>
      </c>
      <c r="C806" s="739" t="s">
        <v>2026</v>
      </c>
      <c r="D806" s="739" t="s">
        <v>2026</v>
      </c>
      <c r="E806" s="792">
        <v>362000</v>
      </c>
      <c r="G806" s="739" t="str">
        <f t="shared" si="518"/>
        <v>013801</v>
      </c>
      <c r="J806" s="739">
        <v>8000</v>
      </c>
      <c r="Q806" s="773"/>
      <c r="T806" s="775" t="str">
        <f t="shared" si="519"/>
        <v>023801</v>
      </c>
      <c r="W806" s="739" t="s">
        <v>2032</v>
      </c>
      <c r="Y806" s="775">
        <f t="shared" si="520"/>
        <v>2017</v>
      </c>
      <c r="Z806" s="775">
        <v>12</v>
      </c>
      <c r="AA806" s="739">
        <f>('OPER.-PERMANENT FUNDS(77-78)'!H25+'LedgerLoad Assist'!BF89+'LedgerLoad Assist'!BF87)*-1</f>
        <v>0</v>
      </c>
      <c r="AB806" s="739">
        <f t="shared" ref="AB806:AC806" si="546">AA806</f>
        <v>0</v>
      </c>
      <c r="AC806" s="739">
        <f t="shared" si="546"/>
        <v>0</v>
      </c>
    </row>
    <row r="807" spans="1:29">
      <c r="A807" s="739" t="s">
        <v>2025</v>
      </c>
      <c r="B807" s="739" t="s">
        <v>2025</v>
      </c>
      <c r="C807" s="739" t="s">
        <v>2026</v>
      </c>
      <c r="D807" s="739" t="s">
        <v>2026</v>
      </c>
      <c r="E807" s="791">
        <v>363000</v>
      </c>
      <c r="G807" s="739" t="str">
        <f t="shared" si="518"/>
        <v>013801</v>
      </c>
      <c r="J807" s="739">
        <v>8000</v>
      </c>
      <c r="Q807" s="773"/>
      <c r="T807" s="775" t="str">
        <f t="shared" si="519"/>
        <v>023801</v>
      </c>
      <c r="W807" s="739" t="s">
        <v>2032</v>
      </c>
      <c r="Y807" s="775">
        <f t="shared" si="520"/>
        <v>2017</v>
      </c>
      <c r="Z807" s="775">
        <v>12</v>
      </c>
      <c r="AA807" s="739">
        <f>('LedgerLoad Assist'!BF90)*-1</f>
        <v>0</v>
      </c>
      <c r="AB807" s="739">
        <f t="shared" ref="AB807:AC807" si="547">AA807</f>
        <v>0</v>
      </c>
      <c r="AC807" s="739">
        <f t="shared" si="547"/>
        <v>0</v>
      </c>
    </row>
    <row r="808" spans="1:29">
      <c r="A808" s="739" t="s">
        <v>2025</v>
      </c>
      <c r="B808" s="739" t="s">
        <v>2025</v>
      </c>
      <c r="C808" s="739" t="s">
        <v>2026</v>
      </c>
      <c r="D808" s="739" t="s">
        <v>2026</v>
      </c>
      <c r="E808" s="791">
        <v>365000</v>
      </c>
      <c r="G808" s="739" t="str">
        <f t="shared" si="518"/>
        <v>013801</v>
      </c>
      <c r="J808" s="739">
        <v>8000</v>
      </c>
      <c r="Q808" s="773"/>
      <c r="T808" s="775" t="str">
        <f t="shared" si="519"/>
        <v>023801</v>
      </c>
      <c r="W808" s="739" t="s">
        <v>2032</v>
      </c>
      <c r="Y808" s="775">
        <f t="shared" si="520"/>
        <v>2017</v>
      </c>
      <c r="Z808" s="775">
        <v>12</v>
      </c>
      <c r="AA808" s="739">
        <f>('OPER.-PERMANENT FUNDS(77-78)'!H26+'LedgerLoad Assist'!BF91)*-1</f>
        <v>0</v>
      </c>
      <c r="AB808" s="739">
        <f t="shared" ref="AB808:AC808" si="548">AA808</f>
        <v>0</v>
      </c>
      <c r="AC808" s="739">
        <f t="shared" si="548"/>
        <v>0</v>
      </c>
    </row>
    <row r="809" spans="1:29">
      <c r="A809" s="739" t="s">
        <v>2025</v>
      </c>
      <c r="B809" s="739" t="s">
        <v>2025</v>
      </c>
      <c r="C809" s="739" t="s">
        <v>2026</v>
      </c>
      <c r="D809" s="739" t="s">
        <v>2026</v>
      </c>
      <c r="E809" s="791">
        <v>366000</v>
      </c>
      <c r="G809" s="739" t="str">
        <f t="shared" si="518"/>
        <v>013801</v>
      </c>
      <c r="J809" s="739">
        <v>8000</v>
      </c>
      <c r="Q809" s="773"/>
      <c r="T809" s="775" t="str">
        <f t="shared" si="519"/>
        <v>023801</v>
      </c>
      <c r="W809" s="739" t="s">
        <v>2032</v>
      </c>
      <c r="Y809" s="775">
        <f t="shared" si="520"/>
        <v>2017</v>
      </c>
      <c r="Z809" s="775">
        <v>12</v>
      </c>
      <c r="AA809" s="739">
        <f>('LedgerLoad Assist'!BF92)*-1</f>
        <v>0</v>
      </c>
      <c r="AB809" s="739">
        <f t="shared" ref="AB809:AC809" si="549">AA809</f>
        <v>0</v>
      </c>
      <c r="AC809" s="739">
        <f t="shared" si="549"/>
        <v>0</v>
      </c>
    </row>
    <row r="810" spans="1:29">
      <c r="A810" s="739" t="s">
        <v>2025</v>
      </c>
      <c r="B810" s="739" t="s">
        <v>2025</v>
      </c>
      <c r="C810" s="739" t="s">
        <v>2026</v>
      </c>
      <c r="D810" s="739" t="s">
        <v>2026</v>
      </c>
      <c r="E810" s="791">
        <v>367000</v>
      </c>
      <c r="G810" s="739" t="str">
        <f t="shared" si="518"/>
        <v>013801</v>
      </c>
      <c r="J810" s="739">
        <v>8000</v>
      </c>
      <c r="Q810" s="773"/>
      <c r="T810" s="775" t="str">
        <f t="shared" si="519"/>
        <v>023801</v>
      </c>
      <c r="W810" s="739" t="s">
        <v>2032</v>
      </c>
      <c r="Y810" s="775">
        <f t="shared" si="520"/>
        <v>2017</v>
      </c>
      <c r="Z810" s="775">
        <v>12</v>
      </c>
      <c r="AA810" s="739">
        <f>('LedgerLoad Assist'!BF93)*-1</f>
        <v>0</v>
      </c>
      <c r="AB810" s="739">
        <f t="shared" ref="AB810:AC810" si="550">AA810</f>
        <v>0</v>
      </c>
      <c r="AC810" s="739">
        <f t="shared" si="550"/>
        <v>0</v>
      </c>
    </row>
    <row r="811" spans="1:29">
      <c r="A811" s="739" t="s">
        <v>2025</v>
      </c>
      <c r="B811" s="739" t="s">
        <v>2025</v>
      </c>
      <c r="C811" s="739" t="s">
        <v>2026</v>
      </c>
      <c r="D811" s="739" t="s">
        <v>2026</v>
      </c>
      <c r="E811" s="791">
        <v>368000</v>
      </c>
      <c r="G811" s="739" t="str">
        <f t="shared" si="518"/>
        <v>013801</v>
      </c>
      <c r="J811" s="739">
        <v>8000</v>
      </c>
      <c r="Q811" s="773"/>
      <c r="T811" s="775" t="str">
        <f t="shared" si="519"/>
        <v>023801</v>
      </c>
      <c r="W811" s="739" t="s">
        <v>2032</v>
      </c>
      <c r="Y811" s="775">
        <f t="shared" si="520"/>
        <v>2017</v>
      </c>
      <c r="Z811" s="775">
        <v>12</v>
      </c>
      <c r="AA811" s="739">
        <f>('LedgerLoad Assist'!BF94)*-1</f>
        <v>0</v>
      </c>
      <c r="AB811" s="739">
        <f t="shared" ref="AB811:AC811" si="551">AA811</f>
        <v>0</v>
      </c>
      <c r="AC811" s="739">
        <f t="shared" si="551"/>
        <v>0</v>
      </c>
    </row>
    <row r="812" spans="1:29">
      <c r="A812" s="739" t="s">
        <v>2025</v>
      </c>
      <c r="B812" s="739" t="s">
        <v>2025</v>
      </c>
      <c r="C812" s="739" t="s">
        <v>2026</v>
      </c>
      <c r="D812" s="739" t="s">
        <v>2026</v>
      </c>
      <c r="E812" s="791">
        <v>370000</v>
      </c>
      <c r="G812" s="739" t="str">
        <f t="shared" si="518"/>
        <v>013801</v>
      </c>
      <c r="J812" s="739">
        <v>8000</v>
      </c>
      <c r="Q812" s="773"/>
      <c r="T812" s="775" t="str">
        <f t="shared" si="519"/>
        <v>023801</v>
      </c>
      <c r="W812" s="739" t="s">
        <v>2032</v>
      </c>
      <c r="Y812" s="775">
        <f t="shared" si="520"/>
        <v>2017</v>
      </c>
      <c r="Z812" s="775">
        <v>12</v>
      </c>
      <c r="AA812" s="739">
        <f>('OPER.-PERMANENT FUNDS(77-78)'!H27+'LedgerLoad Assist'!BF95)*-1</f>
        <v>0</v>
      </c>
      <c r="AB812" s="739">
        <f t="shared" ref="AB812:AC812" si="552">AA812</f>
        <v>0</v>
      </c>
      <c r="AC812" s="739">
        <f t="shared" si="552"/>
        <v>0</v>
      </c>
    </row>
    <row r="813" spans="1:29">
      <c r="A813" s="739" t="s">
        <v>2025</v>
      </c>
      <c r="B813" s="739" t="s">
        <v>2025</v>
      </c>
      <c r="C813" s="739" t="s">
        <v>2026</v>
      </c>
      <c r="D813" s="739" t="s">
        <v>2026</v>
      </c>
      <c r="E813" s="791">
        <v>371000</v>
      </c>
      <c r="G813" s="739" t="str">
        <f t="shared" si="518"/>
        <v>013801</v>
      </c>
      <c r="J813" s="739">
        <v>8000</v>
      </c>
      <c r="Q813" s="773"/>
      <c r="T813" s="775" t="str">
        <f t="shared" si="519"/>
        <v>023801</v>
      </c>
      <c r="W813" s="739" t="s">
        <v>2032</v>
      </c>
      <c r="Y813" s="775">
        <f t="shared" si="520"/>
        <v>2017</v>
      </c>
      <c r="Z813" s="775">
        <v>12</v>
      </c>
      <c r="AA813" s="739">
        <f>('LedgerLoad Assist'!BF96)*-1</f>
        <v>0</v>
      </c>
      <c r="AB813" s="739">
        <f t="shared" ref="AB813:AC813" si="553">AA813</f>
        <v>0</v>
      </c>
      <c r="AC813" s="739">
        <f t="shared" si="553"/>
        <v>0</v>
      </c>
    </row>
    <row r="814" spans="1:29">
      <c r="A814" s="739" t="s">
        <v>2025</v>
      </c>
      <c r="B814" s="739" t="s">
        <v>2025</v>
      </c>
      <c r="C814" s="739" t="s">
        <v>2026</v>
      </c>
      <c r="D814" s="739" t="s">
        <v>2026</v>
      </c>
      <c r="E814" s="791">
        <v>372000</v>
      </c>
      <c r="G814" s="739" t="str">
        <f t="shared" si="518"/>
        <v>013801</v>
      </c>
      <c r="J814" s="739">
        <v>8000</v>
      </c>
      <c r="Q814" s="773"/>
      <c r="T814" s="775" t="str">
        <f t="shared" si="519"/>
        <v>023801</v>
      </c>
      <c r="W814" s="739" t="s">
        <v>2032</v>
      </c>
      <c r="Y814" s="775">
        <f t="shared" si="520"/>
        <v>2017</v>
      </c>
      <c r="Z814" s="775">
        <v>12</v>
      </c>
      <c r="AA814" s="739">
        <f>('LedgerLoad Assist'!BF97)*-1</f>
        <v>0</v>
      </c>
      <c r="AB814" s="739">
        <f t="shared" ref="AB814:AC814" si="554">AA814</f>
        <v>0</v>
      </c>
      <c r="AC814" s="739">
        <f t="shared" si="554"/>
        <v>0</v>
      </c>
    </row>
    <row r="815" spans="1:29">
      <c r="A815" s="739" t="s">
        <v>2025</v>
      </c>
      <c r="B815" s="739" t="s">
        <v>2025</v>
      </c>
      <c r="C815" s="739" t="s">
        <v>2026</v>
      </c>
      <c r="D815" s="739" t="s">
        <v>2026</v>
      </c>
      <c r="E815" s="791">
        <v>373000</v>
      </c>
      <c r="G815" s="739" t="str">
        <f t="shared" si="518"/>
        <v>013801</v>
      </c>
      <c r="J815" s="739">
        <v>8000</v>
      </c>
      <c r="Q815" s="773"/>
      <c r="T815" s="775" t="str">
        <f t="shared" si="519"/>
        <v>023801</v>
      </c>
      <c r="W815" s="739" t="s">
        <v>2032</v>
      </c>
      <c r="Y815" s="775">
        <f t="shared" si="520"/>
        <v>2017</v>
      </c>
      <c r="Z815" s="775">
        <v>12</v>
      </c>
      <c r="AA815" s="739">
        <f>('LedgerLoad Assist'!BF98)*-1</f>
        <v>0</v>
      </c>
      <c r="AB815" s="739">
        <f t="shared" ref="AB815:AC815" si="555">AA815</f>
        <v>0</v>
      </c>
      <c r="AC815" s="739">
        <f t="shared" si="555"/>
        <v>0</v>
      </c>
    </row>
    <row r="816" spans="1:29">
      <c r="A816" s="739" t="s">
        <v>2025</v>
      </c>
      <c r="B816" s="739" t="s">
        <v>2025</v>
      </c>
      <c r="C816" s="739" t="s">
        <v>2026</v>
      </c>
      <c r="D816" s="739" t="s">
        <v>2026</v>
      </c>
      <c r="E816" s="791">
        <v>380000</v>
      </c>
      <c r="G816" s="739" t="str">
        <f t="shared" si="518"/>
        <v>013801</v>
      </c>
      <c r="J816" s="739">
        <v>8000</v>
      </c>
      <c r="Q816" s="773"/>
      <c r="T816" s="775" t="str">
        <f t="shared" si="519"/>
        <v>023801</v>
      </c>
      <c r="W816" s="739" t="s">
        <v>2032</v>
      </c>
      <c r="Y816" s="775">
        <f t="shared" si="520"/>
        <v>2017</v>
      </c>
      <c r="Z816" s="775">
        <v>12</v>
      </c>
      <c r="AA816" s="739">
        <f>('LedgerLoad Assist'!BF99)*-1</f>
        <v>0</v>
      </c>
      <c r="AB816" s="739">
        <f t="shared" ref="AB816:AC816" si="556">AA816</f>
        <v>0</v>
      </c>
      <c r="AC816" s="739">
        <f t="shared" si="556"/>
        <v>0</v>
      </c>
    </row>
    <row r="817" spans="1:29">
      <c r="A817" s="739" t="s">
        <v>2025</v>
      </c>
      <c r="B817" s="739" t="s">
        <v>2025</v>
      </c>
      <c r="C817" s="739" t="s">
        <v>2026</v>
      </c>
      <c r="D817" s="739" t="s">
        <v>2026</v>
      </c>
      <c r="E817" s="791">
        <v>381000</v>
      </c>
      <c r="G817" s="739" t="str">
        <f t="shared" si="518"/>
        <v>013801</v>
      </c>
      <c r="J817" s="739">
        <v>8000</v>
      </c>
      <c r="Q817" s="773"/>
      <c r="T817" s="775" t="str">
        <f t="shared" si="519"/>
        <v>023801</v>
      </c>
      <c r="W817" s="739" t="s">
        <v>2032</v>
      </c>
      <c r="Y817" s="775">
        <f t="shared" si="520"/>
        <v>2017</v>
      </c>
      <c r="Z817" s="775">
        <v>12</v>
      </c>
      <c r="AA817" s="739">
        <f>('OPER.-PERMANENT FUNDS(77-78)'!H37+'OPER.-PERMANENT FUNDS(77-78)'!H38+'OPER.-PERMANENT FUNDS(77-78)'!H39+'LedgerLoad Assist'!BF100)*-1</f>
        <v>0</v>
      </c>
      <c r="AB817" s="739">
        <f t="shared" ref="AB817:AC817" si="557">AA817</f>
        <v>0</v>
      </c>
      <c r="AC817" s="739">
        <f t="shared" si="557"/>
        <v>0</v>
      </c>
    </row>
    <row r="818" spans="1:29">
      <c r="A818" s="739" t="s">
        <v>2025</v>
      </c>
      <c r="B818" s="739" t="s">
        <v>2025</v>
      </c>
      <c r="C818" s="739" t="s">
        <v>2026</v>
      </c>
      <c r="D818" s="739" t="s">
        <v>2026</v>
      </c>
      <c r="E818" s="791">
        <v>382000</v>
      </c>
      <c r="G818" s="739" t="str">
        <f t="shared" si="518"/>
        <v>013801</v>
      </c>
      <c r="J818" s="739">
        <v>8000</v>
      </c>
      <c r="Q818" s="773"/>
      <c r="T818" s="775" t="str">
        <f t="shared" si="519"/>
        <v>023801</v>
      </c>
      <c r="W818" s="739" t="s">
        <v>2032</v>
      </c>
      <c r="Y818" s="775">
        <f t="shared" si="520"/>
        <v>2017</v>
      </c>
      <c r="Z818" s="775">
        <v>12</v>
      </c>
      <c r="AA818" s="739">
        <f>('OPER.-PERMANENT FUNDS(77-78)'!H40+'LedgerLoad Assist'!BF101)*-1</f>
        <v>0</v>
      </c>
      <c r="AB818" s="739">
        <f t="shared" ref="AB818:AC818" si="558">AA818</f>
        <v>0</v>
      </c>
      <c r="AC818" s="739">
        <f t="shared" si="558"/>
        <v>0</v>
      </c>
    </row>
    <row r="819" spans="1:29">
      <c r="A819" s="739" t="s">
        <v>2025</v>
      </c>
      <c r="B819" s="739" t="s">
        <v>2025</v>
      </c>
      <c r="C819" s="739" t="s">
        <v>2026</v>
      </c>
      <c r="D819" s="739" t="s">
        <v>2026</v>
      </c>
      <c r="E819" s="791">
        <v>383000</v>
      </c>
      <c r="G819" s="739" t="str">
        <f t="shared" si="518"/>
        <v>013801</v>
      </c>
      <c r="J819" s="739">
        <v>8000</v>
      </c>
      <c r="Q819" s="773"/>
      <c r="T819" s="775" t="str">
        <f t="shared" si="519"/>
        <v>023801</v>
      </c>
      <c r="W819" s="739" t="s">
        <v>2032</v>
      </c>
      <c r="Y819" s="775">
        <f t="shared" si="520"/>
        <v>2017</v>
      </c>
      <c r="Z819" s="775">
        <v>12</v>
      </c>
      <c r="AA819" s="739">
        <f>('OPER.-PERMANENT FUNDS(77-78)'!H41+'LedgerLoad Assist'!BF102)*-1</f>
        <v>0</v>
      </c>
      <c r="AB819" s="739">
        <f t="shared" ref="AB819:AC819" si="559">AA819</f>
        <v>0</v>
      </c>
      <c r="AC819" s="739">
        <f t="shared" si="559"/>
        <v>0</v>
      </c>
    </row>
    <row r="820" spans="1:29">
      <c r="A820" s="739" t="s">
        <v>2025</v>
      </c>
      <c r="B820" s="739" t="s">
        <v>2025</v>
      </c>
      <c r="C820" s="739" t="s">
        <v>2026</v>
      </c>
      <c r="D820" s="739" t="s">
        <v>2026</v>
      </c>
      <c r="E820" s="791">
        <v>384000</v>
      </c>
      <c r="G820" s="739" t="str">
        <f t="shared" si="518"/>
        <v>013801</v>
      </c>
      <c r="J820" s="739">
        <v>8000</v>
      </c>
      <c r="Q820" s="773"/>
      <c r="T820" s="775" t="str">
        <f t="shared" si="519"/>
        <v>023801</v>
      </c>
      <c r="W820" s="739" t="s">
        <v>2032</v>
      </c>
      <c r="Y820" s="775">
        <f t="shared" si="520"/>
        <v>2017</v>
      </c>
      <c r="Z820" s="775">
        <v>12</v>
      </c>
      <c r="AA820" s="739">
        <f>('OPER.-PERMANENT FUNDS(77-78)'!H43+'LedgerLoad Assist'!BF103)*-1</f>
        <v>0</v>
      </c>
      <c r="AB820" s="739">
        <f t="shared" ref="AB820:AC820" si="560">AA820</f>
        <v>0</v>
      </c>
      <c r="AC820" s="739">
        <f t="shared" si="560"/>
        <v>0</v>
      </c>
    </row>
    <row r="821" spans="1:29">
      <c r="A821" s="739" t="s">
        <v>2025</v>
      </c>
      <c r="B821" s="739" t="s">
        <v>2025</v>
      </c>
      <c r="C821" s="739" t="s">
        <v>2026</v>
      </c>
      <c r="D821" s="739" t="s">
        <v>2026</v>
      </c>
      <c r="E821" s="791">
        <v>385000</v>
      </c>
      <c r="G821" s="739" t="str">
        <f t="shared" si="518"/>
        <v>013801</v>
      </c>
      <c r="J821" s="739">
        <v>8000</v>
      </c>
      <c r="Q821" s="773"/>
      <c r="T821" s="775" t="str">
        <f t="shared" si="519"/>
        <v>023801</v>
      </c>
      <c r="W821" s="739" t="s">
        <v>2032</v>
      </c>
      <c r="Y821" s="775">
        <f t="shared" si="520"/>
        <v>2017</v>
      </c>
      <c r="Z821" s="775">
        <v>12</v>
      </c>
      <c r="AA821" s="739">
        <f>('OPER.-PERMANENT FUNDS(77-78)'!H44+'LedgerLoad Assist'!BF104)*-1</f>
        <v>0</v>
      </c>
      <c r="AB821" s="739">
        <f t="shared" ref="AB821:AC821" si="561">AA821</f>
        <v>0</v>
      </c>
      <c r="AC821" s="739">
        <f t="shared" si="561"/>
        <v>0</v>
      </c>
    </row>
    <row r="822" spans="1:29">
      <c r="A822" s="739" t="s">
        <v>2025</v>
      </c>
      <c r="B822" s="739" t="s">
        <v>2025</v>
      </c>
      <c r="C822" s="739" t="s">
        <v>2026</v>
      </c>
      <c r="D822" s="739" t="s">
        <v>2026</v>
      </c>
      <c r="E822" s="791">
        <v>390000</v>
      </c>
      <c r="G822" s="739" t="str">
        <f t="shared" si="518"/>
        <v>013801</v>
      </c>
      <c r="J822" s="739">
        <v>8000</v>
      </c>
      <c r="Q822" s="773"/>
      <c r="T822" s="775" t="str">
        <f t="shared" si="519"/>
        <v>023801</v>
      </c>
      <c r="W822" s="739" t="s">
        <v>2032</v>
      </c>
      <c r="Y822" s="775">
        <f t="shared" si="520"/>
        <v>2017</v>
      </c>
      <c r="Z822" s="775">
        <v>12</v>
      </c>
      <c r="AA822" s="739">
        <f>('LedgerLoad Assist'!BF105)*-1</f>
        <v>0</v>
      </c>
      <c r="AB822" s="739">
        <f t="shared" ref="AB822:AC822" si="562">AA822</f>
        <v>0</v>
      </c>
      <c r="AC822" s="739">
        <f t="shared" si="562"/>
        <v>0</v>
      </c>
    </row>
    <row r="823" spans="1:29">
      <c r="A823" s="739" t="s">
        <v>2025</v>
      </c>
      <c r="B823" s="739" t="s">
        <v>2025</v>
      </c>
      <c r="C823" s="739" t="s">
        <v>2026</v>
      </c>
      <c r="D823" s="739" t="s">
        <v>2026</v>
      </c>
      <c r="E823" s="791">
        <v>391000</v>
      </c>
      <c r="G823" s="739" t="str">
        <f t="shared" si="518"/>
        <v>013801</v>
      </c>
      <c r="J823" s="739">
        <v>8000</v>
      </c>
      <c r="Q823" s="773"/>
      <c r="T823" s="775" t="str">
        <f t="shared" si="519"/>
        <v>023801</v>
      </c>
      <c r="W823" s="739" t="s">
        <v>2032</v>
      </c>
      <c r="Y823" s="775">
        <f t="shared" si="520"/>
        <v>2017</v>
      </c>
      <c r="Z823" s="775">
        <v>12</v>
      </c>
      <c r="AA823" s="739">
        <f>('LedgerLoad Assist'!BF106)*-1</f>
        <v>0</v>
      </c>
      <c r="AB823" s="739">
        <f t="shared" ref="AB823:AC823" si="563">AA823</f>
        <v>0</v>
      </c>
      <c r="AC823" s="739">
        <f t="shared" si="563"/>
        <v>0</v>
      </c>
    </row>
    <row r="824" spans="1:29">
      <c r="A824" s="739" t="s">
        <v>2025</v>
      </c>
      <c r="B824" s="739" t="s">
        <v>2025</v>
      </c>
      <c r="C824" s="739" t="s">
        <v>2026</v>
      </c>
      <c r="D824" s="739" t="s">
        <v>2026</v>
      </c>
      <c r="E824" s="791">
        <v>392000</v>
      </c>
      <c r="G824" s="739" t="str">
        <f t="shared" si="518"/>
        <v>013801</v>
      </c>
      <c r="J824" s="739">
        <v>8000</v>
      </c>
      <c r="Q824" s="773"/>
      <c r="T824" s="775" t="str">
        <f t="shared" si="519"/>
        <v>023801</v>
      </c>
      <c r="W824" s="739" t="s">
        <v>2032</v>
      </c>
      <c r="Y824" s="775">
        <f t="shared" si="520"/>
        <v>2017</v>
      </c>
      <c r="Z824" s="775">
        <v>12</v>
      </c>
      <c r="AA824" s="739">
        <f>('LedgerLoad Assist'!BF107)*-1</f>
        <v>0</v>
      </c>
      <c r="AB824" s="739">
        <f t="shared" ref="AB824:AC824" si="564">AA824</f>
        <v>0</v>
      </c>
      <c r="AC824" s="739">
        <f t="shared" si="564"/>
        <v>0</v>
      </c>
    </row>
    <row r="825" spans="1:29">
      <c r="A825" s="739" t="s">
        <v>2025</v>
      </c>
      <c r="B825" s="739" t="s">
        <v>2025</v>
      </c>
      <c r="C825" s="739" t="s">
        <v>2026</v>
      </c>
      <c r="D825" s="739" t="s">
        <v>2026</v>
      </c>
      <c r="E825" s="791">
        <v>393000</v>
      </c>
      <c r="G825" s="739" t="str">
        <f t="shared" si="518"/>
        <v>013801</v>
      </c>
      <c r="J825" s="739">
        <v>8000</v>
      </c>
      <c r="Q825" s="773"/>
      <c r="T825" s="775" t="str">
        <f t="shared" si="519"/>
        <v>023801</v>
      </c>
      <c r="W825" s="739" t="s">
        <v>2032</v>
      </c>
      <c r="Y825" s="775">
        <f t="shared" si="520"/>
        <v>2017</v>
      </c>
      <c r="Z825" s="775">
        <v>12</v>
      </c>
      <c r="AA825" s="739">
        <f>('LedgerLoad Assist'!BF108)*-1</f>
        <v>0</v>
      </c>
      <c r="AB825" s="739">
        <f t="shared" ref="AB825:AC825" si="565">AA825</f>
        <v>0</v>
      </c>
      <c r="AC825" s="739">
        <f t="shared" si="565"/>
        <v>0</v>
      </c>
    </row>
    <row r="826" spans="1:29">
      <c r="A826" s="739" t="s">
        <v>2025</v>
      </c>
      <c r="B826" s="739" t="s">
        <v>2025</v>
      </c>
      <c r="C826" s="739" t="s">
        <v>2026</v>
      </c>
      <c r="D826" s="739" t="s">
        <v>2026</v>
      </c>
      <c r="E826" s="791">
        <v>394000</v>
      </c>
      <c r="G826" s="739" t="str">
        <f t="shared" si="518"/>
        <v>013801</v>
      </c>
      <c r="J826" s="739">
        <v>8000</v>
      </c>
      <c r="Q826" s="773"/>
      <c r="T826" s="775" t="str">
        <f t="shared" si="519"/>
        <v>023801</v>
      </c>
      <c r="W826" s="739" t="s">
        <v>2032</v>
      </c>
      <c r="Y826" s="775">
        <f t="shared" si="520"/>
        <v>2017</v>
      </c>
      <c r="Z826" s="775">
        <v>12</v>
      </c>
      <c r="AA826" s="739">
        <f>('LedgerLoad Assist'!BF109)*-1</f>
        <v>0</v>
      </c>
      <c r="AB826" s="739">
        <f t="shared" ref="AB826:AC826" si="566">AA826</f>
        <v>0</v>
      </c>
      <c r="AC826" s="739">
        <f t="shared" si="566"/>
        <v>0</v>
      </c>
    </row>
    <row r="827" spans="1:29">
      <c r="A827" s="739" t="s">
        <v>2025</v>
      </c>
      <c r="B827" s="739" t="s">
        <v>2025</v>
      </c>
      <c r="C827" s="739" t="s">
        <v>2026</v>
      </c>
      <c r="D827" s="739" t="s">
        <v>2026</v>
      </c>
      <c r="E827" s="791">
        <v>395000</v>
      </c>
      <c r="G827" s="739" t="str">
        <f t="shared" si="518"/>
        <v>013801</v>
      </c>
      <c r="J827" s="739">
        <v>8000</v>
      </c>
      <c r="Q827" s="773"/>
      <c r="T827" s="775" t="str">
        <f t="shared" si="519"/>
        <v>023801</v>
      </c>
      <c r="W827" s="739" t="s">
        <v>2032</v>
      </c>
      <c r="Y827" s="775">
        <f t="shared" si="520"/>
        <v>2017</v>
      </c>
      <c r="Z827" s="775">
        <v>12</v>
      </c>
      <c r="AA827" s="739">
        <f>('LedgerLoad Assist'!BF110)*-1</f>
        <v>0</v>
      </c>
      <c r="AB827" s="739">
        <f t="shared" ref="AB827:AC827" si="567">AA827</f>
        <v>0</v>
      </c>
      <c r="AC827" s="739">
        <f t="shared" si="567"/>
        <v>0</v>
      </c>
    </row>
    <row r="828" spans="1:29">
      <c r="A828" s="739" t="s">
        <v>2025</v>
      </c>
      <c r="B828" s="739" t="s">
        <v>2025</v>
      </c>
      <c r="C828" s="739" t="s">
        <v>2026</v>
      </c>
      <c r="D828" s="739" t="s">
        <v>2026</v>
      </c>
      <c r="E828" s="791">
        <v>396000</v>
      </c>
      <c r="G828" s="739" t="str">
        <f t="shared" si="518"/>
        <v>013801</v>
      </c>
      <c r="J828" s="739">
        <v>8000</v>
      </c>
      <c r="Q828" s="773"/>
      <c r="T828" s="775" t="str">
        <f t="shared" si="519"/>
        <v>023801</v>
      </c>
      <c r="W828" s="739" t="s">
        <v>2032</v>
      </c>
      <c r="Y828" s="775">
        <f t="shared" si="520"/>
        <v>2017</v>
      </c>
      <c r="Z828" s="775">
        <v>12</v>
      </c>
      <c r="AA828" s="739">
        <f>('LedgerLoad Assist'!BF111)*-1</f>
        <v>0</v>
      </c>
      <c r="AB828" s="739">
        <f t="shared" ref="AB828:AC828" si="568">AA828</f>
        <v>0</v>
      </c>
      <c r="AC828" s="739">
        <f t="shared" si="568"/>
        <v>0</v>
      </c>
    </row>
    <row r="829" spans="1:29">
      <c r="A829" s="739" t="s">
        <v>2025</v>
      </c>
      <c r="B829" s="739" t="s">
        <v>2025</v>
      </c>
      <c r="C829" s="739" t="s">
        <v>2026</v>
      </c>
      <c r="D829" s="739" t="s">
        <v>2026</v>
      </c>
      <c r="E829" s="791">
        <v>397000</v>
      </c>
      <c r="G829" s="739" t="str">
        <f t="shared" si="518"/>
        <v>013801</v>
      </c>
      <c r="J829" s="739">
        <v>8000</v>
      </c>
      <c r="Q829" s="773"/>
      <c r="T829" s="775" t="str">
        <f t="shared" si="519"/>
        <v>023801</v>
      </c>
      <c r="W829" s="739" t="s">
        <v>2032</v>
      </c>
      <c r="Y829" s="775">
        <f t="shared" si="520"/>
        <v>2017</v>
      </c>
      <c r="Z829" s="775">
        <v>12</v>
      </c>
      <c r="AA829" s="739">
        <f>('LedgerLoad Assist'!BF112)*-1</f>
        <v>0</v>
      </c>
      <c r="AB829" s="739">
        <f t="shared" ref="AB829:AC829" si="569">AA829</f>
        <v>0</v>
      </c>
      <c r="AC829" s="739">
        <f t="shared" si="569"/>
        <v>0</v>
      </c>
    </row>
    <row r="830" spans="1:29">
      <c r="A830" s="739" t="s">
        <v>2025</v>
      </c>
      <c r="B830" s="739" t="s">
        <v>2025</v>
      </c>
      <c r="C830" s="739" t="s">
        <v>2026</v>
      </c>
      <c r="D830" s="739" t="s">
        <v>2026</v>
      </c>
      <c r="E830" s="791">
        <v>410000</v>
      </c>
      <c r="G830" s="739" t="str">
        <f t="shared" si="518"/>
        <v>013801</v>
      </c>
      <c r="J830" s="739">
        <v>8000</v>
      </c>
      <c r="Q830" s="773">
        <v>100</v>
      </c>
      <c r="T830" s="775" t="str">
        <f t="shared" si="519"/>
        <v>023801</v>
      </c>
      <c r="W830" s="739" t="s">
        <v>2032</v>
      </c>
      <c r="Y830" s="775">
        <f t="shared" si="520"/>
        <v>2017</v>
      </c>
      <c r="Z830" s="775">
        <v>12</v>
      </c>
      <c r="AA830" s="739">
        <f>'LedgerLoad Assist'!BF113</f>
        <v>0</v>
      </c>
      <c r="AB830" s="739">
        <f t="shared" ref="AB830:AC830" si="570">AA830</f>
        <v>0</v>
      </c>
      <c r="AC830" s="739">
        <f t="shared" si="570"/>
        <v>0</v>
      </c>
    </row>
    <row r="831" spans="1:29">
      <c r="A831" s="739" t="s">
        <v>2025</v>
      </c>
      <c r="B831" s="739" t="s">
        <v>2025</v>
      </c>
      <c r="C831" s="739" t="s">
        <v>2026</v>
      </c>
      <c r="D831" s="739" t="s">
        <v>2026</v>
      </c>
      <c r="E831" s="791">
        <v>410000</v>
      </c>
      <c r="G831" s="739" t="str">
        <f t="shared" si="518"/>
        <v>013801</v>
      </c>
      <c r="J831" s="739">
        <v>8000</v>
      </c>
      <c r="Q831" s="773" t="s">
        <v>2606</v>
      </c>
      <c r="T831" s="775" t="str">
        <f t="shared" si="519"/>
        <v>023801</v>
      </c>
      <c r="W831" s="739" t="s">
        <v>2032</v>
      </c>
      <c r="Y831" s="775">
        <f t="shared" si="520"/>
        <v>2017</v>
      </c>
      <c r="Z831" s="775">
        <v>12</v>
      </c>
      <c r="AA831" s="739">
        <f>'LedgerLoad Assist'!BF114</f>
        <v>0</v>
      </c>
      <c r="AB831" s="739">
        <f t="shared" ref="AB831:AC831" si="571">AA831</f>
        <v>0</v>
      </c>
      <c r="AC831" s="739">
        <f t="shared" si="571"/>
        <v>0</v>
      </c>
    </row>
    <row r="832" spans="1:29">
      <c r="A832" s="739" t="s">
        <v>2025</v>
      </c>
      <c r="B832" s="739" t="s">
        <v>2025</v>
      </c>
      <c r="C832" s="739" t="s">
        <v>2026</v>
      </c>
      <c r="D832" s="739" t="s">
        <v>2026</v>
      </c>
      <c r="E832" s="791">
        <v>410000</v>
      </c>
      <c r="G832" s="739" t="str">
        <f t="shared" si="518"/>
        <v>013801</v>
      </c>
      <c r="J832" s="739">
        <v>8000</v>
      </c>
      <c r="Q832" s="773">
        <v>610</v>
      </c>
      <c r="T832" s="775" t="str">
        <f t="shared" si="519"/>
        <v>023801</v>
      </c>
      <c r="W832" s="739" t="s">
        <v>2032</v>
      </c>
      <c r="Y832" s="775">
        <f t="shared" si="520"/>
        <v>2017</v>
      </c>
      <c r="Z832" s="775">
        <v>12</v>
      </c>
      <c r="AA832" s="739">
        <f>'LedgerLoad Assist'!BF115</f>
        <v>0</v>
      </c>
      <c r="AB832" s="739">
        <f t="shared" ref="AB832:AC832" si="572">AA832</f>
        <v>0</v>
      </c>
      <c r="AC832" s="739">
        <f t="shared" si="572"/>
        <v>0</v>
      </c>
    </row>
    <row r="833" spans="1:29">
      <c r="A833" s="739" t="s">
        <v>2025</v>
      </c>
      <c r="B833" s="739" t="s">
        <v>2025</v>
      </c>
      <c r="C833" s="739" t="s">
        <v>2026</v>
      </c>
      <c r="D833" s="739" t="s">
        <v>2026</v>
      </c>
      <c r="E833" s="791">
        <v>410000</v>
      </c>
      <c r="G833" s="739" t="str">
        <f t="shared" si="518"/>
        <v>013801</v>
      </c>
      <c r="J833" s="739">
        <v>8000</v>
      </c>
      <c r="Q833" s="773">
        <v>620</v>
      </c>
      <c r="T833" s="775" t="str">
        <f t="shared" si="519"/>
        <v>023801</v>
      </c>
      <c r="W833" s="739" t="s">
        <v>2032</v>
      </c>
      <c r="Y833" s="775">
        <f t="shared" si="520"/>
        <v>2017</v>
      </c>
      <c r="Z833" s="775">
        <v>12</v>
      </c>
      <c r="AA833" s="739">
        <f>'LedgerLoad Assist'!BF116</f>
        <v>0</v>
      </c>
      <c r="AB833" s="739">
        <f t="shared" ref="AB833:AC833" si="573">AA833</f>
        <v>0</v>
      </c>
      <c r="AC833" s="739">
        <f t="shared" si="573"/>
        <v>0</v>
      </c>
    </row>
    <row r="834" spans="1:29">
      <c r="A834" s="739" t="s">
        <v>2025</v>
      </c>
      <c r="B834" s="739" t="s">
        <v>2025</v>
      </c>
      <c r="C834" s="739" t="s">
        <v>2026</v>
      </c>
      <c r="D834" s="739" t="s">
        <v>2026</v>
      </c>
      <c r="E834" s="791">
        <v>410000</v>
      </c>
      <c r="G834" s="739" t="str">
        <f t="shared" si="518"/>
        <v>013801</v>
      </c>
      <c r="J834" s="739">
        <v>8000</v>
      </c>
      <c r="Q834" s="773">
        <v>900</v>
      </c>
      <c r="T834" s="775" t="str">
        <f t="shared" si="519"/>
        <v>023801</v>
      </c>
      <c r="W834" s="739" t="s">
        <v>2032</v>
      </c>
      <c r="Y834" s="775">
        <f t="shared" si="520"/>
        <v>2017</v>
      </c>
      <c r="Z834" s="775">
        <v>12</v>
      </c>
      <c r="AA834" s="739">
        <f>'LedgerLoad Assist'!BF117</f>
        <v>0</v>
      </c>
      <c r="AB834" s="739">
        <f t="shared" ref="AB834:AC834" si="574">AA834</f>
        <v>0</v>
      </c>
      <c r="AC834" s="739">
        <f t="shared" si="574"/>
        <v>0</v>
      </c>
    </row>
    <row r="835" spans="1:29">
      <c r="A835" s="739" t="s">
        <v>2025</v>
      </c>
      <c r="B835" s="739" t="s">
        <v>2025</v>
      </c>
      <c r="C835" s="739" t="s">
        <v>2026</v>
      </c>
      <c r="D835" s="739" t="s">
        <v>2026</v>
      </c>
      <c r="E835" s="791">
        <v>420000</v>
      </c>
      <c r="G835" s="739" t="str">
        <f t="shared" si="518"/>
        <v>013801</v>
      </c>
      <c r="J835" s="739">
        <v>8000</v>
      </c>
      <c r="Q835" s="773">
        <v>100</v>
      </c>
      <c r="T835" s="775" t="str">
        <f t="shared" si="519"/>
        <v>023801</v>
      </c>
      <c r="W835" s="739" t="s">
        <v>2032</v>
      </c>
      <c r="Y835" s="775">
        <f t="shared" si="520"/>
        <v>2017</v>
      </c>
      <c r="Z835" s="775">
        <v>12</v>
      </c>
      <c r="AA835" s="739">
        <f>'LedgerLoad Assist'!BF118</f>
        <v>0</v>
      </c>
      <c r="AB835" s="739">
        <f t="shared" ref="AB835:AC835" si="575">AA835</f>
        <v>0</v>
      </c>
      <c r="AC835" s="739">
        <f t="shared" si="575"/>
        <v>0</v>
      </c>
    </row>
    <row r="836" spans="1:29">
      <c r="A836" s="739" t="s">
        <v>2025</v>
      </c>
      <c r="B836" s="739" t="s">
        <v>2025</v>
      </c>
      <c r="C836" s="739" t="s">
        <v>2026</v>
      </c>
      <c r="D836" s="739" t="s">
        <v>2026</v>
      </c>
      <c r="E836" s="791">
        <v>420000</v>
      </c>
      <c r="G836" s="739" t="str">
        <f t="shared" si="518"/>
        <v>013801</v>
      </c>
      <c r="J836" s="739">
        <v>8000</v>
      </c>
      <c r="Q836" s="773" t="s">
        <v>2606</v>
      </c>
      <c r="T836" s="775" t="str">
        <f t="shared" si="519"/>
        <v>023801</v>
      </c>
      <c r="W836" s="739" t="s">
        <v>2032</v>
      </c>
      <c r="Y836" s="775">
        <f t="shared" si="520"/>
        <v>2017</v>
      </c>
      <c r="Z836" s="775">
        <v>12</v>
      </c>
      <c r="AA836" s="739">
        <f>'LedgerLoad Assist'!BF119</f>
        <v>0</v>
      </c>
      <c r="AB836" s="739">
        <f t="shared" ref="AB836:AC836" si="576">AA836</f>
        <v>0</v>
      </c>
      <c r="AC836" s="739">
        <f t="shared" si="576"/>
        <v>0</v>
      </c>
    </row>
    <row r="837" spans="1:29">
      <c r="A837" s="739" t="s">
        <v>2025</v>
      </c>
      <c r="B837" s="739" t="s">
        <v>2025</v>
      </c>
      <c r="C837" s="739" t="s">
        <v>2026</v>
      </c>
      <c r="D837" s="739" t="s">
        <v>2026</v>
      </c>
      <c r="E837" s="791">
        <v>420000</v>
      </c>
      <c r="G837" s="739" t="str">
        <f t="shared" si="518"/>
        <v>013801</v>
      </c>
      <c r="J837" s="739">
        <v>8000</v>
      </c>
      <c r="Q837" s="773">
        <v>610</v>
      </c>
      <c r="T837" s="775" t="str">
        <f t="shared" si="519"/>
        <v>023801</v>
      </c>
      <c r="W837" s="739" t="s">
        <v>2032</v>
      </c>
      <c r="Y837" s="775">
        <f t="shared" si="520"/>
        <v>2017</v>
      </c>
      <c r="Z837" s="775">
        <v>12</v>
      </c>
      <c r="AA837" s="739">
        <f>'LedgerLoad Assist'!BF120</f>
        <v>0</v>
      </c>
      <c r="AB837" s="739">
        <f t="shared" ref="AB837:AC837" si="577">AA837</f>
        <v>0</v>
      </c>
      <c r="AC837" s="739">
        <f t="shared" si="577"/>
        <v>0</v>
      </c>
    </row>
    <row r="838" spans="1:29">
      <c r="A838" s="739" t="s">
        <v>2025</v>
      </c>
      <c r="B838" s="739" t="s">
        <v>2025</v>
      </c>
      <c r="C838" s="739" t="s">
        <v>2026</v>
      </c>
      <c r="D838" s="739" t="s">
        <v>2026</v>
      </c>
      <c r="E838" s="791">
        <v>420000</v>
      </c>
      <c r="G838" s="739" t="str">
        <f t="shared" si="518"/>
        <v>013801</v>
      </c>
      <c r="J838" s="739">
        <v>8000</v>
      </c>
      <c r="Q838" s="773">
        <v>620</v>
      </c>
      <c r="T838" s="775" t="str">
        <f t="shared" si="519"/>
        <v>023801</v>
      </c>
      <c r="W838" s="739" t="s">
        <v>2032</v>
      </c>
      <c r="Y838" s="775">
        <f t="shared" si="520"/>
        <v>2017</v>
      </c>
      <c r="Z838" s="775">
        <v>12</v>
      </c>
      <c r="AA838" s="739">
        <f>'LedgerLoad Assist'!BF121</f>
        <v>0</v>
      </c>
      <c r="AB838" s="739">
        <f t="shared" ref="AB838:AC838" si="578">AA838</f>
        <v>0</v>
      </c>
      <c r="AC838" s="739">
        <f t="shared" si="578"/>
        <v>0</v>
      </c>
    </row>
    <row r="839" spans="1:29">
      <c r="A839" s="739" t="s">
        <v>2025</v>
      </c>
      <c r="B839" s="739" t="s">
        <v>2025</v>
      </c>
      <c r="C839" s="739" t="s">
        <v>2026</v>
      </c>
      <c r="D839" s="739" t="s">
        <v>2026</v>
      </c>
      <c r="E839" s="791">
        <v>420000</v>
      </c>
      <c r="G839" s="739" t="str">
        <f t="shared" si="518"/>
        <v>013801</v>
      </c>
      <c r="J839" s="739">
        <v>8000</v>
      </c>
      <c r="Q839" s="773">
        <v>900</v>
      </c>
      <c r="T839" s="775" t="str">
        <f t="shared" si="519"/>
        <v>023801</v>
      </c>
      <c r="W839" s="739" t="s">
        <v>2032</v>
      </c>
      <c r="Y839" s="775">
        <f t="shared" si="520"/>
        <v>2017</v>
      </c>
      <c r="Z839" s="775">
        <v>12</v>
      </c>
      <c r="AA839" s="739">
        <f>'LedgerLoad Assist'!BF122</f>
        <v>0</v>
      </c>
      <c r="AB839" s="739">
        <f t="shared" ref="AB839:AC839" si="579">AA839</f>
        <v>0</v>
      </c>
      <c r="AC839" s="739">
        <f t="shared" si="579"/>
        <v>0</v>
      </c>
    </row>
    <row r="840" spans="1:29">
      <c r="A840" s="739" t="s">
        <v>2025</v>
      </c>
      <c r="B840" s="739" t="s">
        <v>2025</v>
      </c>
      <c r="C840" s="739" t="s">
        <v>2026</v>
      </c>
      <c r="D840" s="739" t="s">
        <v>2026</v>
      </c>
      <c r="E840" s="791">
        <v>430000</v>
      </c>
      <c r="G840" s="739" t="str">
        <f t="shared" si="518"/>
        <v>013801</v>
      </c>
      <c r="J840" s="739">
        <v>8000</v>
      </c>
      <c r="Q840" s="773">
        <v>100</v>
      </c>
      <c r="T840" s="775" t="str">
        <f t="shared" si="519"/>
        <v>023801</v>
      </c>
      <c r="W840" s="739" t="s">
        <v>2032</v>
      </c>
      <c r="Y840" s="775">
        <f t="shared" si="520"/>
        <v>2017</v>
      </c>
      <c r="Z840" s="775">
        <v>12</v>
      </c>
      <c r="AA840" s="739">
        <f>'LedgerLoad Assist'!BF123</f>
        <v>0</v>
      </c>
      <c r="AB840" s="739">
        <f t="shared" ref="AB840:AC840" si="580">AA840</f>
        <v>0</v>
      </c>
      <c r="AC840" s="739">
        <f t="shared" si="580"/>
        <v>0</v>
      </c>
    </row>
    <row r="841" spans="1:29">
      <c r="A841" s="739" t="s">
        <v>2025</v>
      </c>
      <c r="B841" s="739" t="s">
        <v>2025</v>
      </c>
      <c r="C841" s="739" t="s">
        <v>2026</v>
      </c>
      <c r="D841" s="739" t="s">
        <v>2026</v>
      </c>
      <c r="E841" s="791">
        <v>430000</v>
      </c>
      <c r="G841" s="739" t="str">
        <f t="shared" si="518"/>
        <v>013801</v>
      </c>
      <c r="J841" s="739">
        <v>8000</v>
      </c>
      <c r="Q841" s="773" t="s">
        <v>2606</v>
      </c>
      <c r="T841" s="775" t="str">
        <f t="shared" si="519"/>
        <v>023801</v>
      </c>
      <c r="W841" s="739" t="s">
        <v>2032</v>
      </c>
      <c r="Y841" s="775">
        <f t="shared" si="520"/>
        <v>2017</v>
      </c>
      <c r="Z841" s="775">
        <v>12</v>
      </c>
      <c r="AA841" s="739">
        <f>'LedgerLoad Assist'!BF124</f>
        <v>0</v>
      </c>
      <c r="AB841" s="739">
        <f t="shared" ref="AB841:AC841" si="581">AA841</f>
        <v>0</v>
      </c>
      <c r="AC841" s="739">
        <f t="shared" si="581"/>
        <v>0</v>
      </c>
    </row>
    <row r="842" spans="1:29">
      <c r="A842" s="739" t="s">
        <v>2025</v>
      </c>
      <c r="B842" s="739" t="s">
        <v>2025</v>
      </c>
      <c r="C842" s="739" t="s">
        <v>2026</v>
      </c>
      <c r="D842" s="739" t="s">
        <v>2026</v>
      </c>
      <c r="E842" s="791">
        <v>430000</v>
      </c>
      <c r="G842" s="739" t="str">
        <f t="shared" si="518"/>
        <v>013801</v>
      </c>
      <c r="J842" s="739">
        <v>8000</v>
      </c>
      <c r="Q842" s="773">
        <v>610</v>
      </c>
      <c r="T842" s="775" t="str">
        <f t="shared" si="519"/>
        <v>023801</v>
      </c>
      <c r="W842" s="739" t="s">
        <v>2032</v>
      </c>
      <c r="Y842" s="775">
        <f t="shared" si="520"/>
        <v>2017</v>
      </c>
      <c r="Z842" s="775">
        <v>12</v>
      </c>
      <c r="AA842" s="739">
        <f>'LedgerLoad Assist'!BF125</f>
        <v>0</v>
      </c>
      <c r="AB842" s="739">
        <f t="shared" ref="AB842:AC842" si="582">AA842</f>
        <v>0</v>
      </c>
      <c r="AC842" s="739">
        <f t="shared" si="582"/>
        <v>0</v>
      </c>
    </row>
    <row r="843" spans="1:29">
      <c r="A843" s="739" t="s">
        <v>2025</v>
      </c>
      <c r="B843" s="739" t="s">
        <v>2025</v>
      </c>
      <c r="C843" s="739" t="s">
        <v>2026</v>
      </c>
      <c r="D843" s="739" t="s">
        <v>2026</v>
      </c>
      <c r="E843" s="791">
        <v>430000</v>
      </c>
      <c r="G843" s="739" t="str">
        <f t="shared" si="518"/>
        <v>013801</v>
      </c>
      <c r="J843" s="739">
        <v>8000</v>
      </c>
      <c r="Q843" s="773">
        <v>620</v>
      </c>
      <c r="T843" s="775" t="str">
        <f t="shared" si="519"/>
        <v>023801</v>
      </c>
      <c r="W843" s="739" t="s">
        <v>2032</v>
      </c>
      <c r="Y843" s="775">
        <f t="shared" si="520"/>
        <v>2017</v>
      </c>
      <c r="Z843" s="775">
        <v>12</v>
      </c>
      <c r="AA843" s="739">
        <f>'LedgerLoad Assist'!BF126</f>
        <v>0</v>
      </c>
      <c r="AB843" s="739">
        <f t="shared" ref="AB843:AC843" si="583">AA843</f>
        <v>0</v>
      </c>
      <c r="AC843" s="739">
        <f t="shared" si="583"/>
        <v>0</v>
      </c>
    </row>
    <row r="844" spans="1:29">
      <c r="A844" s="739" t="s">
        <v>2025</v>
      </c>
      <c r="B844" s="739" t="s">
        <v>2025</v>
      </c>
      <c r="C844" s="739" t="s">
        <v>2026</v>
      </c>
      <c r="D844" s="739" t="s">
        <v>2026</v>
      </c>
      <c r="E844" s="791">
        <v>430000</v>
      </c>
      <c r="G844" s="739" t="str">
        <f t="shared" ref="G844:G885" si="584">$G$6</f>
        <v>013801</v>
      </c>
      <c r="J844" s="739">
        <v>8000</v>
      </c>
      <c r="Q844" s="773">
        <v>900</v>
      </c>
      <c r="T844" s="775" t="str">
        <f t="shared" ref="T844:T885" si="585">$T$6</f>
        <v>023801</v>
      </c>
      <c r="W844" s="739" t="s">
        <v>2032</v>
      </c>
      <c r="Y844" s="775">
        <f t="shared" ref="Y844:Y885" si="586">$Y$6</f>
        <v>2017</v>
      </c>
      <c r="Z844" s="775">
        <v>12</v>
      </c>
      <c r="AA844" s="739">
        <f>'LedgerLoad Assist'!BF127</f>
        <v>0</v>
      </c>
      <c r="AB844" s="739">
        <f t="shared" ref="AB844:AC844" si="587">AA844</f>
        <v>0</v>
      </c>
      <c r="AC844" s="739">
        <f t="shared" si="587"/>
        <v>0</v>
      </c>
    </row>
    <row r="845" spans="1:29">
      <c r="A845" s="739" t="s">
        <v>2025</v>
      </c>
      <c r="B845" s="739" t="s">
        <v>2025</v>
      </c>
      <c r="C845" s="739" t="s">
        <v>2026</v>
      </c>
      <c r="D845" s="739" t="s">
        <v>2026</v>
      </c>
      <c r="E845" s="791">
        <v>440000</v>
      </c>
      <c r="G845" s="739" t="str">
        <f t="shared" si="584"/>
        <v>013801</v>
      </c>
      <c r="J845" s="739">
        <v>8000</v>
      </c>
      <c r="Q845" s="773">
        <v>100</v>
      </c>
      <c r="T845" s="775" t="str">
        <f t="shared" si="585"/>
        <v>023801</v>
      </c>
      <c r="W845" s="739" t="s">
        <v>2032</v>
      </c>
      <c r="Y845" s="775">
        <f t="shared" si="586"/>
        <v>2017</v>
      </c>
      <c r="Z845" s="775">
        <v>12</v>
      </c>
      <c r="AA845" s="739">
        <f>'LedgerLoad Assist'!BF128</f>
        <v>0</v>
      </c>
      <c r="AB845" s="739">
        <f t="shared" ref="AB845:AC845" si="588">AA845</f>
        <v>0</v>
      </c>
      <c r="AC845" s="739">
        <f t="shared" si="588"/>
        <v>0</v>
      </c>
    </row>
    <row r="846" spans="1:29">
      <c r="A846" s="739" t="s">
        <v>2025</v>
      </c>
      <c r="B846" s="739" t="s">
        <v>2025</v>
      </c>
      <c r="C846" s="739" t="s">
        <v>2026</v>
      </c>
      <c r="D846" s="739" t="s">
        <v>2026</v>
      </c>
      <c r="E846" s="791">
        <v>440000</v>
      </c>
      <c r="G846" s="739" t="str">
        <f t="shared" si="584"/>
        <v>013801</v>
      </c>
      <c r="J846" s="739">
        <v>8000</v>
      </c>
      <c r="Q846" s="773" t="s">
        <v>2606</v>
      </c>
      <c r="T846" s="775" t="str">
        <f t="shared" si="585"/>
        <v>023801</v>
      </c>
      <c r="W846" s="739" t="s">
        <v>2032</v>
      </c>
      <c r="Y846" s="775">
        <f t="shared" si="586"/>
        <v>2017</v>
      </c>
      <c r="Z846" s="775">
        <v>12</v>
      </c>
      <c r="AA846" s="739">
        <f>'LedgerLoad Assist'!BF129</f>
        <v>0</v>
      </c>
      <c r="AB846" s="739">
        <f t="shared" ref="AB846:AC846" si="589">AA846</f>
        <v>0</v>
      </c>
      <c r="AC846" s="739">
        <f t="shared" si="589"/>
        <v>0</v>
      </c>
    </row>
    <row r="847" spans="1:29">
      <c r="A847" s="739" t="s">
        <v>2025</v>
      </c>
      <c r="B847" s="739" t="s">
        <v>2025</v>
      </c>
      <c r="C847" s="739" t="s">
        <v>2026</v>
      </c>
      <c r="D847" s="739" t="s">
        <v>2026</v>
      </c>
      <c r="E847" s="791">
        <v>440000</v>
      </c>
      <c r="G847" s="739" t="str">
        <f t="shared" si="584"/>
        <v>013801</v>
      </c>
      <c r="J847" s="739">
        <v>8000</v>
      </c>
      <c r="Q847" s="773">
        <v>610</v>
      </c>
      <c r="T847" s="775" t="str">
        <f t="shared" si="585"/>
        <v>023801</v>
      </c>
      <c r="W847" s="739" t="s">
        <v>2032</v>
      </c>
      <c r="Y847" s="775">
        <f t="shared" si="586"/>
        <v>2017</v>
      </c>
      <c r="Z847" s="775">
        <v>12</v>
      </c>
      <c r="AA847" s="739">
        <f>'LedgerLoad Assist'!BF130</f>
        <v>0</v>
      </c>
      <c r="AB847" s="739">
        <f t="shared" ref="AB847:AC847" si="590">AA847</f>
        <v>0</v>
      </c>
      <c r="AC847" s="739">
        <f t="shared" si="590"/>
        <v>0</v>
      </c>
    </row>
    <row r="848" spans="1:29">
      <c r="A848" s="739" t="s">
        <v>2025</v>
      </c>
      <c r="B848" s="739" t="s">
        <v>2025</v>
      </c>
      <c r="C848" s="739" t="s">
        <v>2026</v>
      </c>
      <c r="D848" s="739" t="s">
        <v>2026</v>
      </c>
      <c r="E848" s="791">
        <v>440000</v>
      </c>
      <c r="G848" s="739" t="str">
        <f t="shared" si="584"/>
        <v>013801</v>
      </c>
      <c r="J848" s="739">
        <v>8000</v>
      </c>
      <c r="Q848" s="773">
        <v>620</v>
      </c>
      <c r="T848" s="775" t="str">
        <f t="shared" si="585"/>
        <v>023801</v>
      </c>
      <c r="W848" s="739" t="s">
        <v>2032</v>
      </c>
      <c r="Y848" s="775">
        <f t="shared" si="586"/>
        <v>2017</v>
      </c>
      <c r="Z848" s="775">
        <v>12</v>
      </c>
      <c r="AA848" s="739">
        <f>'LedgerLoad Assist'!BF131</f>
        <v>0</v>
      </c>
      <c r="AB848" s="739">
        <f t="shared" ref="AB848:AC848" si="591">AA848</f>
        <v>0</v>
      </c>
      <c r="AC848" s="739">
        <f t="shared" si="591"/>
        <v>0</v>
      </c>
    </row>
    <row r="849" spans="1:29">
      <c r="A849" s="739" t="s">
        <v>2025</v>
      </c>
      <c r="B849" s="739" t="s">
        <v>2025</v>
      </c>
      <c r="C849" s="739" t="s">
        <v>2026</v>
      </c>
      <c r="D849" s="739" t="s">
        <v>2026</v>
      </c>
      <c r="E849" s="791">
        <v>440000</v>
      </c>
      <c r="G849" s="739" t="str">
        <f t="shared" si="584"/>
        <v>013801</v>
      </c>
      <c r="J849" s="739">
        <v>8000</v>
      </c>
      <c r="Q849" s="773">
        <v>900</v>
      </c>
      <c r="T849" s="775" t="str">
        <f t="shared" si="585"/>
        <v>023801</v>
      </c>
      <c r="W849" s="739" t="s">
        <v>2032</v>
      </c>
      <c r="Y849" s="775">
        <f t="shared" si="586"/>
        <v>2017</v>
      </c>
      <c r="Z849" s="775">
        <v>12</v>
      </c>
      <c r="AA849" s="739">
        <f>'LedgerLoad Assist'!BF132</f>
        <v>0</v>
      </c>
      <c r="AB849" s="739">
        <f t="shared" ref="AB849:AC849" si="592">AA849</f>
        <v>0</v>
      </c>
      <c r="AC849" s="739">
        <f t="shared" si="592"/>
        <v>0</v>
      </c>
    </row>
    <row r="850" spans="1:29">
      <c r="A850" s="739" t="s">
        <v>2025</v>
      </c>
      <c r="B850" s="739" t="s">
        <v>2025</v>
      </c>
      <c r="C850" s="739" t="s">
        <v>2026</v>
      </c>
      <c r="D850" s="739" t="s">
        <v>2026</v>
      </c>
      <c r="E850" s="791">
        <v>450000</v>
      </c>
      <c r="G850" s="739" t="str">
        <f t="shared" si="584"/>
        <v>013801</v>
      </c>
      <c r="J850" s="739">
        <v>8000</v>
      </c>
      <c r="Q850" s="773">
        <v>100</v>
      </c>
      <c r="T850" s="775" t="str">
        <f t="shared" si="585"/>
        <v>023801</v>
      </c>
      <c r="W850" s="739" t="s">
        <v>2032</v>
      </c>
      <c r="Y850" s="775">
        <f t="shared" si="586"/>
        <v>2017</v>
      </c>
      <c r="Z850" s="775">
        <v>12</v>
      </c>
      <c r="AA850" s="739">
        <f>'LedgerLoad Assist'!BF133</f>
        <v>0</v>
      </c>
      <c r="AB850" s="739">
        <f t="shared" ref="AB850:AC850" si="593">AA850</f>
        <v>0</v>
      </c>
      <c r="AC850" s="739">
        <f t="shared" si="593"/>
        <v>0</v>
      </c>
    </row>
    <row r="851" spans="1:29">
      <c r="A851" s="739" t="s">
        <v>2025</v>
      </c>
      <c r="B851" s="739" t="s">
        <v>2025</v>
      </c>
      <c r="C851" s="739" t="s">
        <v>2026</v>
      </c>
      <c r="D851" s="739" t="s">
        <v>2026</v>
      </c>
      <c r="E851" s="791">
        <v>450000</v>
      </c>
      <c r="G851" s="739" t="str">
        <f t="shared" si="584"/>
        <v>013801</v>
      </c>
      <c r="J851" s="739">
        <v>8000</v>
      </c>
      <c r="Q851" s="773" t="s">
        <v>2606</v>
      </c>
      <c r="T851" s="775" t="str">
        <f t="shared" si="585"/>
        <v>023801</v>
      </c>
      <c r="W851" s="739" t="s">
        <v>2032</v>
      </c>
      <c r="Y851" s="775">
        <f t="shared" si="586"/>
        <v>2017</v>
      </c>
      <c r="Z851" s="775">
        <v>12</v>
      </c>
      <c r="AA851" s="739">
        <f>'LedgerLoad Assist'!BF134</f>
        <v>0</v>
      </c>
      <c r="AB851" s="739">
        <f t="shared" ref="AB851:AC851" si="594">AA851</f>
        <v>0</v>
      </c>
      <c r="AC851" s="739">
        <f t="shared" si="594"/>
        <v>0</v>
      </c>
    </row>
    <row r="852" spans="1:29">
      <c r="A852" s="739" t="s">
        <v>2025</v>
      </c>
      <c r="B852" s="739" t="s">
        <v>2025</v>
      </c>
      <c r="C852" s="739" t="s">
        <v>2026</v>
      </c>
      <c r="D852" s="739" t="s">
        <v>2026</v>
      </c>
      <c r="E852" s="791">
        <v>450000</v>
      </c>
      <c r="G852" s="739" t="str">
        <f t="shared" si="584"/>
        <v>013801</v>
      </c>
      <c r="J852" s="739">
        <v>8000</v>
      </c>
      <c r="Q852" s="773">
        <v>610</v>
      </c>
      <c r="T852" s="775" t="str">
        <f t="shared" si="585"/>
        <v>023801</v>
      </c>
      <c r="W852" s="739" t="s">
        <v>2032</v>
      </c>
      <c r="Y852" s="775">
        <f t="shared" si="586"/>
        <v>2017</v>
      </c>
      <c r="Z852" s="775">
        <v>12</v>
      </c>
      <c r="AA852" s="739">
        <f>'LedgerLoad Assist'!BF135</f>
        <v>0</v>
      </c>
      <c r="AB852" s="739">
        <f t="shared" ref="AB852:AC852" si="595">AA852</f>
        <v>0</v>
      </c>
      <c r="AC852" s="739">
        <f t="shared" si="595"/>
        <v>0</v>
      </c>
    </row>
    <row r="853" spans="1:29">
      <c r="A853" s="739" t="s">
        <v>2025</v>
      </c>
      <c r="B853" s="739" t="s">
        <v>2025</v>
      </c>
      <c r="C853" s="739" t="s">
        <v>2026</v>
      </c>
      <c r="D853" s="739" t="s">
        <v>2026</v>
      </c>
      <c r="E853" s="791">
        <v>450000</v>
      </c>
      <c r="G853" s="739" t="str">
        <f t="shared" si="584"/>
        <v>013801</v>
      </c>
      <c r="J853" s="739">
        <v>8000</v>
      </c>
      <c r="Q853" s="773">
        <v>620</v>
      </c>
      <c r="T853" s="775" t="str">
        <f t="shared" si="585"/>
        <v>023801</v>
      </c>
      <c r="W853" s="739" t="s">
        <v>2032</v>
      </c>
      <c r="Y853" s="775">
        <f t="shared" si="586"/>
        <v>2017</v>
      </c>
      <c r="Z853" s="775">
        <v>12</v>
      </c>
      <c r="AA853" s="739">
        <f>'LedgerLoad Assist'!BF136</f>
        <v>0</v>
      </c>
      <c r="AB853" s="739">
        <f t="shared" ref="AB853:AC853" si="596">AA853</f>
        <v>0</v>
      </c>
      <c r="AC853" s="739">
        <f t="shared" si="596"/>
        <v>0</v>
      </c>
    </row>
    <row r="854" spans="1:29">
      <c r="A854" s="739" t="s">
        <v>2025</v>
      </c>
      <c r="B854" s="739" t="s">
        <v>2025</v>
      </c>
      <c r="C854" s="739" t="s">
        <v>2026</v>
      </c>
      <c r="D854" s="739" t="s">
        <v>2026</v>
      </c>
      <c r="E854" s="791">
        <v>450000</v>
      </c>
      <c r="G854" s="739" t="str">
        <f t="shared" si="584"/>
        <v>013801</v>
      </c>
      <c r="J854" s="739">
        <v>8000</v>
      </c>
      <c r="Q854" s="773">
        <v>900</v>
      </c>
      <c r="T854" s="775" t="str">
        <f t="shared" si="585"/>
        <v>023801</v>
      </c>
      <c r="W854" s="739" t="s">
        <v>2032</v>
      </c>
      <c r="Y854" s="775">
        <f t="shared" si="586"/>
        <v>2017</v>
      </c>
      <c r="Z854" s="775">
        <v>12</v>
      </c>
      <c r="AA854" s="739">
        <f>'LedgerLoad Assist'!BF137</f>
        <v>0</v>
      </c>
      <c r="AB854" s="739">
        <f t="shared" ref="AB854:AC854" si="597">AA854</f>
        <v>0</v>
      </c>
      <c r="AC854" s="739">
        <f t="shared" si="597"/>
        <v>0</v>
      </c>
    </row>
    <row r="855" spans="1:29">
      <c r="A855" s="739" t="s">
        <v>2025</v>
      </c>
      <c r="B855" s="739" t="s">
        <v>2025</v>
      </c>
      <c r="C855" s="739" t="s">
        <v>2026</v>
      </c>
      <c r="D855" s="739" t="s">
        <v>2026</v>
      </c>
      <c r="E855" s="791">
        <v>460000</v>
      </c>
      <c r="G855" s="739" t="str">
        <f t="shared" si="584"/>
        <v>013801</v>
      </c>
      <c r="J855" s="739">
        <v>8000</v>
      </c>
      <c r="Q855" s="773">
        <v>100</v>
      </c>
      <c r="T855" s="775" t="str">
        <f t="shared" si="585"/>
        <v>023801</v>
      </c>
      <c r="W855" s="739" t="s">
        <v>2032</v>
      </c>
      <c r="Y855" s="775">
        <f t="shared" si="586"/>
        <v>2017</v>
      </c>
      <c r="Z855" s="775">
        <v>12</v>
      </c>
      <c r="AA855" s="739">
        <f>'LedgerLoad Assist'!BF138</f>
        <v>0</v>
      </c>
      <c r="AB855" s="739">
        <f t="shared" ref="AB855:AC855" si="598">AA855</f>
        <v>0</v>
      </c>
      <c r="AC855" s="739">
        <f t="shared" si="598"/>
        <v>0</v>
      </c>
    </row>
    <row r="856" spans="1:29">
      <c r="A856" s="739" t="s">
        <v>2025</v>
      </c>
      <c r="B856" s="739" t="s">
        <v>2025</v>
      </c>
      <c r="C856" s="739" t="s">
        <v>2026</v>
      </c>
      <c r="D856" s="739" t="s">
        <v>2026</v>
      </c>
      <c r="E856" s="791">
        <v>460000</v>
      </c>
      <c r="G856" s="739" t="str">
        <f t="shared" si="584"/>
        <v>013801</v>
      </c>
      <c r="J856" s="739">
        <v>8000</v>
      </c>
      <c r="Q856" s="773" t="s">
        <v>2606</v>
      </c>
      <c r="T856" s="775" t="str">
        <f t="shared" si="585"/>
        <v>023801</v>
      </c>
      <c r="W856" s="739" t="s">
        <v>2032</v>
      </c>
      <c r="Y856" s="775">
        <f t="shared" si="586"/>
        <v>2017</v>
      </c>
      <c r="Z856" s="775">
        <v>12</v>
      </c>
      <c r="AA856" s="739">
        <f>'LedgerLoad Assist'!BF139</f>
        <v>0</v>
      </c>
      <c r="AB856" s="739">
        <f t="shared" ref="AB856:AC856" si="599">AA856</f>
        <v>0</v>
      </c>
      <c r="AC856" s="739">
        <f t="shared" si="599"/>
        <v>0</v>
      </c>
    </row>
    <row r="857" spans="1:29">
      <c r="A857" s="739" t="s">
        <v>2025</v>
      </c>
      <c r="B857" s="739" t="s">
        <v>2025</v>
      </c>
      <c r="C857" s="739" t="s">
        <v>2026</v>
      </c>
      <c r="D857" s="739" t="s">
        <v>2026</v>
      </c>
      <c r="E857" s="791">
        <v>460000</v>
      </c>
      <c r="G857" s="739" t="str">
        <f t="shared" si="584"/>
        <v>013801</v>
      </c>
      <c r="J857" s="739">
        <v>8000</v>
      </c>
      <c r="Q857" s="773">
        <v>610</v>
      </c>
      <c r="T857" s="775" t="str">
        <f t="shared" si="585"/>
        <v>023801</v>
      </c>
      <c r="W857" s="739" t="s">
        <v>2032</v>
      </c>
      <c r="Y857" s="775">
        <f t="shared" si="586"/>
        <v>2017</v>
      </c>
      <c r="Z857" s="775">
        <v>12</v>
      </c>
      <c r="AA857" s="739">
        <f>'LedgerLoad Assist'!BF140</f>
        <v>0</v>
      </c>
      <c r="AB857" s="739">
        <f t="shared" ref="AB857:AC857" si="600">AA857</f>
        <v>0</v>
      </c>
      <c r="AC857" s="739">
        <f t="shared" si="600"/>
        <v>0</v>
      </c>
    </row>
    <row r="858" spans="1:29">
      <c r="A858" s="739" t="s">
        <v>2025</v>
      </c>
      <c r="B858" s="739" t="s">
        <v>2025</v>
      </c>
      <c r="C858" s="739" t="s">
        <v>2026</v>
      </c>
      <c r="D858" s="739" t="s">
        <v>2026</v>
      </c>
      <c r="E858" s="791">
        <v>460000</v>
      </c>
      <c r="G858" s="739" t="str">
        <f t="shared" si="584"/>
        <v>013801</v>
      </c>
      <c r="J858" s="739">
        <v>8000</v>
      </c>
      <c r="Q858" s="773">
        <v>620</v>
      </c>
      <c r="T858" s="775" t="str">
        <f t="shared" si="585"/>
        <v>023801</v>
      </c>
      <c r="W858" s="739" t="s">
        <v>2032</v>
      </c>
      <c r="Y858" s="775">
        <f t="shared" si="586"/>
        <v>2017</v>
      </c>
      <c r="Z858" s="775">
        <v>12</v>
      </c>
      <c r="AA858" s="739">
        <f>'LedgerLoad Assist'!BF141</f>
        <v>0</v>
      </c>
      <c r="AB858" s="739">
        <f t="shared" ref="AB858:AC858" si="601">AA858</f>
        <v>0</v>
      </c>
      <c r="AC858" s="739">
        <f t="shared" si="601"/>
        <v>0</v>
      </c>
    </row>
    <row r="859" spans="1:29">
      <c r="A859" s="739" t="s">
        <v>2025</v>
      </c>
      <c r="B859" s="739" t="s">
        <v>2025</v>
      </c>
      <c r="C859" s="739" t="s">
        <v>2026</v>
      </c>
      <c r="D859" s="739" t="s">
        <v>2026</v>
      </c>
      <c r="E859" s="791">
        <v>460000</v>
      </c>
      <c r="G859" s="739" t="str">
        <f t="shared" si="584"/>
        <v>013801</v>
      </c>
      <c r="J859" s="739">
        <v>8000</v>
      </c>
      <c r="Q859" s="773">
        <v>900</v>
      </c>
      <c r="T859" s="775" t="str">
        <f t="shared" si="585"/>
        <v>023801</v>
      </c>
      <c r="W859" s="739" t="s">
        <v>2032</v>
      </c>
      <c r="Y859" s="775">
        <f t="shared" si="586"/>
        <v>2017</v>
      </c>
      <c r="Z859" s="775">
        <v>12</v>
      </c>
      <c r="AA859" s="739">
        <f>'LedgerLoad Assist'!BF142</f>
        <v>0</v>
      </c>
      <c r="AB859" s="739">
        <f t="shared" ref="AB859:AC859" si="602">AA859</f>
        <v>0</v>
      </c>
      <c r="AC859" s="739">
        <f t="shared" si="602"/>
        <v>0</v>
      </c>
    </row>
    <row r="860" spans="1:29">
      <c r="A860" s="739" t="s">
        <v>2025</v>
      </c>
      <c r="B860" s="739" t="s">
        <v>2025</v>
      </c>
      <c r="C860" s="739" t="s">
        <v>2026</v>
      </c>
      <c r="D860" s="739" t="s">
        <v>2026</v>
      </c>
      <c r="E860" s="791">
        <v>470000</v>
      </c>
      <c r="G860" s="739" t="str">
        <f t="shared" si="584"/>
        <v>013801</v>
      </c>
      <c r="J860" s="739">
        <v>8000</v>
      </c>
      <c r="Q860" s="773">
        <v>100</v>
      </c>
      <c r="T860" s="775" t="str">
        <f t="shared" si="585"/>
        <v>023801</v>
      </c>
      <c r="W860" s="739" t="s">
        <v>2032</v>
      </c>
      <c r="Y860" s="775">
        <f t="shared" si="586"/>
        <v>2017</v>
      </c>
      <c r="Z860" s="775">
        <v>12</v>
      </c>
      <c r="AA860" s="739">
        <f>'LedgerLoad Assist'!BF143</f>
        <v>0</v>
      </c>
      <c r="AB860" s="739">
        <f t="shared" ref="AB860:AC860" si="603">AA860</f>
        <v>0</v>
      </c>
      <c r="AC860" s="739">
        <f t="shared" si="603"/>
        <v>0</v>
      </c>
    </row>
    <row r="861" spans="1:29">
      <c r="A861" s="739" t="s">
        <v>2025</v>
      </c>
      <c r="B861" s="739" t="s">
        <v>2025</v>
      </c>
      <c r="C861" s="739" t="s">
        <v>2026</v>
      </c>
      <c r="D861" s="739" t="s">
        <v>2026</v>
      </c>
      <c r="E861" s="791">
        <v>470000</v>
      </c>
      <c r="G861" s="739" t="str">
        <f t="shared" si="584"/>
        <v>013801</v>
      </c>
      <c r="J861" s="739">
        <v>8000</v>
      </c>
      <c r="Q861" s="773" t="s">
        <v>2606</v>
      </c>
      <c r="T861" s="775" t="str">
        <f t="shared" si="585"/>
        <v>023801</v>
      </c>
      <c r="W861" s="739" t="s">
        <v>2032</v>
      </c>
      <c r="Y861" s="775">
        <f t="shared" si="586"/>
        <v>2017</v>
      </c>
      <c r="Z861" s="775">
        <v>12</v>
      </c>
      <c r="AA861" s="739">
        <f>'LedgerLoad Assist'!BF144</f>
        <v>0</v>
      </c>
      <c r="AB861" s="739">
        <f t="shared" ref="AB861:AC861" si="604">AA861</f>
        <v>0</v>
      </c>
      <c r="AC861" s="739">
        <f t="shared" si="604"/>
        <v>0</v>
      </c>
    </row>
    <row r="862" spans="1:29">
      <c r="A862" s="739" t="s">
        <v>2025</v>
      </c>
      <c r="B862" s="739" t="s">
        <v>2025</v>
      </c>
      <c r="C862" s="739" t="s">
        <v>2026</v>
      </c>
      <c r="D862" s="739" t="s">
        <v>2026</v>
      </c>
      <c r="E862" s="791">
        <v>470000</v>
      </c>
      <c r="G862" s="739" t="str">
        <f t="shared" si="584"/>
        <v>013801</v>
      </c>
      <c r="J862" s="739">
        <v>8000</v>
      </c>
      <c r="Q862" s="773">
        <v>610</v>
      </c>
      <c r="T862" s="775" t="str">
        <f t="shared" si="585"/>
        <v>023801</v>
      </c>
      <c r="W862" s="739" t="s">
        <v>2032</v>
      </c>
      <c r="Y862" s="775">
        <f t="shared" si="586"/>
        <v>2017</v>
      </c>
      <c r="Z862" s="775">
        <v>12</v>
      </c>
      <c r="AA862" s="739">
        <f>'LedgerLoad Assist'!BF145</f>
        <v>0</v>
      </c>
      <c r="AB862" s="739">
        <f t="shared" ref="AB862:AC862" si="605">AA862</f>
        <v>0</v>
      </c>
      <c r="AC862" s="739">
        <f t="shared" si="605"/>
        <v>0</v>
      </c>
    </row>
    <row r="863" spans="1:29">
      <c r="A863" s="739" t="s">
        <v>2025</v>
      </c>
      <c r="B863" s="739" t="s">
        <v>2025</v>
      </c>
      <c r="C863" s="739" t="s">
        <v>2026</v>
      </c>
      <c r="D863" s="739" t="s">
        <v>2026</v>
      </c>
      <c r="E863" s="791">
        <v>470000</v>
      </c>
      <c r="G863" s="739" t="str">
        <f t="shared" si="584"/>
        <v>013801</v>
      </c>
      <c r="J863" s="739">
        <v>8000</v>
      </c>
      <c r="Q863" s="773">
        <v>620</v>
      </c>
      <c r="T863" s="775" t="str">
        <f t="shared" si="585"/>
        <v>023801</v>
      </c>
      <c r="W863" s="739" t="s">
        <v>2032</v>
      </c>
      <c r="Y863" s="775">
        <f t="shared" si="586"/>
        <v>2017</v>
      </c>
      <c r="Z863" s="775">
        <v>12</v>
      </c>
      <c r="AA863" s="739">
        <f>'LedgerLoad Assist'!BF146</f>
        <v>0</v>
      </c>
      <c r="AB863" s="739">
        <f t="shared" ref="AB863:AC863" si="606">AA863</f>
        <v>0</v>
      </c>
      <c r="AC863" s="739">
        <f t="shared" si="606"/>
        <v>0</v>
      </c>
    </row>
    <row r="864" spans="1:29">
      <c r="A864" s="739" t="s">
        <v>2025</v>
      </c>
      <c r="B864" s="739" t="s">
        <v>2025</v>
      </c>
      <c r="C864" s="739" t="s">
        <v>2026</v>
      </c>
      <c r="D864" s="739" t="s">
        <v>2026</v>
      </c>
      <c r="E864" s="791">
        <v>470000</v>
      </c>
      <c r="G864" s="739" t="str">
        <f t="shared" si="584"/>
        <v>013801</v>
      </c>
      <c r="J864" s="739">
        <v>8000</v>
      </c>
      <c r="Q864" s="773">
        <v>900</v>
      </c>
      <c r="T864" s="775" t="str">
        <f t="shared" si="585"/>
        <v>023801</v>
      </c>
      <c r="W864" s="739" t="s">
        <v>2032</v>
      </c>
      <c r="Y864" s="775">
        <f t="shared" si="586"/>
        <v>2017</v>
      </c>
      <c r="Z864" s="775">
        <v>12</v>
      </c>
      <c r="AA864" s="739">
        <f>'LedgerLoad Assist'!BF147</f>
        <v>0</v>
      </c>
      <c r="AB864" s="739">
        <f t="shared" ref="AB864:AC864" si="607">AA864</f>
        <v>0</v>
      </c>
      <c r="AC864" s="739">
        <f t="shared" si="607"/>
        <v>0</v>
      </c>
    </row>
    <row r="865" spans="1:29">
      <c r="A865" s="739" t="s">
        <v>2025</v>
      </c>
      <c r="B865" s="739" t="s">
        <v>2025</v>
      </c>
      <c r="C865" s="739" t="s">
        <v>2026</v>
      </c>
      <c r="D865" s="739" t="s">
        <v>2026</v>
      </c>
      <c r="E865" s="791">
        <v>480000</v>
      </c>
      <c r="G865" s="739" t="str">
        <f t="shared" si="584"/>
        <v>013801</v>
      </c>
      <c r="J865" s="739">
        <v>8000</v>
      </c>
      <c r="Q865" s="773">
        <v>100</v>
      </c>
      <c r="T865" s="775" t="str">
        <f t="shared" si="585"/>
        <v>023801</v>
      </c>
      <c r="W865" s="739" t="s">
        <v>2032</v>
      </c>
      <c r="Y865" s="775">
        <f t="shared" si="586"/>
        <v>2017</v>
      </c>
      <c r="Z865" s="775">
        <v>12</v>
      </c>
      <c r="AA865" s="739">
        <f>'LedgerLoad Assist'!BF148</f>
        <v>0</v>
      </c>
      <c r="AB865" s="739">
        <f t="shared" ref="AB865:AC865" si="608">AA865</f>
        <v>0</v>
      </c>
      <c r="AC865" s="739">
        <f t="shared" si="608"/>
        <v>0</v>
      </c>
    </row>
    <row r="866" spans="1:29">
      <c r="A866" s="739" t="s">
        <v>2025</v>
      </c>
      <c r="B866" s="739" t="s">
        <v>2025</v>
      </c>
      <c r="C866" s="739" t="s">
        <v>2026</v>
      </c>
      <c r="D866" s="739" t="s">
        <v>2026</v>
      </c>
      <c r="E866" s="791">
        <v>480000</v>
      </c>
      <c r="G866" s="739" t="str">
        <f t="shared" si="584"/>
        <v>013801</v>
      </c>
      <c r="J866" s="739">
        <v>8000</v>
      </c>
      <c r="Q866" s="773" t="s">
        <v>2606</v>
      </c>
      <c r="T866" s="775" t="str">
        <f t="shared" si="585"/>
        <v>023801</v>
      </c>
      <c r="W866" s="739" t="s">
        <v>2032</v>
      </c>
      <c r="Y866" s="775">
        <f t="shared" si="586"/>
        <v>2017</v>
      </c>
      <c r="Z866" s="775">
        <v>12</v>
      </c>
      <c r="AA866" s="739">
        <f>'LedgerLoad Assist'!BF149</f>
        <v>0</v>
      </c>
      <c r="AB866" s="739">
        <f t="shared" ref="AB866:AC866" si="609">AA866</f>
        <v>0</v>
      </c>
      <c r="AC866" s="739">
        <f t="shared" si="609"/>
        <v>0</v>
      </c>
    </row>
    <row r="867" spans="1:29">
      <c r="A867" s="739" t="s">
        <v>2025</v>
      </c>
      <c r="B867" s="739" t="s">
        <v>2025</v>
      </c>
      <c r="C867" s="739" t="s">
        <v>2026</v>
      </c>
      <c r="D867" s="739" t="s">
        <v>2026</v>
      </c>
      <c r="E867" s="791">
        <v>480000</v>
      </c>
      <c r="G867" s="739" t="str">
        <f t="shared" si="584"/>
        <v>013801</v>
      </c>
      <c r="J867" s="739">
        <v>8000</v>
      </c>
      <c r="Q867" s="773">
        <v>610</v>
      </c>
      <c r="T867" s="775" t="str">
        <f t="shared" si="585"/>
        <v>023801</v>
      </c>
      <c r="W867" s="739" t="s">
        <v>2032</v>
      </c>
      <c r="Y867" s="775">
        <f t="shared" si="586"/>
        <v>2017</v>
      </c>
      <c r="Z867" s="775">
        <v>12</v>
      </c>
      <c r="AA867" s="739">
        <f>'LedgerLoad Assist'!BF150</f>
        <v>0</v>
      </c>
      <c r="AB867" s="739">
        <f t="shared" ref="AB867:AC867" si="610">AA867</f>
        <v>0</v>
      </c>
      <c r="AC867" s="739">
        <f t="shared" si="610"/>
        <v>0</v>
      </c>
    </row>
    <row r="868" spans="1:29">
      <c r="A868" s="739" t="s">
        <v>2025</v>
      </c>
      <c r="B868" s="739" t="s">
        <v>2025</v>
      </c>
      <c r="C868" s="739" t="s">
        <v>2026</v>
      </c>
      <c r="D868" s="739" t="s">
        <v>2026</v>
      </c>
      <c r="E868" s="791">
        <v>480000</v>
      </c>
      <c r="G868" s="739" t="str">
        <f t="shared" si="584"/>
        <v>013801</v>
      </c>
      <c r="J868" s="739">
        <v>8000</v>
      </c>
      <c r="Q868" s="773">
        <v>620</v>
      </c>
      <c r="T868" s="775" t="str">
        <f t="shared" si="585"/>
        <v>023801</v>
      </c>
      <c r="W868" s="739" t="s">
        <v>2032</v>
      </c>
      <c r="Y868" s="775">
        <f t="shared" si="586"/>
        <v>2017</v>
      </c>
      <c r="Z868" s="775">
        <v>12</v>
      </c>
      <c r="AA868" s="739">
        <f>'LedgerLoad Assist'!BF151</f>
        <v>0</v>
      </c>
      <c r="AB868" s="739">
        <f t="shared" ref="AB868:AC868" si="611">AA868</f>
        <v>0</v>
      </c>
      <c r="AC868" s="739">
        <f t="shared" si="611"/>
        <v>0</v>
      </c>
    </row>
    <row r="869" spans="1:29">
      <c r="A869" s="739" t="s">
        <v>2025</v>
      </c>
      <c r="B869" s="739" t="s">
        <v>2025</v>
      </c>
      <c r="C869" s="739" t="s">
        <v>2026</v>
      </c>
      <c r="D869" s="739" t="s">
        <v>2026</v>
      </c>
      <c r="E869" s="791">
        <v>480000</v>
      </c>
      <c r="G869" s="739" t="str">
        <f t="shared" si="584"/>
        <v>013801</v>
      </c>
      <c r="J869" s="739">
        <v>8000</v>
      </c>
      <c r="Q869" s="773">
        <v>900</v>
      </c>
      <c r="T869" s="775" t="str">
        <f t="shared" si="585"/>
        <v>023801</v>
      </c>
      <c r="W869" s="739" t="s">
        <v>2032</v>
      </c>
      <c r="Y869" s="775">
        <f t="shared" si="586"/>
        <v>2017</v>
      </c>
      <c r="Z869" s="775">
        <v>12</v>
      </c>
      <c r="AA869" s="739">
        <f>'LedgerLoad Assist'!BF152</f>
        <v>0</v>
      </c>
      <c r="AB869" s="739">
        <f t="shared" ref="AB869:AC869" si="612">AA869</f>
        <v>0</v>
      </c>
      <c r="AC869" s="739">
        <f t="shared" si="612"/>
        <v>0</v>
      </c>
    </row>
    <row r="870" spans="1:29">
      <c r="A870" s="739" t="s">
        <v>2025</v>
      </c>
      <c r="B870" s="739" t="s">
        <v>2025</v>
      </c>
      <c r="C870" s="739" t="s">
        <v>2026</v>
      </c>
      <c r="D870" s="739" t="s">
        <v>2026</v>
      </c>
      <c r="E870" s="791">
        <v>490000</v>
      </c>
      <c r="G870" s="739" t="str">
        <f t="shared" si="584"/>
        <v>013801</v>
      </c>
      <c r="J870" s="739">
        <v>8000</v>
      </c>
      <c r="Q870" s="773">
        <v>100</v>
      </c>
      <c r="T870" s="775" t="str">
        <f t="shared" si="585"/>
        <v>023801</v>
      </c>
      <c r="W870" s="739" t="s">
        <v>2032</v>
      </c>
      <c r="Y870" s="775">
        <f t="shared" si="586"/>
        <v>2017</v>
      </c>
      <c r="Z870" s="775">
        <v>12</v>
      </c>
      <c r="AA870" s="739">
        <f>'LedgerLoad Assist'!BF153</f>
        <v>0</v>
      </c>
      <c r="AB870" s="739">
        <f t="shared" ref="AB870:AC870" si="613">AA870</f>
        <v>0</v>
      </c>
      <c r="AC870" s="739">
        <f t="shared" si="613"/>
        <v>0</v>
      </c>
    </row>
    <row r="871" spans="1:29">
      <c r="A871" s="739" t="s">
        <v>2025</v>
      </c>
      <c r="B871" s="739" t="s">
        <v>2025</v>
      </c>
      <c r="C871" s="739" t="s">
        <v>2026</v>
      </c>
      <c r="D871" s="739" t="s">
        <v>2026</v>
      </c>
      <c r="E871" s="791">
        <v>490000</v>
      </c>
      <c r="G871" s="739" t="str">
        <f t="shared" si="584"/>
        <v>013801</v>
      </c>
      <c r="J871" s="739">
        <v>8000</v>
      </c>
      <c r="Q871" s="773" t="s">
        <v>2606</v>
      </c>
      <c r="T871" s="775" t="str">
        <f t="shared" si="585"/>
        <v>023801</v>
      </c>
      <c r="W871" s="739" t="s">
        <v>2032</v>
      </c>
      <c r="Y871" s="775">
        <f t="shared" si="586"/>
        <v>2017</v>
      </c>
      <c r="Z871" s="775">
        <v>12</v>
      </c>
      <c r="AA871" s="739">
        <f>'LedgerLoad Assist'!BF154</f>
        <v>0</v>
      </c>
      <c r="AB871" s="739">
        <f t="shared" ref="AB871:AC871" si="614">AA871</f>
        <v>0</v>
      </c>
      <c r="AC871" s="739">
        <f t="shared" si="614"/>
        <v>0</v>
      </c>
    </row>
    <row r="872" spans="1:29">
      <c r="A872" s="739" t="s">
        <v>2025</v>
      </c>
      <c r="B872" s="739" t="s">
        <v>2025</v>
      </c>
      <c r="C872" s="739" t="s">
        <v>2026</v>
      </c>
      <c r="D872" s="739" t="s">
        <v>2026</v>
      </c>
      <c r="E872" s="791">
        <v>490000</v>
      </c>
      <c r="G872" s="739" t="str">
        <f t="shared" si="584"/>
        <v>013801</v>
      </c>
      <c r="J872" s="739">
        <v>8000</v>
      </c>
      <c r="Q872" s="773">
        <v>610</v>
      </c>
      <c r="T872" s="775" t="str">
        <f t="shared" si="585"/>
        <v>023801</v>
      </c>
      <c r="W872" s="739" t="s">
        <v>2032</v>
      </c>
      <c r="Y872" s="775">
        <f t="shared" si="586"/>
        <v>2017</v>
      </c>
      <c r="Z872" s="775">
        <v>12</v>
      </c>
      <c r="AA872" s="739">
        <f>'LedgerLoad Assist'!BF155</f>
        <v>0</v>
      </c>
      <c r="AB872" s="739">
        <f t="shared" ref="AB872:AC872" si="615">AA872</f>
        <v>0</v>
      </c>
      <c r="AC872" s="739">
        <f t="shared" si="615"/>
        <v>0</v>
      </c>
    </row>
    <row r="873" spans="1:29">
      <c r="A873" s="739" t="s">
        <v>2025</v>
      </c>
      <c r="B873" s="739" t="s">
        <v>2025</v>
      </c>
      <c r="C873" s="739" t="s">
        <v>2026</v>
      </c>
      <c r="D873" s="739" t="s">
        <v>2026</v>
      </c>
      <c r="E873" s="791">
        <v>490000</v>
      </c>
      <c r="G873" s="739" t="str">
        <f t="shared" si="584"/>
        <v>013801</v>
      </c>
      <c r="J873" s="739">
        <v>8000</v>
      </c>
      <c r="Q873" s="773">
        <v>620</v>
      </c>
      <c r="T873" s="775" t="str">
        <f t="shared" si="585"/>
        <v>023801</v>
      </c>
      <c r="W873" s="739" t="s">
        <v>2032</v>
      </c>
      <c r="Y873" s="775">
        <f t="shared" si="586"/>
        <v>2017</v>
      </c>
      <c r="Z873" s="775">
        <v>12</v>
      </c>
      <c r="AA873" s="739">
        <f>'LedgerLoad Assist'!BF156</f>
        <v>0</v>
      </c>
      <c r="AB873" s="739">
        <f t="shared" ref="AB873:AC873" si="616">AA873</f>
        <v>0</v>
      </c>
      <c r="AC873" s="739">
        <f t="shared" si="616"/>
        <v>0</v>
      </c>
    </row>
    <row r="874" spans="1:29">
      <c r="A874" s="739" t="s">
        <v>2025</v>
      </c>
      <c r="B874" s="739" t="s">
        <v>2025</v>
      </c>
      <c r="C874" s="739" t="s">
        <v>2026</v>
      </c>
      <c r="D874" s="739" t="s">
        <v>2026</v>
      </c>
      <c r="E874" s="791">
        <v>490000</v>
      </c>
      <c r="G874" s="739" t="str">
        <f t="shared" si="584"/>
        <v>013801</v>
      </c>
      <c r="J874" s="739">
        <v>8000</v>
      </c>
      <c r="Q874" s="773">
        <v>900</v>
      </c>
      <c r="T874" s="775" t="str">
        <f t="shared" si="585"/>
        <v>023801</v>
      </c>
      <c r="W874" s="739" t="s">
        <v>2032</v>
      </c>
      <c r="Y874" s="775">
        <f t="shared" si="586"/>
        <v>2017</v>
      </c>
      <c r="Z874" s="775">
        <v>12</v>
      </c>
      <c r="AA874" s="739">
        <f>'LedgerLoad Assist'!BF157</f>
        <v>0</v>
      </c>
      <c r="AB874" s="739">
        <f t="shared" ref="AB874:AC874" si="617">AA874</f>
        <v>0</v>
      </c>
      <c r="AC874" s="739">
        <f t="shared" si="617"/>
        <v>0</v>
      </c>
    </row>
    <row r="875" spans="1:29">
      <c r="A875" s="739" t="s">
        <v>2025</v>
      </c>
      <c r="B875" s="739" t="s">
        <v>2025</v>
      </c>
      <c r="C875" s="739" t="s">
        <v>2026</v>
      </c>
      <c r="D875" s="739" t="s">
        <v>2026</v>
      </c>
      <c r="E875" s="791">
        <v>500000</v>
      </c>
      <c r="G875" s="739" t="str">
        <f t="shared" si="584"/>
        <v>013801</v>
      </c>
      <c r="J875" s="739">
        <v>8000</v>
      </c>
      <c r="Q875" s="773">
        <v>100</v>
      </c>
      <c r="T875" s="775" t="str">
        <f t="shared" si="585"/>
        <v>023801</v>
      </c>
      <c r="W875" s="739" t="s">
        <v>2032</v>
      </c>
      <c r="Y875" s="775">
        <f t="shared" si="586"/>
        <v>2017</v>
      </c>
      <c r="Z875" s="775">
        <v>12</v>
      </c>
      <c r="AA875" s="739">
        <f>'LedgerLoad Assist'!BF158</f>
        <v>0</v>
      </c>
      <c r="AB875" s="739">
        <f t="shared" ref="AB875:AC875" si="618">AA875</f>
        <v>0</v>
      </c>
      <c r="AC875" s="739">
        <f t="shared" si="618"/>
        <v>0</v>
      </c>
    </row>
    <row r="876" spans="1:29">
      <c r="A876" s="739" t="s">
        <v>2025</v>
      </c>
      <c r="B876" s="739" t="s">
        <v>2025</v>
      </c>
      <c r="C876" s="739" t="s">
        <v>2026</v>
      </c>
      <c r="D876" s="739" t="s">
        <v>2026</v>
      </c>
      <c r="E876" s="791">
        <v>500000</v>
      </c>
      <c r="G876" s="739" t="str">
        <f t="shared" si="584"/>
        <v>013801</v>
      </c>
      <c r="J876" s="739">
        <v>8000</v>
      </c>
      <c r="Q876" s="773">
        <v>200</v>
      </c>
      <c r="T876" s="775" t="str">
        <f t="shared" si="585"/>
        <v>023801</v>
      </c>
      <c r="W876" s="739" t="s">
        <v>2032</v>
      </c>
      <c r="Y876" s="775">
        <f t="shared" si="586"/>
        <v>2017</v>
      </c>
      <c r="Z876" s="775">
        <v>12</v>
      </c>
      <c r="AA876" s="739">
        <f>'LedgerLoad Assist'!BF159</f>
        <v>0</v>
      </c>
      <c r="AB876" s="739">
        <f t="shared" ref="AB876:AC876" si="619">AA876</f>
        <v>0</v>
      </c>
      <c r="AC876" s="739">
        <f t="shared" si="619"/>
        <v>0</v>
      </c>
    </row>
    <row r="877" spans="1:29">
      <c r="A877" s="739" t="s">
        <v>2025</v>
      </c>
      <c r="B877" s="739" t="s">
        <v>2025</v>
      </c>
      <c r="C877" s="739" t="s">
        <v>2026</v>
      </c>
      <c r="D877" s="739" t="s">
        <v>2026</v>
      </c>
      <c r="E877" s="791">
        <v>500000</v>
      </c>
      <c r="G877" s="739" t="str">
        <f t="shared" si="584"/>
        <v>013801</v>
      </c>
      <c r="J877" s="739">
        <v>8000</v>
      </c>
      <c r="Q877" s="773">
        <v>610</v>
      </c>
      <c r="T877" s="775" t="str">
        <f t="shared" si="585"/>
        <v>023801</v>
      </c>
      <c r="W877" s="739" t="s">
        <v>2032</v>
      </c>
      <c r="Y877" s="775">
        <f t="shared" si="586"/>
        <v>2017</v>
      </c>
      <c r="Z877" s="775">
        <v>12</v>
      </c>
      <c r="AA877" s="739">
        <f>'LedgerLoad Assist'!BF160</f>
        <v>0</v>
      </c>
      <c r="AB877" s="739">
        <f t="shared" ref="AB877:AC877" si="620">AA877</f>
        <v>0</v>
      </c>
      <c r="AC877" s="739">
        <f t="shared" si="620"/>
        <v>0</v>
      </c>
    </row>
    <row r="878" spans="1:29">
      <c r="A878" s="739" t="s">
        <v>2025</v>
      </c>
      <c r="B878" s="739" t="s">
        <v>2025</v>
      </c>
      <c r="C878" s="739" t="s">
        <v>2026</v>
      </c>
      <c r="D878" s="739" t="s">
        <v>2026</v>
      </c>
      <c r="E878" s="791">
        <v>500000</v>
      </c>
      <c r="G878" s="739" t="str">
        <f t="shared" si="584"/>
        <v>013801</v>
      </c>
      <c r="J878" s="739">
        <v>8000</v>
      </c>
      <c r="Q878" s="773">
        <v>620</v>
      </c>
      <c r="T878" s="775" t="str">
        <f t="shared" si="585"/>
        <v>023801</v>
      </c>
      <c r="W878" s="739" t="s">
        <v>2032</v>
      </c>
      <c r="Y878" s="775">
        <f t="shared" si="586"/>
        <v>2017</v>
      </c>
      <c r="Z878" s="775">
        <v>12</v>
      </c>
      <c r="AA878" s="739">
        <f>'LedgerLoad Assist'!BF161</f>
        <v>0</v>
      </c>
      <c r="AB878" s="739">
        <f t="shared" ref="AB878:AC878" si="621">AA878</f>
        <v>0</v>
      </c>
      <c r="AC878" s="739">
        <f t="shared" si="621"/>
        <v>0</v>
      </c>
    </row>
    <row r="879" spans="1:29">
      <c r="A879" s="739" t="s">
        <v>2025</v>
      </c>
      <c r="B879" s="739" t="s">
        <v>2025</v>
      </c>
      <c r="C879" s="739" t="s">
        <v>2026</v>
      </c>
      <c r="D879" s="739" t="s">
        <v>2026</v>
      </c>
      <c r="E879" s="791">
        <v>500000</v>
      </c>
      <c r="G879" s="739" t="str">
        <f t="shared" si="584"/>
        <v>013801</v>
      </c>
      <c r="J879" s="739">
        <v>8000</v>
      </c>
      <c r="Q879" s="773">
        <v>900</v>
      </c>
      <c r="T879" s="775" t="str">
        <f t="shared" si="585"/>
        <v>023801</v>
      </c>
      <c r="W879" s="739" t="s">
        <v>2032</v>
      </c>
      <c r="Y879" s="775">
        <f t="shared" si="586"/>
        <v>2017</v>
      </c>
      <c r="Z879" s="775">
        <v>12</v>
      </c>
      <c r="AA879" s="739">
        <f>'LedgerLoad Assist'!BF162</f>
        <v>0</v>
      </c>
      <c r="AB879" s="739">
        <f t="shared" ref="AB879:AC879" si="622">AA879</f>
        <v>0</v>
      </c>
      <c r="AC879" s="739">
        <f t="shared" si="622"/>
        <v>0</v>
      </c>
    </row>
    <row r="880" spans="1:29">
      <c r="A880" s="739" t="s">
        <v>2025</v>
      </c>
      <c r="B880" s="739" t="s">
        <v>2025</v>
      </c>
      <c r="C880" s="739" t="s">
        <v>2026</v>
      </c>
      <c r="D880" s="739" t="s">
        <v>2026</v>
      </c>
      <c r="E880" s="791">
        <v>510000</v>
      </c>
      <c r="G880" s="739" t="str">
        <f t="shared" si="584"/>
        <v>013801</v>
      </c>
      <c r="J880" s="739">
        <v>8000</v>
      </c>
      <c r="Q880" s="773">
        <v>100</v>
      </c>
      <c r="T880" s="775" t="str">
        <f t="shared" si="585"/>
        <v>023801</v>
      </c>
      <c r="W880" s="739" t="s">
        <v>2032</v>
      </c>
      <c r="Y880" s="775">
        <f t="shared" si="586"/>
        <v>2017</v>
      </c>
      <c r="Z880" s="775">
        <v>12</v>
      </c>
      <c r="AA880" s="739">
        <f>'LedgerLoad Assist'!BF163</f>
        <v>0</v>
      </c>
      <c r="AB880" s="739">
        <f t="shared" ref="AB880:AC880" si="623">AA880</f>
        <v>0</v>
      </c>
      <c r="AC880" s="739">
        <f t="shared" si="623"/>
        <v>0</v>
      </c>
    </row>
    <row r="881" spans="1:29">
      <c r="A881" s="739" t="s">
        <v>2025</v>
      </c>
      <c r="B881" s="739" t="s">
        <v>2025</v>
      </c>
      <c r="C881" s="739" t="s">
        <v>2026</v>
      </c>
      <c r="D881" s="739" t="s">
        <v>2026</v>
      </c>
      <c r="E881" s="791">
        <v>510000</v>
      </c>
      <c r="G881" s="739" t="str">
        <f t="shared" si="584"/>
        <v>013801</v>
      </c>
      <c r="J881" s="739">
        <v>8000</v>
      </c>
      <c r="Q881" s="773" t="s">
        <v>2606</v>
      </c>
      <c r="T881" s="775" t="str">
        <f t="shared" si="585"/>
        <v>023801</v>
      </c>
      <c r="W881" s="739" t="s">
        <v>2032</v>
      </c>
      <c r="Y881" s="775">
        <f t="shared" si="586"/>
        <v>2017</v>
      </c>
      <c r="Z881" s="775">
        <v>12</v>
      </c>
      <c r="AA881" s="739">
        <f>'OPER.-PERMANENT FUNDS(77-78)'!H32+'LedgerLoad Assist'!BF164</f>
        <v>0</v>
      </c>
      <c r="AB881" s="739">
        <f t="shared" ref="AB881:AC881" si="624">AA881</f>
        <v>0</v>
      </c>
      <c r="AC881" s="739">
        <f t="shared" si="624"/>
        <v>0</v>
      </c>
    </row>
    <row r="882" spans="1:29">
      <c r="A882" s="739" t="s">
        <v>2025</v>
      </c>
      <c r="B882" s="739" t="s">
        <v>2025</v>
      </c>
      <c r="C882" s="739" t="s">
        <v>2026</v>
      </c>
      <c r="D882" s="739" t="s">
        <v>2026</v>
      </c>
      <c r="E882" s="791">
        <v>510000</v>
      </c>
      <c r="G882" s="739" t="str">
        <f t="shared" si="584"/>
        <v>013801</v>
      </c>
      <c r="J882" s="739">
        <v>8000</v>
      </c>
      <c r="Q882" s="773">
        <v>610</v>
      </c>
      <c r="T882" s="775" t="str">
        <f t="shared" si="585"/>
        <v>023801</v>
      </c>
      <c r="W882" s="739" t="s">
        <v>2032</v>
      </c>
      <c r="Y882" s="775">
        <f t="shared" si="586"/>
        <v>2017</v>
      </c>
      <c r="Z882" s="775">
        <v>12</v>
      </c>
    </row>
    <row r="883" spans="1:29">
      <c r="A883" s="739" t="s">
        <v>2025</v>
      </c>
      <c r="B883" s="739" t="s">
        <v>2025</v>
      </c>
      <c r="C883" s="739" t="s">
        <v>2026</v>
      </c>
      <c r="D883" s="739" t="s">
        <v>2026</v>
      </c>
      <c r="E883" s="791">
        <v>510000</v>
      </c>
      <c r="G883" s="739" t="str">
        <f t="shared" si="584"/>
        <v>013801</v>
      </c>
      <c r="J883" s="739">
        <v>8000</v>
      </c>
      <c r="Q883" s="773">
        <v>620</v>
      </c>
      <c r="T883" s="775" t="str">
        <f t="shared" si="585"/>
        <v>023801</v>
      </c>
      <c r="W883" s="739" t="s">
        <v>2032</v>
      </c>
      <c r="Y883" s="775">
        <f t="shared" si="586"/>
        <v>2017</v>
      </c>
      <c r="Z883" s="775">
        <v>12</v>
      </c>
    </row>
    <row r="884" spans="1:29">
      <c r="A884" s="739" t="s">
        <v>2025</v>
      </c>
      <c r="B884" s="739" t="s">
        <v>2025</v>
      </c>
      <c r="C884" s="739" t="s">
        <v>2026</v>
      </c>
      <c r="D884" s="739" t="s">
        <v>2026</v>
      </c>
      <c r="E884" s="791">
        <v>510000</v>
      </c>
      <c r="G884" s="739" t="str">
        <f t="shared" si="584"/>
        <v>013801</v>
      </c>
      <c r="J884" s="739">
        <v>8000</v>
      </c>
      <c r="Q884" s="773">
        <v>900</v>
      </c>
      <c r="T884" s="775" t="str">
        <f t="shared" si="585"/>
        <v>023801</v>
      </c>
      <c r="W884" s="739" t="s">
        <v>2032</v>
      </c>
      <c r="Y884" s="775">
        <f t="shared" si="586"/>
        <v>2017</v>
      </c>
      <c r="Z884" s="775">
        <v>12</v>
      </c>
      <c r="AA884" s="739">
        <f>'OPER.-PERMANENT FUNDS(77-78)'!H33+'LedgerLoad Assist'!BF167</f>
        <v>0</v>
      </c>
      <c r="AB884" s="739">
        <f>AA884</f>
        <v>0</v>
      </c>
      <c r="AC884" s="739">
        <f>AB884</f>
        <v>0</v>
      </c>
    </row>
    <row r="885" spans="1:29">
      <c r="A885" s="739" t="s">
        <v>2025</v>
      </c>
      <c r="B885" s="739" t="s">
        <v>2025</v>
      </c>
      <c r="C885" s="739" t="s">
        <v>2026</v>
      </c>
      <c r="D885" s="739" t="s">
        <v>2026</v>
      </c>
      <c r="E885" s="791">
        <v>520000</v>
      </c>
      <c r="G885" s="739" t="str">
        <f t="shared" si="584"/>
        <v>013801</v>
      </c>
      <c r="J885" s="739">
        <v>8000</v>
      </c>
      <c r="Q885" s="773" t="s">
        <v>2606</v>
      </c>
      <c r="T885" s="775" t="str">
        <f t="shared" si="585"/>
        <v>023801</v>
      </c>
      <c r="W885" s="739" t="s">
        <v>2032</v>
      </c>
      <c r="Y885" s="775">
        <f t="shared" si="586"/>
        <v>2017</v>
      </c>
      <c r="Z885" s="775">
        <v>12</v>
      </c>
      <c r="AA885" s="739">
        <f>-'OPER.-PERMANENT FUNDS(77-78)'!H42-'OPER.-PERMANENT FUNDS(77-78)'!H45-'OPER.-PERMANENT FUNDS(77-78)'!H46-'LedgerLoad Assist'!BF169</f>
        <v>0</v>
      </c>
      <c r="AB885" s="739">
        <f>AA885</f>
        <v>0</v>
      </c>
      <c r="AC885" s="739">
        <f>AB885</f>
        <v>0</v>
      </c>
    </row>
  </sheetData>
  <sheetProtection password="D950" sheet="1" objects="1" scenarios="1"/>
  <customSheetViews>
    <customSheetView guid="{FC3B3501-CA52-40D7-B049-0E027A15B235}" hiddenRows="1" hiddenColumns="1" state="hidden" topLeftCell="A800">
      <selection activeCell="Q807" sqref="Q807"/>
      <pageMargins left="0.75" right="0.75" top="1" bottom="1" header="0.5" footer="0.5"/>
      <pageSetup orientation="portrait" r:id="rId1"/>
      <headerFooter alignWithMargins="0"/>
    </customSheetView>
  </customSheetViews>
  <pageMargins left="0.75" right="0.75" top="1" bottom="1" header="0.5" footer="0.5"/>
  <pageSetup orientation="portrait" r:id="rId2"/>
  <headerFooter alignWithMargins="0"/>
  <ignoredErrors>
    <ignoredError sqref="G6:G7 G538:G885 T6:T7 T538:T885 T8:T450 G8:G450 T453:T535 G453:G535" evalError="1"/>
    <ignoredError sqref="E5 J5 Q5" numberStoredAsText="1"/>
  </ignoredError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FF99"/>
  </sheetPr>
  <dimension ref="A1:H1064"/>
  <sheetViews>
    <sheetView topLeftCell="A3" zoomScale="90" zoomScaleNormal="90" workbookViewId="0">
      <selection activeCell="E22" sqref="E22"/>
    </sheetView>
  </sheetViews>
  <sheetFormatPr defaultRowHeight="12.75"/>
  <cols>
    <col min="1" max="1" width="9.42578125" style="993" customWidth="1"/>
    <col min="2" max="2" width="14.140625" style="993" customWidth="1"/>
    <col min="3" max="3" width="13.42578125" style="993" customWidth="1"/>
    <col min="4" max="4" width="35" style="993" customWidth="1"/>
    <col min="5" max="5" width="21.42578125" style="994" customWidth="1"/>
    <col min="6" max="6" width="2.5703125" style="944" customWidth="1"/>
    <col min="7" max="7" width="15.7109375" style="944" customWidth="1"/>
    <col min="8" max="8" width="20.5703125" style="944" customWidth="1"/>
    <col min="9" max="10" width="9.140625" style="944"/>
    <col min="11" max="11" width="9.42578125" style="944" customWidth="1"/>
    <col min="12" max="16384" width="9.140625" style="944"/>
  </cols>
  <sheetData>
    <row r="1" spans="1:8" ht="36" hidden="1" customHeight="1">
      <c r="A1" s="942" t="s">
        <v>1995</v>
      </c>
      <c r="B1" s="942" t="s">
        <v>1990</v>
      </c>
      <c r="C1" s="942" t="s">
        <v>2002</v>
      </c>
      <c r="D1" s="942" t="s">
        <v>2746</v>
      </c>
      <c r="E1" s="943" t="s">
        <v>2012</v>
      </c>
    </row>
    <row r="2" spans="1:8" s="947" customFormat="1" ht="18.75" hidden="1" customHeight="1" thickBot="1">
      <c r="A2" s="945" t="s">
        <v>2747</v>
      </c>
      <c r="B2" s="945" t="s">
        <v>2748</v>
      </c>
      <c r="C2" s="945" t="s">
        <v>2749</v>
      </c>
      <c r="D2" s="945" t="s">
        <v>2750</v>
      </c>
      <c r="E2" s="946" t="s">
        <v>2751</v>
      </c>
    </row>
    <row r="3" spans="1:8" ht="15.75" customHeight="1">
      <c r="A3" s="948" t="s">
        <v>2752</v>
      </c>
      <c r="B3" s="948" t="s">
        <v>2753</v>
      </c>
      <c r="C3" s="948" t="s">
        <v>2754</v>
      </c>
      <c r="D3" s="948" t="s">
        <v>2755</v>
      </c>
      <c r="E3" s="949" t="s">
        <v>2756</v>
      </c>
      <c r="F3" s="950"/>
      <c r="G3" s="1756" t="s">
        <v>2757</v>
      </c>
      <c r="H3" s="1757"/>
    </row>
    <row r="4" spans="1:8" ht="21" customHeight="1">
      <c r="A4" s="1758" t="s">
        <v>2036</v>
      </c>
      <c r="B4" s="1759"/>
      <c r="C4" s="1759"/>
      <c r="D4" s="951"/>
      <c r="E4" s="952"/>
      <c r="F4" s="953"/>
      <c r="G4" s="954"/>
      <c r="H4" s="955"/>
    </row>
    <row r="5" spans="1:8" ht="17.25" customHeight="1">
      <c r="A5" s="1760" t="s">
        <v>2758</v>
      </c>
      <c r="B5" s="1761"/>
      <c r="C5" s="1761"/>
      <c r="D5" s="956"/>
      <c r="E5" s="957">
        <f>VLOOKUP(D5,entityname,3,FALSE)</f>
        <v>0</v>
      </c>
      <c r="F5" s="1762" t="s">
        <v>2759</v>
      </c>
      <c r="G5" s="1763"/>
      <c r="H5" s="955"/>
    </row>
    <row r="6" spans="1:8" ht="20.25" customHeight="1">
      <c r="A6" s="1764"/>
      <c r="B6" s="1765"/>
      <c r="C6" s="1765"/>
      <c r="D6" s="958"/>
      <c r="E6" s="957">
        <f>VLOOKUP(D5,entityname,2,FALSE)</f>
        <v>0</v>
      </c>
      <c r="F6" s="1766" t="s">
        <v>2016</v>
      </c>
      <c r="G6" s="1767"/>
      <c r="H6" s="955"/>
    </row>
    <row r="7" spans="1:8" s="963" customFormat="1" ht="33" customHeight="1">
      <c r="A7" s="959" t="s">
        <v>2017</v>
      </c>
      <c r="B7" s="959" t="s">
        <v>359</v>
      </c>
      <c r="C7" s="960" t="s">
        <v>2018</v>
      </c>
      <c r="D7" s="961" t="s">
        <v>2760</v>
      </c>
      <c r="E7" s="962" t="s">
        <v>2761</v>
      </c>
      <c r="G7" s="964"/>
      <c r="H7" s="964"/>
    </row>
    <row r="8" spans="1:8" s="963" customFormat="1" ht="9" customHeight="1">
      <c r="A8" s="965"/>
      <c r="B8" s="965"/>
      <c r="C8" s="965"/>
      <c r="D8" s="966"/>
      <c r="E8" s="967"/>
      <c r="G8" s="964"/>
      <c r="H8" s="964"/>
    </row>
    <row r="9" spans="1:8" s="963" customFormat="1" ht="18" customHeight="1">
      <c r="A9" s="1781" t="s">
        <v>2762</v>
      </c>
      <c r="B9" s="1782"/>
      <c r="C9" s="1782"/>
      <c r="D9" s="1782"/>
      <c r="E9" s="1783"/>
      <c r="G9" s="964"/>
      <c r="H9" s="964"/>
    </row>
    <row r="10" spans="1:8" s="963" customFormat="1" ht="14.25" customHeight="1">
      <c r="A10" s="1784" t="s">
        <v>2763</v>
      </c>
      <c r="B10" s="1785"/>
      <c r="C10" s="1785"/>
      <c r="D10" s="1785"/>
      <c r="E10" s="1786"/>
      <c r="G10" s="964"/>
      <c r="H10" s="964"/>
    </row>
    <row r="11" spans="1:8" ht="12.75" customHeight="1">
      <c r="A11" s="1019">
        <v>1000</v>
      </c>
      <c r="B11" s="968" t="s">
        <v>2764</v>
      </c>
      <c r="C11" s="969"/>
      <c r="D11" s="970" t="s">
        <v>2765</v>
      </c>
      <c r="E11" s="1014">
        <f>'Ledger Load Template LGSvcs TEM'!AA6</f>
        <v>136398.51</v>
      </c>
      <c r="G11" s="955"/>
      <c r="H11" s="955"/>
    </row>
    <row r="12" spans="1:8" ht="12.75" customHeight="1">
      <c r="A12" s="971" t="s">
        <v>2029</v>
      </c>
      <c r="B12" s="972" t="s">
        <v>2766</v>
      </c>
      <c r="C12" s="973"/>
      <c r="D12" s="973" t="s">
        <v>2767</v>
      </c>
      <c r="E12" s="1015">
        <f>'Ledger Load Template LGSvcs TEM'!AA7</f>
        <v>5557.86</v>
      </c>
      <c r="G12" s="955"/>
      <c r="H12" s="955"/>
    </row>
    <row r="13" spans="1:8">
      <c r="A13" s="971" t="s">
        <v>2029</v>
      </c>
      <c r="B13" s="974" t="s">
        <v>2768</v>
      </c>
      <c r="C13" s="973"/>
      <c r="D13" s="973" t="s">
        <v>2769</v>
      </c>
      <c r="E13" s="1015">
        <f>'Ledger Load Template LGSvcs TEM'!AA8</f>
        <v>0</v>
      </c>
      <c r="G13" s="955"/>
      <c r="H13" s="955"/>
    </row>
    <row r="14" spans="1:8">
      <c r="A14" s="971" t="s">
        <v>2029</v>
      </c>
      <c r="B14" s="974" t="s">
        <v>2770</v>
      </c>
      <c r="C14" s="973"/>
      <c r="D14" s="973" t="s">
        <v>2771</v>
      </c>
      <c r="E14" s="1015">
        <f>'Ledger Load Template LGSvcs TEM'!AA9</f>
        <v>0</v>
      </c>
      <c r="G14" s="955"/>
      <c r="H14" s="955"/>
    </row>
    <row r="15" spans="1:8">
      <c r="A15" s="971" t="s">
        <v>2029</v>
      </c>
      <c r="B15" s="974" t="s">
        <v>2772</v>
      </c>
      <c r="C15" s="973"/>
      <c r="D15" s="973" t="s">
        <v>2773</v>
      </c>
      <c r="E15" s="1015">
        <f>'Ledger Load Template LGSvcs TEM'!AA10</f>
        <v>0</v>
      </c>
      <c r="G15" s="955"/>
      <c r="H15" s="955"/>
    </row>
    <row r="16" spans="1:8">
      <c r="A16" s="971" t="s">
        <v>2029</v>
      </c>
      <c r="B16" s="974" t="s">
        <v>2774</v>
      </c>
      <c r="C16" s="973"/>
      <c r="D16" s="973" t="s">
        <v>1065</v>
      </c>
      <c r="E16" s="1015">
        <f>'Ledger Load Template LGSvcs TEM'!AA11</f>
        <v>0</v>
      </c>
      <c r="G16" s="955"/>
      <c r="H16" s="955"/>
    </row>
    <row r="17" spans="1:8">
      <c r="A17" s="971" t="s">
        <v>2029</v>
      </c>
      <c r="B17" s="974" t="s">
        <v>2775</v>
      </c>
      <c r="C17" s="973"/>
      <c r="D17" s="973" t="s">
        <v>2776</v>
      </c>
      <c r="E17" s="1015">
        <f>'Ledger Load Template LGSvcs TEM'!AA12</f>
        <v>0</v>
      </c>
      <c r="G17" s="955"/>
      <c r="H17" s="955"/>
    </row>
    <row r="18" spans="1:8">
      <c r="A18" s="971" t="s">
        <v>2029</v>
      </c>
      <c r="B18" s="974" t="s">
        <v>2777</v>
      </c>
      <c r="C18" s="973"/>
      <c r="D18" s="973" t="s">
        <v>2778</v>
      </c>
      <c r="E18" s="1015"/>
      <c r="G18" s="955"/>
      <c r="H18" s="955"/>
    </row>
    <row r="19" spans="1:8">
      <c r="A19" s="971" t="s">
        <v>2029</v>
      </c>
      <c r="B19" s="974" t="s">
        <v>2779</v>
      </c>
      <c r="C19" s="973"/>
      <c r="D19" s="973" t="s">
        <v>2780</v>
      </c>
      <c r="E19" s="1015">
        <f>'Ledger Load Template LGSvcs TEM'!AA14</f>
        <v>0</v>
      </c>
      <c r="G19" s="955"/>
      <c r="H19" s="955"/>
    </row>
    <row r="20" spans="1:8">
      <c r="A20" s="1772" t="s">
        <v>2781</v>
      </c>
      <c r="B20" s="1773"/>
      <c r="C20" s="1773"/>
      <c r="D20" s="1773"/>
      <c r="E20" s="1774"/>
      <c r="G20" s="975" t="s">
        <v>2782</v>
      </c>
      <c r="H20" s="976"/>
    </row>
    <row r="21" spans="1:8">
      <c r="A21" s="971" t="s">
        <v>2029</v>
      </c>
      <c r="B21" s="971" t="s">
        <v>2783</v>
      </c>
      <c r="C21" s="973"/>
      <c r="D21" s="973" t="s">
        <v>2784</v>
      </c>
      <c r="E21" s="1015">
        <f>'Ledger Load Template LGSvcs TEM'!AA15</f>
        <v>-537.32000000000005</v>
      </c>
      <c r="G21" s="977" t="s">
        <v>2785</v>
      </c>
      <c r="H21" s="978">
        <f>E11+E12+E13+E14+E15+E16+E17+E18</f>
        <v>141956.37</v>
      </c>
    </row>
    <row r="22" spans="1:8">
      <c r="A22" s="971" t="s">
        <v>2029</v>
      </c>
      <c r="B22" s="971" t="s">
        <v>2786</v>
      </c>
      <c r="C22" s="973"/>
      <c r="D22" s="973" t="s">
        <v>2787</v>
      </c>
      <c r="E22" s="1015">
        <f>'Ledger Load Template LGSvcs TEM'!AA16</f>
        <v>0</v>
      </c>
      <c r="G22" s="977" t="s">
        <v>2788</v>
      </c>
      <c r="H22" s="978">
        <f>E19</f>
        <v>0</v>
      </c>
    </row>
    <row r="23" spans="1:8">
      <c r="A23" s="971" t="s">
        <v>2029</v>
      </c>
      <c r="B23" s="971" t="s">
        <v>2789</v>
      </c>
      <c r="C23" s="973"/>
      <c r="D23" s="973" t="s">
        <v>1908</v>
      </c>
      <c r="E23" s="1015">
        <f>'Ledger Load Template LGSvcs TEM'!AA18</f>
        <v>-5557.87</v>
      </c>
      <c r="G23" s="977"/>
      <c r="H23" s="978"/>
    </row>
    <row r="24" spans="1:8">
      <c r="A24" s="971" t="s">
        <v>2029</v>
      </c>
      <c r="B24" s="971" t="s">
        <v>2790</v>
      </c>
      <c r="C24" s="973"/>
      <c r="D24" s="973" t="s">
        <v>2791</v>
      </c>
      <c r="E24" s="1015">
        <f>'Ledger Load Template LGSvcs TEM'!AA19</f>
        <v>0</v>
      </c>
      <c r="G24" s="977" t="s">
        <v>1211</v>
      </c>
      <c r="H24" s="978">
        <f>E21+E22+E24</f>
        <v>-537.32000000000005</v>
      </c>
    </row>
    <row r="25" spans="1:8">
      <c r="A25" s="1775" t="s">
        <v>2792</v>
      </c>
      <c r="B25" s="1776"/>
      <c r="C25" s="1776"/>
      <c r="D25" s="1776"/>
      <c r="E25" s="1777"/>
      <c r="G25" s="977" t="s">
        <v>2793</v>
      </c>
      <c r="H25" s="978">
        <f>E23</f>
        <v>-5557.87</v>
      </c>
    </row>
    <row r="26" spans="1:8">
      <c r="A26" s="971" t="s">
        <v>2029</v>
      </c>
      <c r="B26" s="971" t="s">
        <v>2794</v>
      </c>
      <c r="C26" s="973"/>
      <c r="D26" s="973" t="s">
        <v>2795</v>
      </c>
      <c r="E26" s="1015"/>
      <c r="G26" s="977"/>
      <c r="H26" s="978"/>
    </row>
    <row r="27" spans="1:8">
      <c r="A27" s="971" t="s">
        <v>2029</v>
      </c>
      <c r="B27" s="971" t="s">
        <v>2796</v>
      </c>
      <c r="C27" s="973"/>
      <c r="D27" s="973" t="s">
        <v>2797</v>
      </c>
      <c r="E27" s="1015"/>
      <c r="G27" s="977" t="s">
        <v>2798</v>
      </c>
      <c r="H27" s="978">
        <f>E26+E27+E28+E29</f>
        <v>-135861.18</v>
      </c>
    </row>
    <row r="28" spans="1:8">
      <c r="A28" s="971" t="s">
        <v>2029</v>
      </c>
      <c r="B28" s="971" t="s">
        <v>2799</v>
      </c>
      <c r="C28" s="973"/>
      <c r="D28" s="973" t="s">
        <v>2800</v>
      </c>
      <c r="E28" s="1015">
        <f>'Ledger Load Template LGSvcs TEM'!AA20</f>
        <v>-135861.18</v>
      </c>
      <c r="G28" s="979"/>
      <c r="H28" s="980"/>
    </row>
    <row r="29" spans="1:8" ht="13.5" thickBot="1">
      <c r="A29" s="971" t="s">
        <v>2029</v>
      </c>
      <c r="B29" s="971" t="s">
        <v>2801</v>
      </c>
      <c r="C29" s="973"/>
      <c r="D29" s="973" t="s">
        <v>2802</v>
      </c>
      <c r="E29" s="1015"/>
      <c r="G29" s="981" t="s">
        <v>2803</v>
      </c>
      <c r="H29" s="982">
        <f>H21+H22+H24+H25+H27</f>
        <v>0</v>
      </c>
    </row>
    <row r="30" spans="1:8" ht="13.5" thickTop="1">
      <c r="A30" s="1772" t="s">
        <v>2804</v>
      </c>
      <c r="B30" s="1773"/>
      <c r="C30" s="1773"/>
      <c r="D30" s="1773"/>
      <c r="E30" s="1774"/>
    </row>
    <row r="31" spans="1:8">
      <c r="A31" s="971" t="s">
        <v>2029</v>
      </c>
      <c r="B31" s="971" t="s">
        <v>2805</v>
      </c>
      <c r="C31" s="973"/>
      <c r="D31" s="973" t="s">
        <v>2806</v>
      </c>
      <c r="E31" s="1015">
        <f>'Ledger Load Template LGSvcs TEM'!AA21</f>
        <v>-50979.519999999997</v>
      </c>
      <c r="G31" s="955"/>
      <c r="H31" s="955"/>
    </row>
    <row r="32" spans="1:8">
      <c r="A32" s="971" t="s">
        <v>2029</v>
      </c>
      <c r="B32" s="971" t="s">
        <v>2807</v>
      </c>
      <c r="C32" s="973"/>
      <c r="D32" s="973" t="s">
        <v>2808</v>
      </c>
      <c r="E32" s="1015"/>
      <c r="G32" s="955"/>
      <c r="H32" s="955"/>
    </row>
    <row r="33" spans="1:8">
      <c r="A33" s="971" t="s">
        <v>2029</v>
      </c>
      <c r="B33" s="971" t="s">
        <v>2809</v>
      </c>
      <c r="C33" s="973"/>
      <c r="D33" s="973" t="s">
        <v>2810</v>
      </c>
      <c r="E33" s="1015"/>
      <c r="G33" s="955"/>
      <c r="H33" s="955"/>
    </row>
    <row r="34" spans="1:8">
      <c r="A34" s="971" t="s">
        <v>2029</v>
      </c>
      <c r="B34" s="971" t="s">
        <v>2811</v>
      </c>
      <c r="C34" s="973"/>
      <c r="D34" s="973" t="s">
        <v>2812</v>
      </c>
      <c r="E34" s="1015">
        <f>'Ledger Load Template LGSvcs TEM'!AA22</f>
        <v>-16906.560000000001</v>
      </c>
      <c r="G34" s="955"/>
      <c r="H34" s="955"/>
    </row>
    <row r="35" spans="1:8">
      <c r="A35" s="971" t="s">
        <v>2029</v>
      </c>
      <c r="B35" s="971" t="s">
        <v>2813</v>
      </c>
      <c r="C35" s="973"/>
      <c r="D35" s="973" t="s">
        <v>2814</v>
      </c>
      <c r="E35" s="1015"/>
      <c r="G35" s="955"/>
      <c r="H35" s="955"/>
    </row>
    <row r="36" spans="1:8">
      <c r="A36" s="971" t="s">
        <v>2029</v>
      </c>
      <c r="B36" s="971" t="s">
        <v>2815</v>
      </c>
      <c r="C36" s="973"/>
      <c r="D36" s="973" t="s">
        <v>2816</v>
      </c>
      <c r="E36" s="1015"/>
      <c r="G36" s="955"/>
      <c r="H36" s="955"/>
    </row>
    <row r="37" spans="1:8">
      <c r="A37" s="971" t="s">
        <v>2029</v>
      </c>
      <c r="B37" s="971" t="s">
        <v>2817</v>
      </c>
      <c r="C37" s="973"/>
      <c r="D37" s="973" t="s">
        <v>2818</v>
      </c>
      <c r="E37" s="1015"/>
      <c r="G37" s="955"/>
      <c r="H37" s="955"/>
    </row>
    <row r="38" spans="1:8">
      <c r="A38" s="971" t="s">
        <v>2029</v>
      </c>
      <c r="B38" s="971" t="s">
        <v>2819</v>
      </c>
      <c r="C38" s="973"/>
      <c r="D38" s="973" t="s">
        <v>2820</v>
      </c>
      <c r="E38" s="1015">
        <f>'Ledger Load Template LGSvcs TEM'!AA23</f>
        <v>-1125</v>
      </c>
      <c r="G38" s="955"/>
      <c r="H38" s="955"/>
    </row>
    <row r="39" spans="1:8">
      <c r="A39" s="971" t="s">
        <v>2029</v>
      </c>
      <c r="B39" s="971" t="s">
        <v>2821</v>
      </c>
      <c r="C39" s="973"/>
      <c r="D39" s="973" t="s">
        <v>2822</v>
      </c>
      <c r="E39" s="1015">
        <f>'Ledger Load Template LGSvcs TEM'!AA24</f>
        <v>-285</v>
      </c>
      <c r="G39" s="955"/>
      <c r="H39" s="955"/>
    </row>
    <row r="40" spans="1:8">
      <c r="A40" s="971" t="s">
        <v>2029</v>
      </c>
      <c r="B40" s="971" t="s">
        <v>2823</v>
      </c>
      <c r="C40" s="973"/>
      <c r="D40" s="973" t="s">
        <v>2824</v>
      </c>
      <c r="E40" s="1015">
        <f>'Ledger Load Template LGSvcs TEM'!AA25</f>
        <v>0</v>
      </c>
      <c r="G40" s="955"/>
      <c r="H40" s="955"/>
    </row>
    <row r="41" spans="1:8">
      <c r="A41" s="971" t="s">
        <v>2029</v>
      </c>
      <c r="B41" s="971" t="s">
        <v>2825</v>
      </c>
      <c r="C41" s="973"/>
      <c r="D41" s="973" t="s">
        <v>2826</v>
      </c>
      <c r="E41" s="1015">
        <f>'Ledger Load Template LGSvcs TEM'!AA26</f>
        <v>0</v>
      </c>
      <c r="G41" s="955"/>
      <c r="H41" s="955"/>
    </row>
    <row r="42" spans="1:8">
      <c r="A42" s="971" t="s">
        <v>2029</v>
      </c>
      <c r="B42" s="971" t="s">
        <v>2827</v>
      </c>
      <c r="C42" s="973"/>
      <c r="D42" s="973" t="s">
        <v>2828</v>
      </c>
      <c r="E42" s="1015"/>
      <c r="G42" s="955"/>
      <c r="H42" s="955"/>
    </row>
    <row r="43" spans="1:8">
      <c r="A43" s="971" t="s">
        <v>2029</v>
      </c>
      <c r="B43" s="971" t="s">
        <v>2829</v>
      </c>
      <c r="C43" s="973"/>
      <c r="D43" s="973" t="s">
        <v>2830</v>
      </c>
      <c r="E43" s="1015">
        <f>'Ledger Load Template LGSvcs TEM'!AA27</f>
        <v>-750</v>
      </c>
      <c r="G43" s="955"/>
      <c r="H43" s="955"/>
    </row>
    <row r="44" spans="1:8">
      <c r="A44" s="971" t="s">
        <v>2029</v>
      </c>
      <c r="B44" s="971" t="s">
        <v>2831</v>
      </c>
      <c r="C44" s="973"/>
      <c r="D44" s="973" t="s">
        <v>2832</v>
      </c>
      <c r="E44" s="1015">
        <f>'Ledger Load Template LGSvcs TEM'!AA28</f>
        <v>-105228.02</v>
      </c>
      <c r="G44" s="955"/>
      <c r="H44" s="955"/>
    </row>
    <row r="45" spans="1:8">
      <c r="A45" s="971" t="s">
        <v>2029</v>
      </c>
      <c r="B45" s="971" t="s">
        <v>2833</v>
      </c>
      <c r="C45" s="973"/>
      <c r="D45" s="973" t="s">
        <v>2834</v>
      </c>
      <c r="E45" s="1015"/>
      <c r="G45" s="955"/>
      <c r="H45" s="955"/>
    </row>
    <row r="46" spans="1:8">
      <c r="A46" s="971" t="s">
        <v>2029</v>
      </c>
      <c r="B46" s="971" t="s">
        <v>2835</v>
      </c>
      <c r="C46" s="973"/>
      <c r="D46" s="973" t="s">
        <v>2836</v>
      </c>
      <c r="E46" s="1015">
        <f>'Ledger Load Template LGSvcs TEM'!AA29</f>
        <v>0</v>
      </c>
      <c r="G46" s="955"/>
      <c r="H46" s="955"/>
    </row>
    <row r="47" spans="1:8">
      <c r="A47" s="971" t="s">
        <v>2029</v>
      </c>
      <c r="B47" s="971" t="s">
        <v>2837</v>
      </c>
      <c r="C47" s="973"/>
      <c r="D47" s="973" t="s">
        <v>2838</v>
      </c>
      <c r="E47" s="1015">
        <f>'Ledger Load Template LGSvcs TEM'!AA30</f>
        <v>0</v>
      </c>
      <c r="G47" s="955"/>
      <c r="H47" s="955"/>
    </row>
    <row r="48" spans="1:8">
      <c r="A48" s="971" t="s">
        <v>2029</v>
      </c>
      <c r="B48" s="971" t="s">
        <v>2839</v>
      </c>
      <c r="C48" s="973"/>
      <c r="D48" s="973" t="s">
        <v>2840</v>
      </c>
      <c r="E48" s="1015"/>
      <c r="G48" s="955"/>
      <c r="H48" s="955"/>
    </row>
    <row r="49" spans="1:8">
      <c r="A49" s="971" t="s">
        <v>2029</v>
      </c>
      <c r="B49" s="971" t="s">
        <v>2841</v>
      </c>
      <c r="C49" s="973"/>
      <c r="D49" s="973" t="s">
        <v>2842</v>
      </c>
      <c r="E49" s="1015">
        <f>'Ledger Load Template LGSvcs TEM'!AA31</f>
        <v>-727.89</v>
      </c>
      <c r="G49" s="955"/>
      <c r="H49" s="955"/>
    </row>
    <row r="50" spans="1:8">
      <c r="A50" s="971" t="s">
        <v>2029</v>
      </c>
      <c r="B50" s="971" t="s">
        <v>2843</v>
      </c>
      <c r="C50" s="973"/>
      <c r="D50" s="973" t="s">
        <v>2844</v>
      </c>
      <c r="E50" s="1015">
        <f>'Ledger Load Template LGSvcs TEM'!AA32</f>
        <v>0</v>
      </c>
      <c r="G50" s="955"/>
      <c r="H50" s="955"/>
    </row>
    <row r="51" spans="1:8">
      <c r="A51" s="971" t="s">
        <v>2029</v>
      </c>
      <c r="B51" s="971" t="s">
        <v>2845</v>
      </c>
      <c r="C51" s="973"/>
      <c r="D51" s="973" t="s">
        <v>2846</v>
      </c>
      <c r="E51" s="1015">
        <f>'Ledger Load Template LGSvcs TEM'!AA33</f>
        <v>0</v>
      </c>
      <c r="G51" s="955"/>
      <c r="H51" s="955"/>
    </row>
    <row r="52" spans="1:8">
      <c r="A52" s="971" t="s">
        <v>2029</v>
      </c>
      <c r="B52" s="971" t="s">
        <v>2847</v>
      </c>
      <c r="C52" s="973"/>
      <c r="D52" s="973" t="s">
        <v>2848</v>
      </c>
      <c r="E52" s="1015">
        <f>'Ledger Load Template LGSvcs TEM'!AA34</f>
        <v>0</v>
      </c>
      <c r="G52" s="955"/>
      <c r="H52" s="955"/>
    </row>
    <row r="53" spans="1:8">
      <c r="A53" s="971" t="s">
        <v>2029</v>
      </c>
      <c r="B53" s="971" t="s">
        <v>2849</v>
      </c>
      <c r="C53" s="973"/>
      <c r="D53" s="973" t="s">
        <v>1042</v>
      </c>
      <c r="E53" s="1015">
        <f>'Ledger Load Template LGSvcs TEM'!AA35</f>
        <v>0</v>
      </c>
      <c r="G53" s="955"/>
      <c r="H53" s="955"/>
    </row>
    <row r="54" spans="1:8">
      <c r="A54" s="971" t="s">
        <v>2029</v>
      </c>
      <c r="B54" s="971" t="s">
        <v>2850</v>
      </c>
      <c r="C54" s="973"/>
      <c r="D54" s="973" t="s">
        <v>2851</v>
      </c>
      <c r="E54" s="1015">
        <f>'Ledger Load Template LGSvcs TEM'!AA36</f>
        <v>0</v>
      </c>
      <c r="G54" s="955"/>
      <c r="H54" s="955"/>
    </row>
    <row r="55" spans="1:8">
      <c r="A55" s="971" t="s">
        <v>2029</v>
      </c>
      <c r="B55" s="971" t="s">
        <v>2852</v>
      </c>
      <c r="C55" s="973"/>
      <c r="D55" s="973" t="s">
        <v>2853</v>
      </c>
      <c r="E55" s="1015">
        <f>'Ledger Load Template LGSvcs TEM'!AA37</f>
        <v>-110</v>
      </c>
      <c r="G55" s="955"/>
      <c r="H55" s="955"/>
    </row>
    <row r="56" spans="1:8">
      <c r="A56" s="971" t="s">
        <v>2029</v>
      </c>
      <c r="B56" s="971" t="s">
        <v>2854</v>
      </c>
      <c r="C56" s="973"/>
      <c r="D56" s="973" t="s">
        <v>2855</v>
      </c>
      <c r="E56" s="1015"/>
      <c r="G56" s="955"/>
      <c r="H56" s="955"/>
    </row>
    <row r="57" spans="1:8">
      <c r="A57" s="971" t="s">
        <v>2029</v>
      </c>
      <c r="B57" s="971" t="s">
        <v>2856</v>
      </c>
      <c r="C57" s="973"/>
      <c r="D57" s="973" t="s">
        <v>2857</v>
      </c>
      <c r="E57" s="1015">
        <f>'Ledger Load Template LGSvcs TEM'!AA38</f>
        <v>0</v>
      </c>
      <c r="G57" s="955"/>
      <c r="H57" s="955"/>
    </row>
    <row r="58" spans="1:8">
      <c r="A58" s="971" t="s">
        <v>2029</v>
      </c>
      <c r="B58" s="971" t="s">
        <v>2858</v>
      </c>
      <c r="C58" s="973"/>
      <c r="D58" s="973" t="s">
        <v>2859</v>
      </c>
      <c r="E58" s="1015"/>
      <c r="G58" s="955"/>
      <c r="H58" s="955"/>
    </row>
    <row r="59" spans="1:8">
      <c r="A59" s="971" t="s">
        <v>2029</v>
      </c>
      <c r="B59" s="971" t="s">
        <v>2860</v>
      </c>
      <c r="C59" s="973"/>
      <c r="D59" s="973" t="s">
        <v>2861</v>
      </c>
      <c r="E59" s="1015"/>
      <c r="G59" s="955"/>
      <c r="H59" s="955"/>
    </row>
    <row r="60" spans="1:8">
      <c r="A60" s="971" t="s">
        <v>2029</v>
      </c>
      <c r="B60" s="971" t="s">
        <v>2862</v>
      </c>
      <c r="C60" s="973"/>
      <c r="D60" s="973" t="s">
        <v>2863</v>
      </c>
      <c r="E60" s="1015"/>
      <c r="G60" s="955"/>
      <c r="H60" s="955"/>
    </row>
    <row r="61" spans="1:8">
      <c r="A61" s="971" t="s">
        <v>2029</v>
      </c>
      <c r="B61" s="971" t="s">
        <v>2864</v>
      </c>
      <c r="C61" s="973"/>
      <c r="D61" s="973" t="s">
        <v>2865</v>
      </c>
      <c r="E61" s="1015"/>
      <c r="G61" s="955"/>
      <c r="H61" s="955"/>
    </row>
    <row r="62" spans="1:8">
      <c r="A62" s="971" t="s">
        <v>2029</v>
      </c>
      <c r="B62" s="971" t="s">
        <v>2866</v>
      </c>
      <c r="C62" s="973"/>
      <c r="D62" s="973" t="s">
        <v>1877</v>
      </c>
      <c r="E62" s="1015"/>
      <c r="G62" s="955"/>
      <c r="H62" s="955"/>
    </row>
    <row r="63" spans="1:8">
      <c r="A63" s="971" t="s">
        <v>2029</v>
      </c>
      <c r="B63" s="971" t="s">
        <v>2867</v>
      </c>
      <c r="C63" s="973"/>
      <c r="D63" s="973" t="s">
        <v>299</v>
      </c>
      <c r="E63" s="1015">
        <f>'Ledger Load Template LGSvcs TEM'!AA39</f>
        <v>-262.22000000000003</v>
      </c>
      <c r="G63" s="955"/>
      <c r="H63" s="955"/>
    </row>
    <row r="64" spans="1:8">
      <c r="A64" s="971" t="s">
        <v>2029</v>
      </c>
      <c r="B64" s="971" t="s">
        <v>2868</v>
      </c>
      <c r="C64" s="973"/>
      <c r="D64" s="973" t="s">
        <v>2869</v>
      </c>
      <c r="E64" s="1015"/>
      <c r="G64" s="955"/>
      <c r="H64" s="955"/>
    </row>
    <row r="65" spans="1:8">
      <c r="A65" s="971" t="s">
        <v>2029</v>
      </c>
      <c r="B65" s="971" t="s">
        <v>2870</v>
      </c>
      <c r="C65" s="973"/>
      <c r="D65" s="973" t="s">
        <v>2871</v>
      </c>
      <c r="E65" s="1015"/>
      <c r="G65" s="955"/>
      <c r="H65" s="955"/>
    </row>
    <row r="66" spans="1:8">
      <c r="A66" s="971" t="s">
        <v>2029</v>
      </c>
      <c r="B66" s="971" t="s">
        <v>2872</v>
      </c>
      <c r="C66" s="973"/>
      <c r="D66" s="973" t="s">
        <v>2873</v>
      </c>
      <c r="E66" s="1015">
        <f>'Ledger Load Template LGSvcs TEM'!AA40</f>
        <v>0</v>
      </c>
      <c r="G66" s="955"/>
      <c r="H66" s="955"/>
    </row>
    <row r="67" spans="1:8">
      <c r="A67" s="971" t="s">
        <v>2029</v>
      </c>
      <c r="B67" s="971" t="s">
        <v>2874</v>
      </c>
      <c r="C67" s="973"/>
      <c r="D67" s="973" t="s">
        <v>2875</v>
      </c>
      <c r="E67" s="1015">
        <f>'Ledger Load Template LGSvcs TEM'!AA41</f>
        <v>0</v>
      </c>
      <c r="G67" s="955"/>
      <c r="H67" s="955"/>
    </row>
    <row r="68" spans="1:8">
      <c r="A68" s="971" t="s">
        <v>2029</v>
      </c>
      <c r="B68" s="971" t="s">
        <v>2876</v>
      </c>
      <c r="C68" s="973"/>
      <c r="D68" s="973" t="s">
        <v>2877</v>
      </c>
      <c r="E68" s="1015">
        <f>'Ledger Load Template LGSvcs TEM'!AA42</f>
        <v>0</v>
      </c>
      <c r="G68" s="955"/>
      <c r="H68" s="955"/>
    </row>
    <row r="69" spans="1:8">
      <c r="A69" s="971" t="s">
        <v>2029</v>
      </c>
      <c r="B69" s="971" t="s">
        <v>2878</v>
      </c>
      <c r="C69" s="973"/>
      <c r="D69" s="973" t="s">
        <v>2879</v>
      </c>
      <c r="E69" s="1015">
        <f>'Ledger Load Template LGSvcs TEM'!AA43</f>
        <v>0</v>
      </c>
      <c r="G69" s="955"/>
      <c r="H69" s="955"/>
    </row>
    <row r="70" spans="1:8">
      <c r="A70" s="971" t="s">
        <v>2029</v>
      </c>
      <c r="B70" s="971" t="s">
        <v>2880</v>
      </c>
      <c r="C70" s="973"/>
      <c r="D70" s="973" t="s">
        <v>2881</v>
      </c>
      <c r="E70" s="1015">
        <f>'Ledger Load Template LGSvcs TEM'!AA44</f>
        <v>0</v>
      </c>
      <c r="G70" s="955"/>
      <c r="H70" s="955"/>
    </row>
    <row r="71" spans="1:8">
      <c r="A71" s="971" t="s">
        <v>2029</v>
      </c>
      <c r="B71" s="971" t="s">
        <v>2882</v>
      </c>
      <c r="C71" s="973"/>
      <c r="D71" s="973" t="s">
        <v>2883</v>
      </c>
      <c r="E71" s="1015"/>
      <c r="G71" s="955"/>
      <c r="H71" s="955"/>
    </row>
    <row r="72" spans="1:8">
      <c r="A72" s="971" t="s">
        <v>2029</v>
      </c>
      <c r="B72" s="971" t="s">
        <v>2884</v>
      </c>
      <c r="C72" s="973"/>
      <c r="D72" s="973" t="s">
        <v>2885</v>
      </c>
      <c r="E72" s="1015"/>
      <c r="G72" s="955"/>
      <c r="H72" s="955"/>
    </row>
    <row r="73" spans="1:8">
      <c r="A73" s="971" t="s">
        <v>2029</v>
      </c>
      <c r="B73" s="971" t="s">
        <v>2886</v>
      </c>
      <c r="C73" s="973"/>
      <c r="D73" s="973" t="s">
        <v>2887</v>
      </c>
      <c r="E73" s="1015"/>
      <c r="G73" s="955"/>
      <c r="H73" s="955"/>
    </row>
    <row r="74" spans="1:8">
      <c r="A74" s="971" t="s">
        <v>2029</v>
      </c>
      <c r="B74" s="971" t="s">
        <v>2888</v>
      </c>
      <c r="C74" s="973"/>
      <c r="D74" s="973" t="s">
        <v>2889</v>
      </c>
      <c r="E74" s="1015"/>
      <c r="G74" s="955"/>
      <c r="H74" s="955"/>
    </row>
    <row r="75" spans="1:8">
      <c r="A75" s="971" t="s">
        <v>2029</v>
      </c>
      <c r="B75" s="971" t="s">
        <v>2890</v>
      </c>
      <c r="C75" s="973"/>
      <c r="D75" s="973" t="s">
        <v>2891</v>
      </c>
      <c r="E75" s="1015"/>
      <c r="G75" s="955"/>
      <c r="H75" s="955"/>
    </row>
    <row r="76" spans="1:8">
      <c r="A76" s="971" t="s">
        <v>2029</v>
      </c>
      <c r="B76" s="971" t="s">
        <v>2892</v>
      </c>
      <c r="C76" s="973"/>
      <c r="D76" s="973" t="s">
        <v>2893</v>
      </c>
      <c r="E76" s="1015"/>
      <c r="G76" s="1768" t="s">
        <v>2894</v>
      </c>
      <c r="H76" s="1768"/>
    </row>
    <row r="77" spans="1:8" ht="13.5" thickBot="1">
      <c r="A77" s="971" t="s">
        <v>2029</v>
      </c>
      <c r="B77" s="971" t="s">
        <v>2895</v>
      </c>
      <c r="C77" s="973"/>
      <c r="D77" s="973" t="s">
        <v>2896</v>
      </c>
      <c r="E77" s="1015"/>
      <c r="H77" s="983">
        <f>SUM(E31:E77)</f>
        <v>-176374.21000000002</v>
      </c>
    </row>
    <row r="78" spans="1:8" ht="13.5" thickTop="1">
      <c r="A78" s="1772" t="s">
        <v>2897</v>
      </c>
      <c r="B78" s="1773"/>
      <c r="C78" s="1773"/>
      <c r="D78" s="1773"/>
      <c r="E78" s="1774"/>
      <c r="G78" s="955"/>
      <c r="H78" s="955"/>
    </row>
    <row r="79" spans="1:8">
      <c r="A79" s="971" t="s">
        <v>2029</v>
      </c>
      <c r="B79" s="974" t="s">
        <v>2898</v>
      </c>
      <c r="C79" s="984" t="s">
        <v>2899</v>
      </c>
      <c r="D79" s="973" t="s">
        <v>2900</v>
      </c>
      <c r="E79" s="1016">
        <f>'Ledger Load Template LGSvcs TEM'!AA45</f>
        <v>43370.869999999995</v>
      </c>
      <c r="G79" s="955"/>
      <c r="H79" s="955"/>
    </row>
    <row r="80" spans="1:8">
      <c r="A80" s="971" t="s">
        <v>2029</v>
      </c>
      <c r="B80" s="974" t="s">
        <v>2898</v>
      </c>
      <c r="C80" s="984" t="s">
        <v>2901</v>
      </c>
      <c r="D80" s="973" t="s">
        <v>2900</v>
      </c>
      <c r="E80" s="1016">
        <f>'Ledger Load Template LGSvcs TEM'!AA46</f>
        <v>21773.35</v>
      </c>
      <c r="G80" s="955"/>
      <c r="H80" s="955"/>
    </row>
    <row r="81" spans="1:8">
      <c r="A81" s="971" t="s">
        <v>2029</v>
      </c>
      <c r="B81" s="974" t="s">
        <v>2898</v>
      </c>
      <c r="C81" s="984" t="s">
        <v>2902</v>
      </c>
      <c r="D81" s="973" t="s">
        <v>302</v>
      </c>
      <c r="E81" s="1016"/>
      <c r="G81" s="955"/>
      <c r="H81" s="955"/>
    </row>
    <row r="82" spans="1:8">
      <c r="A82" s="971" t="s">
        <v>2029</v>
      </c>
      <c r="B82" s="974" t="s">
        <v>2898</v>
      </c>
      <c r="C82" s="984" t="s">
        <v>2903</v>
      </c>
      <c r="D82" s="973" t="s">
        <v>302</v>
      </c>
      <c r="E82" s="1016"/>
      <c r="G82" s="955"/>
      <c r="H82" s="955"/>
    </row>
    <row r="83" spans="1:8">
      <c r="A83" s="971" t="s">
        <v>2029</v>
      </c>
      <c r="B83" s="974" t="s">
        <v>2898</v>
      </c>
      <c r="C83" s="984" t="s">
        <v>2904</v>
      </c>
      <c r="D83" s="973" t="s">
        <v>302</v>
      </c>
      <c r="E83" s="1016">
        <f>'Ledger Load Template LGSvcs TEM'!AA47</f>
        <v>0</v>
      </c>
      <c r="G83" s="955"/>
      <c r="H83" s="955"/>
    </row>
    <row r="84" spans="1:8">
      <c r="A84" s="971" t="s">
        <v>2029</v>
      </c>
      <c r="B84" s="974" t="s">
        <v>2905</v>
      </c>
      <c r="C84" s="984" t="s">
        <v>2899</v>
      </c>
      <c r="D84" s="973" t="s">
        <v>1039</v>
      </c>
      <c r="E84" s="1016">
        <f>'Ledger Load Template LGSvcs TEM'!AA58</f>
        <v>0</v>
      </c>
      <c r="G84" s="955"/>
      <c r="H84" s="955"/>
    </row>
    <row r="85" spans="1:8">
      <c r="A85" s="971" t="s">
        <v>2029</v>
      </c>
      <c r="B85" s="974" t="s">
        <v>2905</v>
      </c>
      <c r="C85" s="984" t="s">
        <v>2901</v>
      </c>
      <c r="D85" s="973" t="s">
        <v>1039</v>
      </c>
      <c r="E85" s="1016">
        <f>'Ledger Load Template LGSvcs TEM'!AA49</f>
        <v>24067.14</v>
      </c>
      <c r="G85" s="955"/>
      <c r="H85" s="955"/>
    </row>
    <row r="86" spans="1:8">
      <c r="A86" s="971" t="s">
        <v>2029</v>
      </c>
      <c r="B86" s="974" t="s">
        <v>2905</v>
      </c>
      <c r="C86" s="984" t="s">
        <v>2902</v>
      </c>
      <c r="D86" s="973" t="s">
        <v>1039</v>
      </c>
      <c r="E86" s="1016"/>
      <c r="G86" s="955"/>
      <c r="H86" s="955"/>
    </row>
    <row r="87" spans="1:8">
      <c r="A87" s="971" t="s">
        <v>2029</v>
      </c>
      <c r="B87" s="974" t="s">
        <v>2905</v>
      </c>
      <c r="C87" s="984" t="s">
        <v>2903</v>
      </c>
      <c r="D87" s="973" t="s">
        <v>1039</v>
      </c>
      <c r="E87" s="1016"/>
      <c r="G87" s="955"/>
      <c r="H87" s="955"/>
    </row>
    <row r="88" spans="1:8">
      <c r="A88" s="971" t="s">
        <v>2029</v>
      </c>
      <c r="B88" s="974" t="s">
        <v>2905</v>
      </c>
      <c r="C88" s="984" t="s">
        <v>2904</v>
      </c>
      <c r="D88" s="973" t="s">
        <v>1039</v>
      </c>
      <c r="E88" s="1016">
        <f>'Ledger Load Template LGSvcs TEM'!AA50</f>
        <v>0</v>
      </c>
      <c r="G88" s="955"/>
      <c r="H88" s="955"/>
    </row>
    <row r="89" spans="1:8">
      <c r="A89" s="971" t="s">
        <v>2029</v>
      </c>
      <c r="B89" s="974" t="s">
        <v>2906</v>
      </c>
      <c r="C89" s="984" t="s">
        <v>2899</v>
      </c>
      <c r="D89" s="973" t="s">
        <v>1040</v>
      </c>
      <c r="E89" s="1016">
        <f>'Ledger Load Template LGSvcs TEM'!AA51</f>
        <v>27270.11</v>
      </c>
      <c r="G89" s="955"/>
      <c r="H89" s="955"/>
    </row>
    <row r="90" spans="1:8">
      <c r="A90" s="971" t="s">
        <v>2029</v>
      </c>
      <c r="B90" s="974" t="s">
        <v>2906</v>
      </c>
      <c r="C90" s="984" t="s">
        <v>2901</v>
      </c>
      <c r="D90" s="973" t="s">
        <v>1040</v>
      </c>
      <c r="E90" s="1016">
        <f>'Ledger Load Template LGSvcs TEM'!AA52</f>
        <v>15891.460000000001</v>
      </c>
      <c r="G90" s="955"/>
      <c r="H90" s="955"/>
    </row>
    <row r="91" spans="1:8">
      <c r="A91" s="971" t="s">
        <v>2029</v>
      </c>
      <c r="B91" s="974" t="s">
        <v>2906</v>
      </c>
      <c r="C91" s="984" t="s">
        <v>2902</v>
      </c>
      <c r="D91" s="973" t="s">
        <v>1040</v>
      </c>
      <c r="E91" s="1016"/>
      <c r="G91" s="955"/>
      <c r="H91" s="955"/>
    </row>
    <row r="92" spans="1:8">
      <c r="A92" s="971" t="s">
        <v>2029</v>
      </c>
      <c r="B92" s="974" t="s">
        <v>2906</v>
      </c>
      <c r="C92" s="984" t="s">
        <v>2903</v>
      </c>
      <c r="D92" s="973" t="s">
        <v>1040</v>
      </c>
      <c r="E92" s="1016"/>
      <c r="G92" s="955"/>
      <c r="H92" s="955"/>
    </row>
    <row r="93" spans="1:8">
      <c r="A93" s="971" t="s">
        <v>2029</v>
      </c>
      <c r="B93" s="974" t="s">
        <v>2906</v>
      </c>
      <c r="C93" s="984" t="s">
        <v>2904</v>
      </c>
      <c r="D93" s="973" t="s">
        <v>1040</v>
      </c>
      <c r="E93" s="1016">
        <f>'Ledger Load Template LGSvcs TEM'!AA53</f>
        <v>40411.589999999997</v>
      </c>
      <c r="G93" s="955"/>
      <c r="H93" s="955"/>
    </row>
    <row r="94" spans="1:8">
      <c r="A94" s="971" t="s">
        <v>2029</v>
      </c>
      <c r="B94" s="974" t="s">
        <v>2907</v>
      </c>
      <c r="C94" s="984" t="s">
        <v>2899</v>
      </c>
      <c r="D94" s="973" t="s">
        <v>1041</v>
      </c>
      <c r="E94" s="1016">
        <f>'Ledger Load Template LGSvcs TEM'!AA54</f>
        <v>0</v>
      </c>
      <c r="G94" s="955"/>
      <c r="H94" s="955"/>
    </row>
    <row r="95" spans="1:8">
      <c r="A95" s="971" t="s">
        <v>2029</v>
      </c>
      <c r="B95" s="974" t="s">
        <v>2907</v>
      </c>
      <c r="C95" s="984" t="s">
        <v>2901</v>
      </c>
      <c r="D95" s="973" t="s">
        <v>1041</v>
      </c>
      <c r="E95" s="1016">
        <f>'Ledger Load Template LGSvcs TEM'!AA55</f>
        <v>44.29</v>
      </c>
      <c r="G95" s="955"/>
      <c r="H95" s="955"/>
    </row>
    <row r="96" spans="1:8">
      <c r="A96" s="971" t="s">
        <v>2029</v>
      </c>
      <c r="B96" s="974" t="s">
        <v>2907</v>
      </c>
      <c r="C96" s="984" t="s">
        <v>2902</v>
      </c>
      <c r="D96" s="973" t="s">
        <v>1041</v>
      </c>
      <c r="E96" s="1016"/>
      <c r="G96" s="955"/>
      <c r="H96" s="955"/>
    </row>
    <row r="97" spans="1:8">
      <c r="A97" s="971" t="s">
        <v>2029</v>
      </c>
      <c r="B97" s="974" t="s">
        <v>2907</v>
      </c>
      <c r="C97" s="984" t="s">
        <v>2903</v>
      </c>
      <c r="D97" s="973" t="s">
        <v>1041</v>
      </c>
      <c r="E97" s="1016"/>
      <c r="G97" s="955"/>
      <c r="H97" s="955"/>
    </row>
    <row r="98" spans="1:8">
      <c r="A98" s="971" t="s">
        <v>2029</v>
      </c>
      <c r="B98" s="974" t="s">
        <v>2907</v>
      </c>
      <c r="C98" s="984" t="s">
        <v>2904</v>
      </c>
      <c r="D98" s="973" t="s">
        <v>1041</v>
      </c>
      <c r="E98" s="1016">
        <f>'Ledger Load Template LGSvcs TEM'!AA56</f>
        <v>0</v>
      </c>
      <c r="G98" s="955"/>
      <c r="H98" s="955"/>
    </row>
    <row r="99" spans="1:8">
      <c r="A99" s="971" t="s">
        <v>2029</v>
      </c>
      <c r="B99" s="974" t="s">
        <v>2908</v>
      </c>
      <c r="C99" s="984" t="s">
        <v>2899</v>
      </c>
      <c r="D99" s="973" t="s">
        <v>1042</v>
      </c>
      <c r="E99" s="1016">
        <f>'Ledger Load Template LGSvcs TEM'!AA57</f>
        <v>0</v>
      </c>
      <c r="G99" s="955"/>
      <c r="H99" s="955"/>
    </row>
    <row r="100" spans="1:8">
      <c r="A100" s="971" t="s">
        <v>2029</v>
      </c>
      <c r="B100" s="974" t="s">
        <v>2908</v>
      </c>
      <c r="C100" s="984" t="s">
        <v>2901</v>
      </c>
      <c r="D100" s="973" t="s">
        <v>1042</v>
      </c>
      <c r="E100" s="1016">
        <f>'Ledger Load Template LGSvcs TEM'!AA58</f>
        <v>0</v>
      </c>
      <c r="G100" s="955"/>
      <c r="H100" s="955"/>
    </row>
    <row r="101" spans="1:8">
      <c r="A101" s="971" t="s">
        <v>2029</v>
      </c>
      <c r="B101" s="974" t="s">
        <v>2908</v>
      </c>
      <c r="C101" s="984" t="s">
        <v>2902</v>
      </c>
      <c r="D101" s="973" t="s">
        <v>1042</v>
      </c>
      <c r="E101" s="1016"/>
      <c r="G101" s="955"/>
      <c r="H101" s="955"/>
    </row>
    <row r="102" spans="1:8">
      <c r="A102" s="971" t="s">
        <v>2029</v>
      </c>
      <c r="B102" s="974" t="s">
        <v>2908</v>
      </c>
      <c r="C102" s="984" t="s">
        <v>2903</v>
      </c>
      <c r="D102" s="973" t="s">
        <v>1042</v>
      </c>
      <c r="E102" s="1016"/>
      <c r="G102" s="955"/>
      <c r="H102" s="955"/>
    </row>
    <row r="103" spans="1:8">
      <c r="A103" s="971" t="s">
        <v>2029</v>
      </c>
      <c r="B103" s="974" t="s">
        <v>2908</v>
      </c>
      <c r="C103" s="984" t="s">
        <v>2904</v>
      </c>
      <c r="D103" s="973" t="s">
        <v>1042</v>
      </c>
      <c r="E103" s="1016">
        <f>'Ledger Load Template LGSvcs TEM'!AA59</f>
        <v>0</v>
      </c>
      <c r="G103" s="955"/>
      <c r="H103" s="955"/>
    </row>
    <row r="104" spans="1:8">
      <c r="A104" s="971" t="s">
        <v>2029</v>
      </c>
      <c r="B104" s="974" t="s">
        <v>2909</v>
      </c>
      <c r="C104" s="984" t="s">
        <v>2899</v>
      </c>
      <c r="D104" s="973" t="s">
        <v>1043</v>
      </c>
      <c r="E104" s="1016">
        <f>'Ledger Load Template LGSvcs TEM'!AA60</f>
        <v>10349.39</v>
      </c>
      <c r="G104" s="955"/>
      <c r="H104" s="955"/>
    </row>
    <row r="105" spans="1:8">
      <c r="A105" s="971" t="s">
        <v>2029</v>
      </c>
      <c r="B105" s="974" t="s">
        <v>2909</v>
      </c>
      <c r="C105" s="984" t="s">
        <v>2901</v>
      </c>
      <c r="D105" s="973" t="s">
        <v>1043</v>
      </c>
      <c r="E105" s="1016">
        <f>'Ledger Load Template LGSvcs TEM'!AA61</f>
        <v>14403.710000000001</v>
      </c>
      <c r="G105" s="955"/>
      <c r="H105" s="955"/>
    </row>
    <row r="106" spans="1:8">
      <c r="A106" s="971" t="s">
        <v>2029</v>
      </c>
      <c r="B106" s="974" t="s">
        <v>2909</v>
      </c>
      <c r="C106" s="984" t="s">
        <v>2902</v>
      </c>
      <c r="D106" s="973" t="s">
        <v>1043</v>
      </c>
      <c r="E106" s="1016"/>
      <c r="G106" s="955"/>
      <c r="H106" s="955"/>
    </row>
    <row r="107" spans="1:8">
      <c r="A107" s="971" t="s">
        <v>2029</v>
      </c>
      <c r="B107" s="974" t="s">
        <v>2909</v>
      </c>
      <c r="C107" s="984" t="s">
        <v>2903</v>
      </c>
      <c r="D107" s="973" t="s">
        <v>1043</v>
      </c>
      <c r="E107" s="1016"/>
      <c r="G107" s="955"/>
      <c r="H107" s="955"/>
    </row>
    <row r="108" spans="1:8">
      <c r="A108" s="971" t="s">
        <v>2029</v>
      </c>
      <c r="B108" s="974" t="s">
        <v>2909</v>
      </c>
      <c r="C108" s="984" t="s">
        <v>2904</v>
      </c>
      <c r="D108" s="973" t="s">
        <v>1043</v>
      </c>
      <c r="E108" s="1016">
        <f>'Ledger Load Template LGSvcs TEM'!AA62</f>
        <v>29850</v>
      </c>
      <c r="G108" s="955"/>
      <c r="H108" s="955"/>
    </row>
    <row r="109" spans="1:8">
      <c r="A109" s="971" t="s">
        <v>2029</v>
      </c>
      <c r="B109" s="974" t="s">
        <v>2910</v>
      </c>
      <c r="C109" s="984" t="s">
        <v>2899</v>
      </c>
      <c r="D109" s="973" t="s">
        <v>1044</v>
      </c>
      <c r="E109" s="1016">
        <f>'Ledger Load Template LGSvcs TEM'!AA63</f>
        <v>0</v>
      </c>
      <c r="G109" s="955"/>
      <c r="H109" s="955"/>
    </row>
    <row r="110" spans="1:8">
      <c r="A110" s="971" t="s">
        <v>2029</v>
      </c>
      <c r="B110" s="974" t="s">
        <v>2910</v>
      </c>
      <c r="C110" s="984" t="s">
        <v>2901</v>
      </c>
      <c r="D110" s="973" t="s">
        <v>1044</v>
      </c>
      <c r="E110" s="1016">
        <f>'Ledger Load Template LGSvcs TEM'!AA64</f>
        <v>0</v>
      </c>
      <c r="G110" s="955"/>
      <c r="H110" s="955"/>
    </row>
    <row r="111" spans="1:8">
      <c r="A111" s="971" t="s">
        <v>2029</v>
      </c>
      <c r="B111" s="974" t="s">
        <v>2910</v>
      </c>
      <c r="C111" s="984" t="s">
        <v>2902</v>
      </c>
      <c r="D111" s="973" t="s">
        <v>1044</v>
      </c>
      <c r="E111" s="1016"/>
      <c r="G111" s="955"/>
      <c r="H111" s="955"/>
    </row>
    <row r="112" spans="1:8">
      <c r="A112" s="971" t="s">
        <v>2029</v>
      </c>
      <c r="B112" s="971" t="s">
        <v>2910</v>
      </c>
      <c r="C112" s="984" t="s">
        <v>2903</v>
      </c>
      <c r="D112" s="973" t="s">
        <v>1044</v>
      </c>
      <c r="E112" s="1016"/>
      <c r="G112" s="955"/>
      <c r="H112" s="955"/>
    </row>
    <row r="113" spans="1:8">
      <c r="A113" s="971" t="s">
        <v>2029</v>
      </c>
      <c r="B113" s="971" t="s">
        <v>2910</v>
      </c>
      <c r="C113" s="984" t="s">
        <v>2904</v>
      </c>
      <c r="D113" s="973" t="s">
        <v>1044</v>
      </c>
      <c r="E113" s="1016">
        <f>'Ledger Load Template LGSvcs TEM'!AA65</f>
        <v>0</v>
      </c>
      <c r="G113" s="955"/>
      <c r="H113" s="955"/>
    </row>
    <row r="114" spans="1:8">
      <c r="A114" s="971" t="s">
        <v>2029</v>
      </c>
      <c r="B114" s="971" t="s">
        <v>2911</v>
      </c>
      <c r="C114" s="984" t="s">
        <v>2899</v>
      </c>
      <c r="D114" s="973" t="s">
        <v>1088</v>
      </c>
      <c r="E114" s="1016">
        <f>'Ledger Load Template LGSvcs TEM'!AA66</f>
        <v>0</v>
      </c>
      <c r="G114" s="955"/>
      <c r="H114" s="955"/>
    </row>
    <row r="115" spans="1:8">
      <c r="A115" s="971" t="s">
        <v>2029</v>
      </c>
      <c r="B115" s="971" t="s">
        <v>2911</v>
      </c>
      <c r="C115" s="984" t="s">
        <v>2901</v>
      </c>
      <c r="D115" s="973" t="s">
        <v>1088</v>
      </c>
      <c r="E115" s="1016">
        <f>'Ledger Load Template LGSvcs TEM'!AA67</f>
        <v>0</v>
      </c>
      <c r="G115" s="955"/>
      <c r="H115" s="955"/>
    </row>
    <row r="116" spans="1:8">
      <c r="A116" s="971" t="s">
        <v>2029</v>
      </c>
      <c r="B116" s="971" t="s">
        <v>2911</v>
      </c>
      <c r="C116" s="984" t="s">
        <v>2902</v>
      </c>
      <c r="D116" s="973" t="s">
        <v>1088</v>
      </c>
      <c r="E116" s="1016"/>
      <c r="G116" s="955"/>
      <c r="H116" s="955"/>
    </row>
    <row r="117" spans="1:8">
      <c r="A117" s="971" t="s">
        <v>2029</v>
      </c>
      <c r="B117" s="971" t="s">
        <v>2911</v>
      </c>
      <c r="C117" s="984" t="s">
        <v>2903</v>
      </c>
      <c r="D117" s="973" t="s">
        <v>1088</v>
      </c>
      <c r="E117" s="1016"/>
      <c r="G117" s="955"/>
      <c r="H117" s="955"/>
    </row>
    <row r="118" spans="1:8">
      <c r="A118" s="971" t="s">
        <v>2029</v>
      </c>
      <c r="B118" s="971" t="s">
        <v>2911</v>
      </c>
      <c r="C118" s="984" t="s">
        <v>2904</v>
      </c>
      <c r="D118" s="973" t="s">
        <v>1088</v>
      </c>
      <c r="E118" s="1016">
        <f>'Ledger Load Template LGSvcs TEM'!AA68</f>
        <v>0</v>
      </c>
      <c r="G118" s="955"/>
      <c r="H118" s="955"/>
    </row>
    <row r="119" spans="1:8">
      <c r="A119" s="971" t="s">
        <v>2029</v>
      </c>
      <c r="B119" s="971" t="s">
        <v>2912</v>
      </c>
      <c r="C119" s="984" t="s">
        <v>2899</v>
      </c>
      <c r="D119" s="973" t="s">
        <v>1089</v>
      </c>
      <c r="E119" s="1016"/>
      <c r="G119" s="955"/>
      <c r="H119" s="955"/>
    </row>
    <row r="120" spans="1:8">
      <c r="A120" s="971" t="s">
        <v>2029</v>
      </c>
      <c r="B120" s="971" t="s">
        <v>2912</v>
      </c>
      <c r="C120" s="984" t="s">
        <v>2901</v>
      </c>
      <c r="D120" s="973" t="s">
        <v>1089</v>
      </c>
      <c r="E120" s="1016"/>
      <c r="G120" s="955"/>
      <c r="H120" s="955"/>
    </row>
    <row r="121" spans="1:8">
      <c r="A121" s="971" t="s">
        <v>2029</v>
      </c>
      <c r="B121" s="971" t="s">
        <v>2912</v>
      </c>
      <c r="C121" s="984" t="s">
        <v>2902</v>
      </c>
      <c r="D121" s="973" t="s">
        <v>1089</v>
      </c>
      <c r="E121" s="1016">
        <f>'Ledger Load Template LGSvcs TEM'!AA69</f>
        <v>6927.17</v>
      </c>
      <c r="G121" s="955"/>
      <c r="H121" s="955"/>
    </row>
    <row r="122" spans="1:8">
      <c r="A122" s="971" t="s">
        <v>2029</v>
      </c>
      <c r="B122" s="971" t="s">
        <v>2912</v>
      </c>
      <c r="C122" s="984" t="s">
        <v>2903</v>
      </c>
      <c r="D122" s="973" t="s">
        <v>1089</v>
      </c>
      <c r="E122" s="1016">
        <f>'Ledger Load Template LGSvcs TEM'!AA70</f>
        <v>0</v>
      </c>
      <c r="G122" s="955"/>
      <c r="H122" s="955"/>
    </row>
    <row r="123" spans="1:8">
      <c r="A123" s="971" t="s">
        <v>2029</v>
      </c>
      <c r="B123" s="971" t="s">
        <v>2912</v>
      </c>
      <c r="C123" s="984" t="s">
        <v>2904</v>
      </c>
      <c r="D123" s="973" t="s">
        <v>1089</v>
      </c>
      <c r="E123" s="1016"/>
      <c r="G123" s="955"/>
      <c r="H123" s="955"/>
    </row>
    <row r="124" spans="1:8">
      <c r="A124" s="971" t="s">
        <v>2029</v>
      </c>
      <c r="B124" s="971" t="s">
        <v>2913</v>
      </c>
      <c r="C124" s="984" t="s">
        <v>2899</v>
      </c>
      <c r="D124" s="973" t="s">
        <v>2914</v>
      </c>
      <c r="E124" s="1016"/>
      <c r="G124" s="955"/>
      <c r="H124" s="955"/>
    </row>
    <row r="125" spans="1:8">
      <c r="A125" s="971" t="s">
        <v>2029</v>
      </c>
      <c r="B125" s="971" t="s">
        <v>2913</v>
      </c>
      <c r="C125" s="984" t="s">
        <v>2901</v>
      </c>
      <c r="D125" s="973" t="s">
        <v>2914</v>
      </c>
      <c r="E125" s="1016"/>
      <c r="G125" s="955"/>
      <c r="H125" s="955"/>
    </row>
    <row r="126" spans="1:8">
      <c r="A126" s="971" t="s">
        <v>2029</v>
      </c>
      <c r="B126" s="971" t="s">
        <v>2913</v>
      </c>
      <c r="C126" s="984" t="s">
        <v>2902</v>
      </c>
      <c r="D126" s="973" t="s">
        <v>2914</v>
      </c>
      <c r="E126" s="1016"/>
      <c r="G126" s="955"/>
      <c r="H126" s="955"/>
    </row>
    <row r="127" spans="1:8">
      <c r="A127" s="971" t="s">
        <v>2029</v>
      </c>
      <c r="B127" s="971" t="s">
        <v>2913</v>
      </c>
      <c r="C127" s="984" t="s">
        <v>2903</v>
      </c>
      <c r="D127" s="973" t="s">
        <v>2914</v>
      </c>
      <c r="E127" s="1016"/>
      <c r="G127" s="955"/>
      <c r="H127" s="955"/>
    </row>
    <row r="128" spans="1:8">
      <c r="A128" s="971" t="s">
        <v>2029</v>
      </c>
      <c r="B128" s="971" t="s">
        <v>2913</v>
      </c>
      <c r="C128" s="984" t="s">
        <v>2904</v>
      </c>
      <c r="D128" s="973" t="s">
        <v>2914</v>
      </c>
      <c r="E128" s="1016"/>
      <c r="G128" s="955"/>
      <c r="H128" s="955"/>
    </row>
    <row r="129" spans="1:8">
      <c r="A129" s="971" t="s">
        <v>2029</v>
      </c>
      <c r="B129" s="971" t="s">
        <v>2915</v>
      </c>
      <c r="C129" s="984" t="s">
        <v>2899</v>
      </c>
      <c r="D129" s="973" t="s">
        <v>214</v>
      </c>
      <c r="E129" s="1016"/>
      <c r="G129" s="955"/>
      <c r="H129" s="955"/>
    </row>
    <row r="130" spans="1:8">
      <c r="A130" s="971" t="s">
        <v>2029</v>
      </c>
      <c r="B130" s="971" t="s">
        <v>2915</v>
      </c>
      <c r="C130" s="984" t="s">
        <v>2901</v>
      </c>
      <c r="D130" s="973" t="s">
        <v>214</v>
      </c>
      <c r="E130" s="1016">
        <f>'Ledger Load Template LGSvcs TEM'!AA71</f>
        <v>4144.6099999999997</v>
      </c>
      <c r="G130" s="955"/>
      <c r="H130" s="955"/>
    </row>
    <row r="131" spans="1:8">
      <c r="A131" s="971" t="s">
        <v>2029</v>
      </c>
      <c r="B131" s="971" t="s">
        <v>2915</v>
      </c>
      <c r="C131" s="984" t="s">
        <v>2902</v>
      </c>
      <c r="D131" s="973" t="s">
        <v>214</v>
      </c>
      <c r="E131" s="1016"/>
      <c r="G131" s="955"/>
      <c r="H131" s="955"/>
    </row>
    <row r="132" spans="1:8">
      <c r="A132" s="971" t="s">
        <v>2029</v>
      </c>
      <c r="B132" s="971" t="s">
        <v>2915</v>
      </c>
      <c r="C132" s="984" t="s">
        <v>2903</v>
      </c>
      <c r="D132" s="973" t="s">
        <v>214</v>
      </c>
      <c r="E132" s="1016"/>
      <c r="G132" s="955"/>
      <c r="H132" s="955"/>
    </row>
    <row r="133" spans="1:8">
      <c r="A133" s="971" t="s">
        <v>2029</v>
      </c>
      <c r="B133" s="971" t="s">
        <v>2915</v>
      </c>
      <c r="C133" s="984" t="s">
        <v>2904</v>
      </c>
      <c r="D133" s="973" t="s">
        <v>214</v>
      </c>
      <c r="E133" s="1016"/>
      <c r="G133" s="955"/>
      <c r="H133" s="955"/>
    </row>
    <row r="134" spans="1:8">
      <c r="A134" s="971" t="s">
        <v>2029</v>
      </c>
      <c r="B134" s="971" t="s">
        <v>2916</v>
      </c>
      <c r="C134" s="984" t="s">
        <v>2899</v>
      </c>
      <c r="D134" s="973" t="s">
        <v>2917</v>
      </c>
      <c r="E134" s="1016"/>
      <c r="G134" s="955"/>
      <c r="H134" s="955"/>
    </row>
    <row r="135" spans="1:8">
      <c r="A135" s="971" t="s">
        <v>2029</v>
      </c>
      <c r="B135" s="971" t="s">
        <v>2916</v>
      </c>
      <c r="C135" s="984" t="s">
        <v>2901</v>
      </c>
      <c r="D135" s="973" t="s">
        <v>2917</v>
      </c>
      <c r="E135" s="1016">
        <f>'Ledger Load Template LGSvcs TEM'!AA72</f>
        <v>2400</v>
      </c>
      <c r="G135" s="955"/>
      <c r="H135" s="955"/>
    </row>
    <row r="136" spans="1:8">
      <c r="A136" s="971" t="s">
        <v>2029</v>
      </c>
      <c r="B136" s="971" t="s">
        <v>2916</v>
      </c>
      <c r="C136" s="984" t="s">
        <v>2902</v>
      </c>
      <c r="D136" s="973" t="s">
        <v>2917</v>
      </c>
      <c r="E136" s="1016"/>
      <c r="G136" s="955"/>
      <c r="H136" s="955"/>
    </row>
    <row r="137" spans="1:8">
      <c r="A137" s="971" t="s">
        <v>2029</v>
      </c>
      <c r="B137" s="971" t="s">
        <v>2916</v>
      </c>
      <c r="C137" s="984" t="s">
        <v>2903</v>
      </c>
      <c r="D137" s="973" t="s">
        <v>2917</v>
      </c>
      <c r="E137" s="1016"/>
      <c r="G137" s="1768" t="s">
        <v>2918</v>
      </c>
      <c r="H137" s="1768"/>
    </row>
    <row r="138" spans="1:8" ht="13.5" thickBot="1">
      <c r="A138" s="971" t="s">
        <v>2029</v>
      </c>
      <c r="B138" s="971" t="s">
        <v>2916</v>
      </c>
      <c r="C138" s="984" t="s">
        <v>2904</v>
      </c>
      <c r="D138" s="973" t="s">
        <v>2917</v>
      </c>
      <c r="E138" s="1016"/>
      <c r="H138" s="983">
        <f>SUM(E79:E138)</f>
        <v>240903.69</v>
      </c>
    </row>
    <row r="139" spans="1:8" ht="13.5" thickTop="1">
      <c r="A139" s="985"/>
      <c r="B139" s="986"/>
      <c r="C139" s="987"/>
      <c r="D139" s="987"/>
      <c r="E139" s="1017"/>
      <c r="G139" s="955"/>
      <c r="H139" s="955"/>
    </row>
    <row r="140" spans="1:8" ht="15.75">
      <c r="A140" s="1769" t="s">
        <v>2919</v>
      </c>
      <c r="B140" s="1770"/>
      <c r="C140" s="1770"/>
      <c r="D140" s="1770"/>
      <c r="E140" s="1771"/>
      <c r="G140" s="955"/>
      <c r="H140" s="955"/>
    </row>
    <row r="141" spans="1:8">
      <c r="A141" s="1772" t="s">
        <v>2920</v>
      </c>
      <c r="B141" s="1773"/>
      <c r="C141" s="1773"/>
      <c r="D141" s="1773"/>
      <c r="E141" s="1774"/>
      <c r="G141" s="955"/>
      <c r="H141" s="955"/>
    </row>
    <row r="142" spans="1:8">
      <c r="A142" s="971" t="s">
        <v>2921</v>
      </c>
      <c r="B142" s="968" t="s">
        <v>2764</v>
      </c>
      <c r="C142" s="973"/>
      <c r="D142" s="970" t="s">
        <v>2765</v>
      </c>
      <c r="E142" s="1014">
        <f>'Ledger Load Template LGSvcs TEM'!AA73</f>
        <v>71487.88</v>
      </c>
      <c r="G142" s="955"/>
      <c r="H142" s="955"/>
    </row>
    <row r="143" spans="1:8">
      <c r="A143" s="971" t="s">
        <v>2921</v>
      </c>
      <c r="B143" s="972" t="s">
        <v>2766</v>
      </c>
      <c r="C143" s="973"/>
      <c r="D143" s="973" t="s">
        <v>2767</v>
      </c>
      <c r="E143" s="1014">
        <f>'Ledger Load Template LGSvcs TEM'!AA74</f>
        <v>6261.33</v>
      </c>
      <c r="G143" s="955"/>
      <c r="H143" s="955"/>
    </row>
    <row r="144" spans="1:8">
      <c r="A144" s="971" t="s">
        <v>2921</v>
      </c>
      <c r="B144" s="974" t="s">
        <v>2768</v>
      </c>
      <c r="C144" s="973"/>
      <c r="D144" s="973" t="s">
        <v>2769</v>
      </c>
      <c r="E144" s="1014">
        <f>'Ledger Load Template LGSvcs TEM'!AA75</f>
        <v>0</v>
      </c>
      <c r="G144" s="955"/>
      <c r="H144" s="955"/>
    </row>
    <row r="145" spans="1:8">
      <c r="A145" s="971" t="s">
        <v>2921</v>
      </c>
      <c r="B145" s="974" t="s">
        <v>2770</v>
      </c>
      <c r="C145" s="973"/>
      <c r="D145" s="973" t="s">
        <v>2771</v>
      </c>
      <c r="E145" s="1014">
        <f>'Ledger Load Template LGSvcs TEM'!AA76</f>
        <v>0</v>
      </c>
      <c r="G145" s="955"/>
      <c r="H145" s="955"/>
    </row>
    <row r="146" spans="1:8">
      <c r="A146" s="971" t="s">
        <v>2921</v>
      </c>
      <c r="B146" s="974" t="s">
        <v>2772</v>
      </c>
      <c r="C146" s="973"/>
      <c r="D146" s="973" t="s">
        <v>2773</v>
      </c>
      <c r="E146" s="1014">
        <f>'Ledger Load Template LGSvcs TEM'!AA77</f>
        <v>0</v>
      </c>
      <c r="G146" s="955"/>
      <c r="H146" s="955"/>
    </row>
    <row r="147" spans="1:8">
      <c r="A147" s="971" t="s">
        <v>2921</v>
      </c>
      <c r="B147" s="974" t="s">
        <v>2774</v>
      </c>
      <c r="C147" s="973"/>
      <c r="D147" s="973" t="s">
        <v>1065</v>
      </c>
      <c r="E147" s="1014">
        <f>'Ledger Load Template LGSvcs TEM'!AA78</f>
        <v>0</v>
      </c>
      <c r="G147" s="955"/>
      <c r="H147" s="955"/>
    </row>
    <row r="148" spans="1:8">
      <c r="A148" s="971" t="s">
        <v>2921</v>
      </c>
      <c r="B148" s="974" t="s">
        <v>2775</v>
      </c>
      <c r="C148" s="973"/>
      <c r="D148" s="973" t="s">
        <v>2776</v>
      </c>
      <c r="E148" s="1014">
        <f>'Ledger Load Template LGSvcs TEM'!AA79</f>
        <v>0</v>
      </c>
      <c r="G148" s="955"/>
      <c r="H148" s="955"/>
    </row>
    <row r="149" spans="1:8">
      <c r="A149" s="971" t="s">
        <v>2921</v>
      </c>
      <c r="B149" s="974" t="s">
        <v>2777</v>
      </c>
      <c r="C149" s="973"/>
      <c r="D149" s="973" t="s">
        <v>2778</v>
      </c>
      <c r="E149" s="1016"/>
      <c r="G149" s="955"/>
      <c r="H149" s="955"/>
    </row>
    <row r="150" spans="1:8">
      <c r="A150" s="971" t="s">
        <v>2921</v>
      </c>
      <c r="B150" s="974" t="s">
        <v>2779</v>
      </c>
      <c r="C150" s="973"/>
      <c r="D150" s="973" t="s">
        <v>2780</v>
      </c>
      <c r="E150" s="1016">
        <f>'Ledger Load Template LGSvcs TEM'!AA81</f>
        <v>0</v>
      </c>
    </row>
    <row r="151" spans="1:8">
      <c r="A151" s="1775" t="s">
        <v>2922</v>
      </c>
      <c r="B151" s="1776"/>
      <c r="C151" s="1776"/>
      <c r="D151" s="1776"/>
      <c r="E151" s="1777"/>
      <c r="G151" s="975" t="s">
        <v>2923</v>
      </c>
      <c r="H151" s="976"/>
    </row>
    <row r="152" spans="1:8">
      <c r="A152" s="971" t="s">
        <v>2921</v>
      </c>
      <c r="B152" s="971" t="s">
        <v>2783</v>
      </c>
      <c r="C152" s="973"/>
      <c r="D152" s="973" t="s">
        <v>2784</v>
      </c>
      <c r="E152" s="1016">
        <f>'Ledger Load Template LGSvcs TEM'!AA82</f>
        <v>660.08</v>
      </c>
      <c r="G152" s="977" t="s">
        <v>522</v>
      </c>
      <c r="H152" s="978">
        <f>E142+E143+E144+E145+E146+E147+E148+E149</f>
        <v>77749.210000000006</v>
      </c>
    </row>
    <row r="153" spans="1:8">
      <c r="A153" s="971" t="s">
        <v>2921</v>
      </c>
      <c r="B153" s="971" t="s">
        <v>2786</v>
      </c>
      <c r="C153" s="973"/>
      <c r="D153" s="973" t="s">
        <v>2787</v>
      </c>
      <c r="E153" s="1016">
        <f>'Ledger Load Template LGSvcs TEM'!AA83</f>
        <v>0</v>
      </c>
      <c r="G153" s="977" t="s">
        <v>2788</v>
      </c>
      <c r="H153" s="978">
        <f>E150</f>
        <v>0</v>
      </c>
    </row>
    <row r="154" spans="1:8">
      <c r="A154" s="971" t="s">
        <v>2921</v>
      </c>
      <c r="B154" s="971" t="s">
        <v>2789</v>
      </c>
      <c r="C154" s="973"/>
      <c r="D154" s="973" t="s">
        <v>1908</v>
      </c>
      <c r="E154" s="1016">
        <f>'Ledger Load Template LGSvcs TEM'!AA85</f>
        <v>-6261.34</v>
      </c>
      <c r="G154" s="977"/>
      <c r="H154" s="978"/>
    </row>
    <row r="155" spans="1:8">
      <c r="A155" s="971" t="s">
        <v>2921</v>
      </c>
      <c r="B155" s="971" t="s">
        <v>2790</v>
      </c>
      <c r="C155" s="973"/>
      <c r="D155" s="973" t="s">
        <v>2791</v>
      </c>
      <c r="E155" s="1016">
        <f>'Ledger Load Template LGSvcs TEM'!AA86</f>
        <v>0</v>
      </c>
      <c r="G155" s="977" t="s">
        <v>1211</v>
      </c>
      <c r="H155" s="978">
        <f>E152+E153+E155</f>
        <v>660.08</v>
      </c>
    </row>
    <row r="156" spans="1:8">
      <c r="A156" s="1775" t="s">
        <v>2924</v>
      </c>
      <c r="B156" s="1776"/>
      <c r="C156" s="1776"/>
      <c r="D156" s="1776"/>
      <c r="E156" s="1777"/>
      <c r="G156" s="977" t="s">
        <v>2793</v>
      </c>
      <c r="H156" s="978">
        <f>E154</f>
        <v>-6261.34</v>
      </c>
    </row>
    <row r="157" spans="1:8">
      <c r="A157" s="971" t="s">
        <v>2921</v>
      </c>
      <c r="B157" s="971" t="s">
        <v>2794</v>
      </c>
      <c r="C157" s="973"/>
      <c r="D157" s="973" t="s">
        <v>2795</v>
      </c>
      <c r="E157" s="1016"/>
      <c r="G157" s="977"/>
      <c r="H157" s="978"/>
    </row>
    <row r="158" spans="1:8">
      <c r="A158" s="971" t="s">
        <v>2921</v>
      </c>
      <c r="B158" s="971" t="s">
        <v>2796</v>
      </c>
      <c r="C158" s="973"/>
      <c r="D158" s="973" t="s">
        <v>2797</v>
      </c>
      <c r="E158" s="1016"/>
      <c r="G158" s="977" t="s">
        <v>2798</v>
      </c>
      <c r="H158" s="978">
        <f>E157+E158+E159+E160</f>
        <v>-72147.950000000012</v>
      </c>
    </row>
    <row r="159" spans="1:8">
      <c r="A159" s="971" t="s">
        <v>2921</v>
      </c>
      <c r="B159" s="971" t="s">
        <v>2799</v>
      </c>
      <c r="C159" s="973"/>
      <c r="D159" s="973" t="s">
        <v>2800</v>
      </c>
      <c r="E159" s="1016">
        <f>'Ledger Load Template LGSvcs TEM'!AA87</f>
        <v>-72147.950000000012</v>
      </c>
      <c r="G159" s="979"/>
      <c r="H159" s="980"/>
    </row>
    <row r="160" spans="1:8" ht="13.5" thickBot="1">
      <c r="A160" s="971" t="s">
        <v>2921</v>
      </c>
      <c r="B160" s="971" t="s">
        <v>2801</v>
      </c>
      <c r="C160" s="973"/>
      <c r="D160" s="973" t="s">
        <v>2802</v>
      </c>
      <c r="E160" s="1016"/>
      <c r="G160" s="981" t="s">
        <v>2803</v>
      </c>
      <c r="H160" s="982">
        <f>H152+H153+H155+H156+H158</f>
        <v>0</v>
      </c>
    </row>
    <row r="161" spans="1:8" ht="13.5" thickTop="1">
      <c r="A161" s="1775" t="s">
        <v>2925</v>
      </c>
      <c r="B161" s="1776"/>
      <c r="C161" s="1776"/>
      <c r="D161" s="1776"/>
      <c r="E161" s="1777"/>
      <c r="G161" s="955"/>
      <c r="H161" s="955"/>
    </row>
    <row r="162" spans="1:8">
      <c r="A162" s="971" t="s">
        <v>2921</v>
      </c>
      <c r="B162" s="971" t="s">
        <v>2805</v>
      </c>
      <c r="C162" s="973"/>
      <c r="D162" s="973" t="s">
        <v>2806</v>
      </c>
      <c r="E162" s="1016">
        <f>'Ledger Load Template LGSvcs TEM'!AA88</f>
        <v>-10259.27</v>
      </c>
      <c r="G162" s="955"/>
      <c r="H162" s="955"/>
    </row>
    <row r="163" spans="1:8">
      <c r="A163" s="971" t="s">
        <v>2921</v>
      </c>
      <c r="B163" s="971" t="s">
        <v>2807</v>
      </c>
      <c r="C163" s="973"/>
      <c r="D163" s="973" t="s">
        <v>2808</v>
      </c>
      <c r="E163" s="1016"/>
      <c r="G163" s="955"/>
      <c r="H163" s="955"/>
    </row>
    <row r="164" spans="1:8">
      <c r="A164" s="971" t="s">
        <v>2921</v>
      </c>
      <c r="B164" s="971" t="s">
        <v>2809</v>
      </c>
      <c r="C164" s="973"/>
      <c r="D164" s="973" t="s">
        <v>2810</v>
      </c>
      <c r="E164" s="1016"/>
      <c r="G164" s="955"/>
      <c r="H164" s="955"/>
    </row>
    <row r="165" spans="1:8">
      <c r="A165" s="971" t="s">
        <v>2921</v>
      </c>
      <c r="B165" s="971" t="s">
        <v>2811</v>
      </c>
      <c r="C165" s="973"/>
      <c r="D165" s="973" t="s">
        <v>2812</v>
      </c>
      <c r="E165" s="1016">
        <f>'Ledger Load Template LGSvcs TEM'!AA89</f>
        <v>-72808.76999999999</v>
      </c>
      <c r="G165" s="955"/>
      <c r="H165" s="955"/>
    </row>
    <row r="166" spans="1:8">
      <c r="A166" s="971" t="s">
        <v>2921</v>
      </c>
      <c r="B166" s="971" t="s">
        <v>2813</v>
      </c>
      <c r="C166" s="973"/>
      <c r="D166" s="973" t="s">
        <v>2814</v>
      </c>
      <c r="E166" s="1016"/>
      <c r="G166" s="955"/>
      <c r="H166" s="955"/>
    </row>
    <row r="167" spans="1:8">
      <c r="A167" s="971" t="s">
        <v>2921</v>
      </c>
      <c r="B167" s="971" t="s">
        <v>2815</v>
      </c>
      <c r="C167" s="973"/>
      <c r="D167" s="973" t="s">
        <v>2816</v>
      </c>
      <c r="E167" s="1016"/>
      <c r="G167" s="955"/>
      <c r="H167" s="955"/>
    </row>
    <row r="168" spans="1:8">
      <c r="A168" s="971" t="s">
        <v>2921</v>
      </c>
      <c r="B168" s="971" t="s">
        <v>2817</v>
      </c>
      <c r="C168" s="973"/>
      <c r="D168" s="973" t="s">
        <v>2818</v>
      </c>
      <c r="E168" s="1016"/>
      <c r="G168" s="955"/>
      <c r="H168" s="955"/>
    </row>
    <row r="169" spans="1:8">
      <c r="A169" s="971" t="s">
        <v>2921</v>
      </c>
      <c r="B169" s="971" t="s">
        <v>2819</v>
      </c>
      <c r="C169" s="973"/>
      <c r="D169" s="973" t="s">
        <v>2820</v>
      </c>
      <c r="E169" s="1016">
        <f>'Ledger Load Template LGSvcs TEM'!AA90</f>
        <v>0</v>
      </c>
      <c r="G169" s="955"/>
      <c r="H169" s="955"/>
    </row>
    <row r="170" spans="1:8">
      <c r="A170" s="971" t="s">
        <v>2921</v>
      </c>
      <c r="B170" s="971" t="s">
        <v>2821</v>
      </c>
      <c r="C170" s="973"/>
      <c r="D170" s="973" t="s">
        <v>2822</v>
      </c>
      <c r="E170" s="1016">
        <f>'Ledger Load Template LGSvcs TEM'!AA91</f>
        <v>0</v>
      </c>
      <c r="G170" s="955"/>
      <c r="H170" s="955"/>
    </row>
    <row r="171" spans="1:8">
      <c r="A171" s="971" t="s">
        <v>2921</v>
      </c>
      <c r="B171" s="971" t="s">
        <v>2823</v>
      </c>
      <c r="C171" s="973"/>
      <c r="D171" s="973" t="s">
        <v>2824</v>
      </c>
      <c r="E171" s="1016">
        <f>'Ledger Load Template LGSvcs TEM'!AA92</f>
        <v>0</v>
      </c>
      <c r="G171" s="955"/>
      <c r="H171" s="955"/>
    </row>
    <row r="172" spans="1:8">
      <c r="A172" s="971" t="s">
        <v>2921</v>
      </c>
      <c r="B172" s="971" t="s">
        <v>2825</v>
      </c>
      <c r="C172" s="973"/>
      <c r="D172" s="973" t="s">
        <v>2826</v>
      </c>
      <c r="E172" s="1016">
        <f>'Ledger Load Template LGSvcs TEM'!AA93</f>
        <v>0</v>
      </c>
      <c r="G172" s="955"/>
      <c r="H172" s="955"/>
    </row>
    <row r="173" spans="1:8">
      <c r="A173" s="971" t="s">
        <v>2921</v>
      </c>
      <c r="B173" s="971" t="s">
        <v>2827</v>
      </c>
      <c r="C173" s="973"/>
      <c r="D173" s="973" t="s">
        <v>2828</v>
      </c>
      <c r="E173" s="1016"/>
      <c r="G173" s="955"/>
      <c r="H173" s="955"/>
    </row>
    <row r="174" spans="1:8">
      <c r="A174" s="971" t="s">
        <v>2921</v>
      </c>
      <c r="B174" s="971" t="s">
        <v>2829</v>
      </c>
      <c r="C174" s="973"/>
      <c r="D174" s="973" t="s">
        <v>2830</v>
      </c>
      <c r="E174" s="1016">
        <f>'Ledger Load Template LGSvcs TEM'!AA94</f>
        <v>0</v>
      </c>
      <c r="G174" s="955"/>
      <c r="H174" s="955"/>
    </row>
    <row r="175" spans="1:8">
      <c r="A175" s="971" t="s">
        <v>2921</v>
      </c>
      <c r="B175" s="971" t="s">
        <v>2831</v>
      </c>
      <c r="C175" s="973"/>
      <c r="D175" s="973" t="s">
        <v>2832</v>
      </c>
      <c r="E175" s="1016">
        <f>'Ledger Load Template LGSvcs TEM'!AA95</f>
        <v>-27061.43</v>
      </c>
      <c r="G175" s="955"/>
      <c r="H175" s="955"/>
    </row>
    <row r="176" spans="1:8">
      <c r="A176" s="971" t="s">
        <v>2921</v>
      </c>
      <c r="B176" s="971" t="s">
        <v>2833</v>
      </c>
      <c r="C176" s="973"/>
      <c r="D176" s="973" t="s">
        <v>2834</v>
      </c>
      <c r="E176" s="1016"/>
      <c r="G176" s="955"/>
      <c r="H176" s="955"/>
    </row>
    <row r="177" spans="1:8">
      <c r="A177" s="971" t="s">
        <v>2921</v>
      </c>
      <c r="B177" s="971" t="s">
        <v>2835</v>
      </c>
      <c r="C177" s="973"/>
      <c r="D177" s="973" t="s">
        <v>2836</v>
      </c>
      <c r="E177" s="1016">
        <f>'Ledger Load Template LGSvcs TEM'!AA96</f>
        <v>0</v>
      </c>
      <c r="G177" s="955"/>
      <c r="H177" s="955"/>
    </row>
    <row r="178" spans="1:8">
      <c r="A178" s="971" t="s">
        <v>2921</v>
      </c>
      <c r="B178" s="971" t="s">
        <v>2837</v>
      </c>
      <c r="C178" s="973"/>
      <c r="D178" s="973" t="s">
        <v>2838</v>
      </c>
      <c r="E178" s="1016">
        <f>'Ledger Load Template LGSvcs TEM'!AA97</f>
        <v>0</v>
      </c>
      <c r="G178" s="955"/>
      <c r="H178" s="955"/>
    </row>
    <row r="179" spans="1:8">
      <c r="A179" s="971" t="s">
        <v>2921</v>
      </c>
      <c r="B179" s="971" t="s">
        <v>2839</v>
      </c>
      <c r="C179" s="973"/>
      <c r="D179" s="973" t="s">
        <v>2840</v>
      </c>
      <c r="E179" s="1016"/>
      <c r="G179" s="955"/>
      <c r="H179" s="955"/>
    </row>
    <row r="180" spans="1:8">
      <c r="A180" s="971" t="s">
        <v>2921</v>
      </c>
      <c r="B180" s="971" t="s">
        <v>2841</v>
      </c>
      <c r="C180" s="973"/>
      <c r="D180" s="973" t="s">
        <v>2842</v>
      </c>
      <c r="E180" s="1016">
        <f>'Ledger Load Template LGSvcs TEM'!AA98</f>
        <v>0</v>
      </c>
      <c r="G180" s="955"/>
      <c r="H180" s="955"/>
    </row>
    <row r="181" spans="1:8">
      <c r="A181" s="971" t="s">
        <v>2921</v>
      </c>
      <c r="B181" s="971" t="s">
        <v>2843</v>
      </c>
      <c r="C181" s="973"/>
      <c r="D181" s="973" t="s">
        <v>2844</v>
      </c>
      <c r="E181" s="1016">
        <f>'Ledger Load Template LGSvcs TEM'!AA99</f>
        <v>0</v>
      </c>
      <c r="G181" s="955"/>
      <c r="H181" s="955"/>
    </row>
    <row r="182" spans="1:8">
      <c r="A182" s="971" t="s">
        <v>2921</v>
      </c>
      <c r="B182" s="971" t="s">
        <v>2845</v>
      </c>
      <c r="C182" s="973"/>
      <c r="D182" s="973" t="s">
        <v>2846</v>
      </c>
      <c r="E182" s="1016">
        <f>'Ledger Load Template LGSvcs TEM'!AA100</f>
        <v>0</v>
      </c>
      <c r="G182" s="955"/>
      <c r="H182" s="955"/>
    </row>
    <row r="183" spans="1:8">
      <c r="A183" s="971" t="s">
        <v>2921</v>
      </c>
      <c r="B183" s="971" t="s">
        <v>2847</v>
      </c>
      <c r="C183" s="973"/>
      <c r="D183" s="973" t="s">
        <v>2848</v>
      </c>
      <c r="E183" s="1016">
        <f>'Ledger Load Template LGSvcs TEM'!AA101</f>
        <v>0</v>
      </c>
      <c r="G183" s="955"/>
      <c r="H183" s="955"/>
    </row>
    <row r="184" spans="1:8">
      <c r="A184" s="971" t="s">
        <v>2921</v>
      </c>
      <c r="B184" s="971" t="s">
        <v>2849</v>
      </c>
      <c r="C184" s="973"/>
      <c r="D184" s="973" t="s">
        <v>1042</v>
      </c>
      <c r="E184" s="1016">
        <f>'Ledger Load Template LGSvcs TEM'!AA102</f>
        <v>0</v>
      </c>
      <c r="G184" s="955"/>
      <c r="H184" s="955"/>
    </row>
    <row r="185" spans="1:8">
      <c r="A185" s="971" t="s">
        <v>2921</v>
      </c>
      <c r="B185" s="971" t="s">
        <v>2850</v>
      </c>
      <c r="C185" s="973"/>
      <c r="D185" s="973" t="s">
        <v>2851</v>
      </c>
      <c r="E185" s="1016">
        <f>'Ledger Load Template LGSvcs TEM'!AA103</f>
        <v>0</v>
      </c>
      <c r="G185" s="955"/>
      <c r="H185" s="955"/>
    </row>
    <row r="186" spans="1:8">
      <c r="A186" s="971" t="s">
        <v>2921</v>
      </c>
      <c r="B186" s="971" t="s">
        <v>2852</v>
      </c>
      <c r="C186" s="973"/>
      <c r="D186" s="973" t="s">
        <v>2853</v>
      </c>
      <c r="E186" s="1016">
        <f>'Ledger Load Template LGSvcs TEM'!AA105</f>
        <v>0</v>
      </c>
      <c r="G186" s="955"/>
      <c r="H186" s="955"/>
    </row>
    <row r="187" spans="1:8">
      <c r="A187" s="971" t="s">
        <v>2921</v>
      </c>
      <c r="B187" s="971" t="s">
        <v>2854</v>
      </c>
      <c r="C187" s="973"/>
      <c r="D187" s="973" t="s">
        <v>2855</v>
      </c>
      <c r="E187" s="1016"/>
      <c r="G187" s="955"/>
      <c r="H187" s="955"/>
    </row>
    <row r="188" spans="1:8">
      <c r="A188" s="971" t="s">
        <v>2921</v>
      </c>
      <c r="B188" s="971" t="s">
        <v>2856</v>
      </c>
      <c r="C188" s="973"/>
      <c r="D188" s="973" t="s">
        <v>2857</v>
      </c>
      <c r="E188" s="1016">
        <f>'Ledger Load Template LGSvcs TEM'!AA106</f>
        <v>0</v>
      </c>
      <c r="G188" s="955"/>
      <c r="H188" s="955"/>
    </row>
    <row r="189" spans="1:8">
      <c r="A189" s="971" t="s">
        <v>2921</v>
      </c>
      <c r="B189" s="971" t="s">
        <v>2858</v>
      </c>
      <c r="C189" s="973"/>
      <c r="D189" s="973" t="s">
        <v>2859</v>
      </c>
      <c r="E189" s="1016"/>
      <c r="G189" s="955"/>
      <c r="H189" s="955"/>
    </row>
    <row r="190" spans="1:8">
      <c r="A190" s="971" t="s">
        <v>2921</v>
      </c>
      <c r="B190" s="971" t="s">
        <v>2860</v>
      </c>
      <c r="C190" s="973"/>
      <c r="D190" s="973" t="s">
        <v>2861</v>
      </c>
      <c r="E190" s="1016"/>
      <c r="G190" s="955"/>
      <c r="H190" s="955"/>
    </row>
    <row r="191" spans="1:8">
      <c r="A191" s="971" t="s">
        <v>2921</v>
      </c>
      <c r="B191" s="971" t="s">
        <v>2862</v>
      </c>
      <c r="C191" s="973"/>
      <c r="D191" s="973" t="s">
        <v>2863</v>
      </c>
      <c r="E191" s="1016"/>
      <c r="G191" s="955"/>
      <c r="H191" s="955"/>
    </row>
    <row r="192" spans="1:8">
      <c r="A192" s="971" t="s">
        <v>2921</v>
      </c>
      <c r="B192" s="971" t="s">
        <v>2864</v>
      </c>
      <c r="C192" s="973"/>
      <c r="D192" s="973" t="s">
        <v>2865</v>
      </c>
      <c r="E192" s="1016"/>
      <c r="G192" s="955"/>
      <c r="H192" s="955"/>
    </row>
    <row r="193" spans="1:8">
      <c r="A193" s="971" t="s">
        <v>2921</v>
      </c>
      <c r="B193" s="971" t="s">
        <v>2866</v>
      </c>
      <c r="C193" s="973"/>
      <c r="D193" s="973" t="s">
        <v>1877</v>
      </c>
      <c r="E193" s="1016"/>
      <c r="G193" s="955"/>
      <c r="H193" s="955"/>
    </row>
    <row r="194" spans="1:8">
      <c r="A194" s="971" t="s">
        <v>2921</v>
      </c>
      <c r="B194" s="971" t="s">
        <v>2867</v>
      </c>
      <c r="C194" s="973"/>
      <c r="D194" s="973" t="s">
        <v>299</v>
      </c>
      <c r="E194" s="1016">
        <f>'Ledger Load Template LGSvcs TEM'!AA107</f>
        <v>-127.11</v>
      </c>
      <c r="G194" s="955"/>
      <c r="H194" s="955"/>
    </row>
    <row r="195" spans="1:8">
      <c r="A195" s="971" t="s">
        <v>2921</v>
      </c>
      <c r="B195" s="971" t="s">
        <v>2868</v>
      </c>
      <c r="C195" s="973"/>
      <c r="D195" s="973" t="s">
        <v>2869</v>
      </c>
      <c r="E195" s="1016"/>
      <c r="G195" s="955"/>
      <c r="H195" s="955"/>
    </row>
    <row r="196" spans="1:8">
      <c r="A196" s="971" t="s">
        <v>2921</v>
      </c>
      <c r="B196" s="971" t="s">
        <v>2870</v>
      </c>
      <c r="C196" s="973"/>
      <c r="D196" s="973" t="s">
        <v>2871</v>
      </c>
      <c r="E196" s="1016"/>
      <c r="G196" s="955"/>
      <c r="H196" s="955"/>
    </row>
    <row r="197" spans="1:8">
      <c r="A197" s="971" t="s">
        <v>2921</v>
      </c>
      <c r="B197" s="971" t="s">
        <v>2872</v>
      </c>
      <c r="C197" s="973"/>
      <c r="D197" s="973" t="s">
        <v>2873</v>
      </c>
      <c r="E197" s="1016">
        <f>'Ledger Load Template LGSvcs TEM'!AA108</f>
        <v>0</v>
      </c>
      <c r="G197" s="955"/>
      <c r="H197" s="955"/>
    </row>
    <row r="198" spans="1:8">
      <c r="A198" s="971" t="s">
        <v>2921</v>
      </c>
      <c r="B198" s="971" t="s">
        <v>2874</v>
      </c>
      <c r="C198" s="973"/>
      <c r="D198" s="973" t="s">
        <v>2875</v>
      </c>
      <c r="E198" s="1016">
        <f>'Ledger Load Template LGSvcs TEM'!AA109</f>
        <v>0</v>
      </c>
      <c r="G198" s="955"/>
      <c r="H198" s="955"/>
    </row>
    <row r="199" spans="1:8">
      <c r="A199" s="971" t="s">
        <v>2921</v>
      </c>
      <c r="B199" s="971" t="s">
        <v>2876</v>
      </c>
      <c r="C199" s="973"/>
      <c r="D199" s="973" t="s">
        <v>2877</v>
      </c>
      <c r="E199" s="1016">
        <f>'Ledger Load Template LGSvcs TEM'!AA110</f>
        <v>0</v>
      </c>
      <c r="G199" s="955"/>
      <c r="H199" s="955"/>
    </row>
    <row r="200" spans="1:8">
      <c r="A200" s="971" t="s">
        <v>2921</v>
      </c>
      <c r="B200" s="971" t="s">
        <v>2878</v>
      </c>
      <c r="C200" s="973"/>
      <c r="D200" s="973" t="s">
        <v>2879</v>
      </c>
      <c r="E200" s="1016">
        <f>'Ledger Load Template LGSvcs TEM'!AA111</f>
        <v>0</v>
      </c>
      <c r="G200" s="955"/>
      <c r="H200" s="955"/>
    </row>
    <row r="201" spans="1:8">
      <c r="A201" s="971" t="s">
        <v>2921</v>
      </c>
      <c r="B201" s="971" t="s">
        <v>2880</v>
      </c>
      <c r="C201" s="973"/>
      <c r="D201" s="973" t="s">
        <v>2881</v>
      </c>
      <c r="E201" s="1016">
        <f>'Ledger Load Template LGSvcs TEM'!AA112</f>
        <v>0</v>
      </c>
      <c r="G201" s="955"/>
      <c r="H201" s="955"/>
    </row>
    <row r="202" spans="1:8">
      <c r="A202" s="971" t="s">
        <v>2921</v>
      </c>
      <c r="B202" s="971" t="s">
        <v>2882</v>
      </c>
      <c r="C202" s="973"/>
      <c r="D202" s="973" t="s">
        <v>2883</v>
      </c>
      <c r="E202" s="1016"/>
      <c r="G202" s="955"/>
      <c r="H202" s="955"/>
    </row>
    <row r="203" spans="1:8">
      <c r="A203" s="971" t="s">
        <v>2921</v>
      </c>
      <c r="B203" s="971" t="s">
        <v>2884</v>
      </c>
      <c r="C203" s="973"/>
      <c r="D203" s="973" t="s">
        <v>2885</v>
      </c>
      <c r="E203" s="1016"/>
      <c r="G203" s="955"/>
      <c r="H203" s="955"/>
    </row>
    <row r="204" spans="1:8">
      <c r="A204" s="971" t="s">
        <v>2921</v>
      </c>
      <c r="B204" s="971" t="s">
        <v>2886</v>
      </c>
      <c r="C204" s="973"/>
      <c r="D204" s="973" t="s">
        <v>2887</v>
      </c>
      <c r="E204" s="1016"/>
      <c r="G204" s="955"/>
      <c r="H204" s="955"/>
    </row>
    <row r="205" spans="1:8">
      <c r="A205" s="971" t="s">
        <v>2921</v>
      </c>
      <c r="B205" s="971" t="s">
        <v>2888</v>
      </c>
      <c r="C205" s="973"/>
      <c r="D205" s="973" t="s">
        <v>2889</v>
      </c>
      <c r="E205" s="1016"/>
      <c r="G205" s="955"/>
      <c r="H205" s="955"/>
    </row>
    <row r="206" spans="1:8">
      <c r="A206" s="971" t="s">
        <v>2921</v>
      </c>
      <c r="B206" s="971" t="s">
        <v>2890</v>
      </c>
      <c r="C206" s="973"/>
      <c r="D206" s="973" t="s">
        <v>2891</v>
      </c>
      <c r="E206" s="1016"/>
      <c r="G206" s="955"/>
      <c r="H206" s="955"/>
    </row>
    <row r="207" spans="1:8">
      <c r="A207" s="971" t="s">
        <v>2921</v>
      </c>
      <c r="B207" s="971" t="s">
        <v>2892</v>
      </c>
      <c r="C207" s="973"/>
      <c r="D207" s="973" t="s">
        <v>2893</v>
      </c>
      <c r="E207" s="1016"/>
      <c r="G207" s="1768" t="s">
        <v>2894</v>
      </c>
      <c r="H207" s="1768"/>
    </row>
    <row r="208" spans="1:8" ht="13.5" thickBot="1">
      <c r="A208" s="971" t="s">
        <v>2921</v>
      </c>
      <c r="B208" s="971" t="s">
        <v>2895</v>
      </c>
      <c r="C208" s="973"/>
      <c r="D208" s="973" t="s">
        <v>2896</v>
      </c>
      <c r="E208" s="1016"/>
      <c r="H208" s="983">
        <f>SUM(E162:E208)</f>
        <v>-110256.58</v>
      </c>
    </row>
    <row r="209" spans="1:8" ht="13.5" thickTop="1">
      <c r="A209" s="1775" t="s">
        <v>2926</v>
      </c>
      <c r="B209" s="1776"/>
      <c r="C209" s="1776"/>
      <c r="D209" s="1776"/>
      <c r="E209" s="1777"/>
      <c r="G209" s="955"/>
      <c r="H209" s="955"/>
    </row>
    <row r="210" spans="1:8">
      <c r="A210" s="971" t="s">
        <v>2921</v>
      </c>
      <c r="B210" s="974" t="s">
        <v>2898</v>
      </c>
      <c r="C210" s="984" t="s">
        <v>2899</v>
      </c>
      <c r="D210" s="973" t="s">
        <v>2900</v>
      </c>
      <c r="E210" s="1016">
        <f>'Ledger Load Template LGSvcs TEM'!AA113</f>
        <v>2065.56</v>
      </c>
      <c r="G210" s="955"/>
      <c r="H210" s="955"/>
    </row>
    <row r="211" spans="1:8">
      <c r="A211" s="971" t="s">
        <v>2921</v>
      </c>
      <c r="B211" s="974" t="s">
        <v>2898</v>
      </c>
      <c r="C211" s="984" t="s">
        <v>2901</v>
      </c>
      <c r="D211" s="973" t="s">
        <v>2900</v>
      </c>
      <c r="E211" s="1016">
        <f>'Ledger Load Template LGSvcs TEM'!AA114</f>
        <v>2658.81</v>
      </c>
      <c r="G211" s="955"/>
      <c r="H211" s="955"/>
    </row>
    <row r="212" spans="1:8">
      <c r="A212" s="971" t="s">
        <v>2921</v>
      </c>
      <c r="B212" s="974" t="s">
        <v>2898</v>
      </c>
      <c r="C212" s="984" t="s">
        <v>2902</v>
      </c>
      <c r="D212" s="973" t="s">
        <v>302</v>
      </c>
      <c r="E212" s="1016"/>
      <c r="G212" s="955"/>
      <c r="H212" s="955"/>
    </row>
    <row r="213" spans="1:8">
      <c r="A213" s="971" t="s">
        <v>2921</v>
      </c>
      <c r="B213" s="974" t="s">
        <v>2898</v>
      </c>
      <c r="C213" s="984" t="s">
        <v>2903</v>
      </c>
      <c r="D213" s="973" t="s">
        <v>302</v>
      </c>
      <c r="E213" s="1016"/>
      <c r="G213" s="955"/>
      <c r="H213" s="955"/>
    </row>
    <row r="214" spans="1:8">
      <c r="A214" s="971" t="s">
        <v>2921</v>
      </c>
      <c r="B214" s="974" t="s">
        <v>2898</v>
      </c>
      <c r="C214" s="984" t="s">
        <v>2904</v>
      </c>
      <c r="D214" s="973" t="s">
        <v>302</v>
      </c>
      <c r="E214" s="1016">
        <f>'Ledger Load Template LGSvcs TEM'!AA119</f>
        <v>0</v>
      </c>
      <c r="G214" s="955"/>
      <c r="H214" s="955"/>
    </row>
    <row r="215" spans="1:8">
      <c r="A215" s="971" t="s">
        <v>2921</v>
      </c>
      <c r="B215" s="974" t="s">
        <v>2905</v>
      </c>
      <c r="C215" s="984" t="s">
        <v>2899</v>
      </c>
      <c r="D215" s="973" t="s">
        <v>1039</v>
      </c>
      <c r="E215" s="1016">
        <f>'Ledger Load Template LGSvcs TEM'!AA115</f>
        <v>0</v>
      </c>
      <c r="G215" s="955"/>
      <c r="H215" s="955"/>
    </row>
    <row r="216" spans="1:8">
      <c r="A216" s="971" t="s">
        <v>2921</v>
      </c>
      <c r="B216" s="974" t="s">
        <v>2905</v>
      </c>
      <c r="C216" s="984" t="s">
        <v>2901</v>
      </c>
      <c r="D216" s="973" t="s">
        <v>1039</v>
      </c>
      <c r="E216" s="1016">
        <f>'Ledger Load Template LGSvcs TEM'!AA116</f>
        <v>0</v>
      </c>
      <c r="G216" s="955"/>
      <c r="H216" s="955"/>
    </row>
    <row r="217" spans="1:8">
      <c r="A217" s="971" t="s">
        <v>2921</v>
      </c>
      <c r="B217" s="974" t="s">
        <v>2905</v>
      </c>
      <c r="C217" s="984" t="s">
        <v>2902</v>
      </c>
      <c r="D217" s="973" t="s">
        <v>1039</v>
      </c>
      <c r="E217" s="1016"/>
      <c r="G217" s="955"/>
      <c r="H217" s="955"/>
    </row>
    <row r="218" spans="1:8">
      <c r="A218" s="971" t="s">
        <v>2921</v>
      </c>
      <c r="B218" s="974" t="s">
        <v>2905</v>
      </c>
      <c r="C218" s="984" t="s">
        <v>2903</v>
      </c>
      <c r="D218" s="973" t="s">
        <v>1039</v>
      </c>
      <c r="E218" s="1016"/>
      <c r="G218" s="955"/>
      <c r="H218" s="955"/>
    </row>
    <row r="219" spans="1:8">
      <c r="A219" s="971" t="s">
        <v>2921</v>
      </c>
      <c r="B219" s="974" t="s">
        <v>2905</v>
      </c>
      <c r="C219" s="984" t="s">
        <v>2904</v>
      </c>
      <c r="D219" s="973" t="s">
        <v>1039</v>
      </c>
      <c r="E219" s="1016"/>
      <c r="G219" s="955"/>
      <c r="H219" s="955"/>
    </row>
    <row r="220" spans="1:8">
      <c r="A220" s="971" t="s">
        <v>2921</v>
      </c>
      <c r="B220" s="974" t="s">
        <v>2906</v>
      </c>
      <c r="C220" s="984" t="s">
        <v>2899</v>
      </c>
      <c r="D220" s="973" t="s">
        <v>1040</v>
      </c>
      <c r="E220" s="1016">
        <f>'Ledger Load Template LGSvcs TEM'!AA120</f>
        <v>60883.06</v>
      </c>
      <c r="G220" s="955"/>
      <c r="H220" s="955"/>
    </row>
    <row r="221" spans="1:8">
      <c r="A221" s="971" t="s">
        <v>2921</v>
      </c>
      <c r="B221" s="974" t="s">
        <v>2906</v>
      </c>
      <c r="C221" s="984" t="s">
        <v>2901</v>
      </c>
      <c r="D221" s="973" t="s">
        <v>1040</v>
      </c>
      <c r="E221" s="1016">
        <f>'Ledger Load Template LGSvcs TEM'!AA121</f>
        <v>43298.710000000006</v>
      </c>
      <c r="G221" s="955"/>
      <c r="H221" s="955"/>
    </row>
    <row r="222" spans="1:8">
      <c r="A222" s="971" t="s">
        <v>2921</v>
      </c>
      <c r="B222" s="974" t="s">
        <v>2906</v>
      </c>
      <c r="C222" s="984" t="s">
        <v>2902</v>
      </c>
      <c r="D222" s="973" t="s">
        <v>1040</v>
      </c>
      <c r="E222" s="1016"/>
      <c r="G222" s="955"/>
      <c r="H222" s="955"/>
    </row>
    <row r="223" spans="1:8">
      <c r="A223" s="971" t="s">
        <v>2921</v>
      </c>
      <c r="B223" s="974" t="s">
        <v>2906</v>
      </c>
      <c r="C223" s="984" t="s">
        <v>2903</v>
      </c>
      <c r="D223" s="973" t="s">
        <v>1040</v>
      </c>
      <c r="E223" s="1016"/>
      <c r="G223" s="955"/>
      <c r="H223" s="955"/>
    </row>
    <row r="224" spans="1:8">
      <c r="A224" s="971" t="s">
        <v>2921</v>
      </c>
      <c r="B224" s="974" t="s">
        <v>2906</v>
      </c>
      <c r="C224" s="984" t="s">
        <v>2904</v>
      </c>
      <c r="D224" s="973" t="s">
        <v>1040</v>
      </c>
      <c r="E224" s="1016"/>
      <c r="G224" s="955"/>
      <c r="H224" s="955"/>
    </row>
    <row r="225" spans="1:8">
      <c r="A225" s="971" t="s">
        <v>2921</v>
      </c>
      <c r="B225" s="974" t="s">
        <v>2907</v>
      </c>
      <c r="C225" s="984" t="s">
        <v>2899</v>
      </c>
      <c r="D225" s="973" t="s">
        <v>1041</v>
      </c>
      <c r="E225" s="1016">
        <f>'Ledger Load Template LGSvcs TEM'!AA125</f>
        <v>0</v>
      </c>
      <c r="G225" s="955"/>
      <c r="H225" s="955"/>
    </row>
    <row r="226" spans="1:8">
      <c r="A226" s="971" t="s">
        <v>2921</v>
      </c>
      <c r="B226" s="974" t="s">
        <v>2907</v>
      </c>
      <c r="C226" s="984" t="s">
        <v>2901</v>
      </c>
      <c r="D226" s="973" t="s">
        <v>1041</v>
      </c>
      <c r="E226" s="1016">
        <f>'Ledger Load Template LGSvcs TEM'!AA126</f>
        <v>0</v>
      </c>
      <c r="G226" s="955"/>
      <c r="H226" s="955"/>
    </row>
    <row r="227" spans="1:8">
      <c r="A227" s="971" t="s">
        <v>2921</v>
      </c>
      <c r="B227" s="974" t="s">
        <v>2907</v>
      </c>
      <c r="C227" s="984" t="s">
        <v>2902</v>
      </c>
      <c r="D227" s="973" t="s">
        <v>1041</v>
      </c>
      <c r="E227" s="1016"/>
      <c r="G227" s="955"/>
      <c r="H227" s="955"/>
    </row>
    <row r="228" spans="1:8">
      <c r="A228" s="971" t="s">
        <v>2921</v>
      </c>
      <c r="B228" s="974" t="s">
        <v>2907</v>
      </c>
      <c r="C228" s="984" t="s">
        <v>2903</v>
      </c>
      <c r="D228" s="973" t="s">
        <v>1041</v>
      </c>
      <c r="E228" s="1016"/>
      <c r="G228" s="955"/>
      <c r="H228" s="955"/>
    </row>
    <row r="229" spans="1:8">
      <c r="A229" s="971" t="s">
        <v>2921</v>
      </c>
      <c r="B229" s="974" t="s">
        <v>2907</v>
      </c>
      <c r="C229" s="984" t="s">
        <v>2904</v>
      </c>
      <c r="D229" s="973" t="s">
        <v>1041</v>
      </c>
      <c r="E229" s="1016"/>
      <c r="G229" s="955"/>
      <c r="H229" s="955"/>
    </row>
    <row r="230" spans="1:8">
      <c r="A230" s="971" t="s">
        <v>2921</v>
      </c>
      <c r="B230" s="974" t="s">
        <v>2908</v>
      </c>
      <c r="C230" s="984" t="s">
        <v>2899</v>
      </c>
      <c r="D230" s="973" t="s">
        <v>1042</v>
      </c>
      <c r="E230" s="1016">
        <f>'Ledger Load Template LGSvcs TEM'!AA130</f>
        <v>0</v>
      </c>
      <c r="G230" s="955"/>
      <c r="H230" s="955"/>
    </row>
    <row r="231" spans="1:8">
      <c r="A231" s="971" t="s">
        <v>2921</v>
      </c>
      <c r="B231" s="974" t="s">
        <v>2908</v>
      </c>
      <c r="C231" s="984" t="s">
        <v>2901</v>
      </c>
      <c r="D231" s="973" t="s">
        <v>1042</v>
      </c>
      <c r="E231" s="1016">
        <f>'Ledger Load Template LGSvcs TEM'!AA131</f>
        <v>0</v>
      </c>
      <c r="G231" s="955"/>
      <c r="H231" s="955"/>
    </row>
    <row r="232" spans="1:8">
      <c r="A232" s="971" t="s">
        <v>2921</v>
      </c>
      <c r="B232" s="974" t="s">
        <v>2908</v>
      </c>
      <c r="C232" s="984" t="s">
        <v>2902</v>
      </c>
      <c r="D232" s="973" t="s">
        <v>1042</v>
      </c>
      <c r="E232" s="1016"/>
      <c r="G232" s="955"/>
      <c r="H232" s="955"/>
    </row>
    <row r="233" spans="1:8">
      <c r="A233" s="971" t="s">
        <v>2921</v>
      </c>
      <c r="B233" s="974" t="s">
        <v>2908</v>
      </c>
      <c r="C233" s="984" t="s">
        <v>2903</v>
      </c>
      <c r="D233" s="973" t="s">
        <v>1042</v>
      </c>
      <c r="E233" s="1016"/>
      <c r="G233" s="955"/>
      <c r="H233" s="955"/>
    </row>
    <row r="234" spans="1:8">
      <c r="A234" s="971" t="s">
        <v>2921</v>
      </c>
      <c r="B234" s="974" t="s">
        <v>2908</v>
      </c>
      <c r="C234" s="984" t="s">
        <v>2904</v>
      </c>
      <c r="D234" s="973" t="s">
        <v>1042</v>
      </c>
      <c r="E234" s="1016"/>
      <c r="G234" s="955"/>
      <c r="H234" s="955"/>
    </row>
    <row r="235" spans="1:8">
      <c r="A235" s="971" t="s">
        <v>2921</v>
      </c>
      <c r="B235" s="974" t="s">
        <v>2909</v>
      </c>
      <c r="C235" s="984" t="s">
        <v>2899</v>
      </c>
      <c r="D235" s="973" t="s">
        <v>1043</v>
      </c>
      <c r="E235" s="1016">
        <f>'Ledger Load Template LGSvcs TEM'!AA135</f>
        <v>806.53</v>
      </c>
      <c r="G235" s="955"/>
      <c r="H235" s="955"/>
    </row>
    <row r="236" spans="1:8">
      <c r="A236" s="971" t="s">
        <v>2921</v>
      </c>
      <c r="B236" s="974" t="s">
        <v>2909</v>
      </c>
      <c r="C236" s="984" t="s">
        <v>2901</v>
      </c>
      <c r="D236" s="973" t="s">
        <v>1043</v>
      </c>
      <c r="E236" s="1016">
        <f>'Ledger Load Template LGSvcs TEM'!AA136</f>
        <v>0</v>
      </c>
      <c r="G236" s="955"/>
      <c r="H236" s="955"/>
    </row>
    <row r="237" spans="1:8">
      <c r="A237" s="971" t="s">
        <v>2921</v>
      </c>
      <c r="B237" s="974" t="s">
        <v>2909</v>
      </c>
      <c r="C237" s="984" t="s">
        <v>2902</v>
      </c>
      <c r="D237" s="973" t="s">
        <v>1043</v>
      </c>
      <c r="E237" s="1016"/>
      <c r="G237" s="955"/>
      <c r="H237" s="955"/>
    </row>
    <row r="238" spans="1:8">
      <c r="A238" s="971" t="s">
        <v>2921</v>
      </c>
      <c r="B238" s="974" t="s">
        <v>2909</v>
      </c>
      <c r="C238" s="984" t="s">
        <v>2903</v>
      </c>
      <c r="D238" s="973" t="s">
        <v>1043</v>
      </c>
      <c r="E238" s="1016"/>
      <c r="G238" s="955"/>
      <c r="H238" s="955"/>
    </row>
    <row r="239" spans="1:8">
      <c r="A239" s="971" t="s">
        <v>2921</v>
      </c>
      <c r="B239" s="974" t="s">
        <v>2909</v>
      </c>
      <c r="C239" s="984" t="s">
        <v>2904</v>
      </c>
      <c r="D239" s="973" t="s">
        <v>1043</v>
      </c>
      <c r="E239" s="1016"/>
      <c r="G239" s="955"/>
      <c r="H239" s="955"/>
    </row>
    <row r="240" spans="1:8">
      <c r="A240" s="971" t="s">
        <v>2921</v>
      </c>
      <c r="B240" s="974" t="s">
        <v>2910</v>
      </c>
      <c r="C240" s="984" t="s">
        <v>2899</v>
      </c>
      <c r="D240" s="973" t="s">
        <v>1044</v>
      </c>
      <c r="E240" s="1016">
        <f>'Ledger Load Template LGSvcs TEM'!AA140</f>
        <v>0</v>
      </c>
      <c r="G240" s="955"/>
      <c r="H240" s="955"/>
    </row>
    <row r="241" spans="1:8">
      <c r="A241" s="971" t="s">
        <v>2921</v>
      </c>
      <c r="B241" s="974" t="s">
        <v>2910</v>
      </c>
      <c r="C241" s="984" t="s">
        <v>2901</v>
      </c>
      <c r="D241" s="973" t="s">
        <v>1044</v>
      </c>
      <c r="E241" s="1016">
        <f>'Ledger Load Template LGSvcs TEM'!AA141</f>
        <v>0</v>
      </c>
      <c r="G241" s="955"/>
      <c r="H241" s="955"/>
    </row>
    <row r="242" spans="1:8">
      <c r="A242" s="971" t="s">
        <v>2921</v>
      </c>
      <c r="B242" s="974" t="s">
        <v>2910</v>
      </c>
      <c r="C242" s="984" t="s">
        <v>2902</v>
      </c>
      <c r="D242" s="973" t="s">
        <v>1044</v>
      </c>
      <c r="E242" s="1016"/>
      <c r="G242" s="955"/>
      <c r="H242" s="955"/>
    </row>
    <row r="243" spans="1:8">
      <c r="A243" s="971" t="s">
        <v>2921</v>
      </c>
      <c r="B243" s="971" t="s">
        <v>2910</v>
      </c>
      <c r="C243" s="984" t="s">
        <v>2903</v>
      </c>
      <c r="D243" s="973" t="s">
        <v>1044</v>
      </c>
      <c r="E243" s="1016"/>
      <c r="G243" s="955"/>
      <c r="H243" s="955"/>
    </row>
    <row r="244" spans="1:8">
      <c r="A244" s="971" t="s">
        <v>2921</v>
      </c>
      <c r="B244" s="971" t="s">
        <v>2910</v>
      </c>
      <c r="C244" s="984" t="s">
        <v>2904</v>
      </c>
      <c r="D244" s="973" t="s">
        <v>1044</v>
      </c>
      <c r="E244" s="1016"/>
      <c r="G244" s="955"/>
      <c r="H244" s="955"/>
    </row>
    <row r="245" spans="1:8">
      <c r="A245" s="971" t="s">
        <v>2921</v>
      </c>
      <c r="B245" s="971" t="s">
        <v>2911</v>
      </c>
      <c r="C245" s="984" t="s">
        <v>2899</v>
      </c>
      <c r="D245" s="973" t="s">
        <v>1088</v>
      </c>
      <c r="E245" s="1016">
        <f>'Ledger Load Template LGSvcs TEM'!AA145</f>
        <v>0</v>
      </c>
      <c r="G245" s="955"/>
      <c r="H245" s="955"/>
    </row>
    <row r="246" spans="1:8">
      <c r="A246" s="971" t="s">
        <v>2921</v>
      </c>
      <c r="B246" s="971" t="s">
        <v>2911</v>
      </c>
      <c r="C246" s="984" t="s">
        <v>2901</v>
      </c>
      <c r="D246" s="973" t="s">
        <v>1088</v>
      </c>
      <c r="E246" s="1016">
        <f>'Ledger Load Template LGSvcs TEM'!AA146</f>
        <v>0</v>
      </c>
      <c r="G246" s="955"/>
      <c r="H246" s="955"/>
    </row>
    <row r="247" spans="1:8">
      <c r="A247" s="971" t="s">
        <v>2921</v>
      </c>
      <c r="B247" s="971" t="s">
        <v>2911</v>
      </c>
      <c r="C247" s="984" t="s">
        <v>2902</v>
      </c>
      <c r="D247" s="973" t="s">
        <v>1088</v>
      </c>
      <c r="E247" s="1016"/>
      <c r="G247" s="955"/>
      <c r="H247" s="955"/>
    </row>
    <row r="248" spans="1:8">
      <c r="A248" s="971" t="s">
        <v>2921</v>
      </c>
      <c r="B248" s="971" t="s">
        <v>2911</v>
      </c>
      <c r="C248" s="984" t="s">
        <v>2903</v>
      </c>
      <c r="D248" s="973" t="s">
        <v>1088</v>
      </c>
      <c r="E248" s="1016"/>
      <c r="G248" s="955"/>
      <c r="H248" s="955"/>
    </row>
    <row r="249" spans="1:8">
      <c r="A249" s="971" t="s">
        <v>2921</v>
      </c>
      <c r="B249" s="971" t="s">
        <v>2911</v>
      </c>
      <c r="C249" s="984" t="s">
        <v>2904</v>
      </c>
      <c r="D249" s="973" t="s">
        <v>1088</v>
      </c>
      <c r="E249" s="1016"/>
      <c r="G249" s="955"/>
      <c r="H249" s="955"/>
    </row>
    <row r="250" spans="1:8">
      <c r="A250" s="971" t="s">
        <v>2921</v>
      </c>
      <c r="B250" s="971" t="s">
        <v>2912</v>
      </c>
      <c r="C250" s="984" t="s">
        <v>2899</v>
      </c>
      <c r="D250" s="973" t="s">
        <v>1089</v>
      </c>
      <c r="E250" s="1016"/>
      <c r="G250" s="955"/>
      <c r="H250" s="955"/>
    </row>
    <row r="251" spans="1:8">
      <c r="A251" s="971" t="s">
        <v>2921</v>
      </c>
      <c r="B251" s="971" t="s">
        <v>2912</v>
      </c>
      <c r="C251" s="984" t="s">
        <v>2901</v>
      </c>
      <c r="D251" s="973" t="s">
        <v>1089</v>
      </c>
      <c r="E251" s="1016"/>
      <c r="G251" s="955"/>
      <c r="H251" s="955"/>
    </row>
    <row r="252" spans="1:8">
      <c r="A252" s="971" t="s">
        <v>2921</v>
      </c>
      <c r="B252" s="971" t="s">
        <v>2912</v>
      </c>
      <c r="C252" s="984" t="s">
        <v>2902</v>
      </c>
      <c r="D252" s="973" t="s">
        <v>1089</v>
      </c>
      <c r="E252" s="1016">
        <f>'Ledger Load Template LGSvcs TEM'!AA152</f>
        <v>0</v>
      </c>
      <c r="G252" s="955"/>
      <c r="H252" s="955"/>
    </row>
    <row r="253" spans="1:8">
      <c r="A253" s="971" t="s">
        <v>2921</v>
      </c>
      <c r="B253" s="971" t="s">
        <v>2912</v>
      </c>
      <c r="C253" s="984" t="s">
        <v>2903</v>
      </c>
      <c r="D253" s="973" t="s">
        <v>1089</v>
      </c>
      <c r="E253" s="1016">
        <f>'Ledger Load Template LGSvcs TEM'!AA153</f>
        <v>0</v>
      </c>
      <c r="G253" s="955"/>
      <c r="H253" s="955"/>
    </row>
    <row r="254" spans="1:8">
      <c r="A254" s="971" t="s">
        <v>2921</v>
      </c>
      <c r="B254" s="971" t="s">
        <v>2912</v>
      </c>
      <c r="C254" s="984" t="s">
        <v>2904</v>
      </c>
      <c r="D254" s="973" t="s">
        <v>1089</v>
      </c>
      <c r="E254" s="1016"/>
      <c r="G254" s="955"/>
      <c r="H254" s="955"/>
    </row>
    <row r="255" spans="1:8">
      <c r="A255" s="971" t="s">
        <v>2921</v>
      </c>
      <c r="B255" s="971" t="s">
        <v>2913</v>
      </c>
      <c r="C255" s="984" t="s">
        <v>2899</v>
      </c>
      <c r="D255" s="973" t="s">
        <v>2914</v>
      </c>
      <c r="E255" s="1016"/>
      <c r="G255" s="955"/>
      <c r="H255" s="955"/>
    </row>
    <row r="256" spans="1:8">
      <c r="A256" s="971" t="s">
        <v>2921</v>
      </c>
      <c r="B256" s="971" t="s">
        <v>2913</v>
      </c>
      <c r="C256" s="984" t="s">
        <v>2901</v>
      </c>
      <c r="D256" s="973" t="s">
        <v>2914</v>
      </c>
      <c r="E256" s="1016"/>
      <c r="G256" s="955"/>
      <c r="H256" s="955"/>
    </row>
    <row r="257" spans="1:8">
      <c r="A257" s="971" t="s">
        <v>2921</v>
      </c>
      <c r="B257" s="971" t="s">
        <v>2913</v>
      </c>
      <c r="C257" s="984" t="s">
        <v>2902</v>
      </c>
      <c r="D257" s="973" t="s">
        <v>2914</v>
      </c>
      <c r="E257" s="1016"/>
      <c r="G257" s="955"/>
      <c r="H257" s="955"/>
    </row>
    <row r="258" spans="1:8">
      <c r="A258" s="971" t="s">
        <v>2921</v>
      </c>
      <c r="B258" s="971" t="s">
        <v>2913</v>
      </c>
      <c r="C258" s="984" t="s">
        <v>2903</v>
      </c>
      <c r="D258" s="973" t="s">
        <v>2914</v>
      </c>
      <c r="E258" s="1016"/>
      <c r="G258" s="955"/>
      <c r="H258" s="955"/>
    </row>
    <row r="259" spans="1:8">
      <c r="A259" s="971" t="s">
        <v>2921</v>
      </c>
      <c r="B259" s="971" t="s">
        <v>2913</v>
      </c>
      <c r="C259" s="984" t="s">
        <v>2904</v>
      </c>
      <c r="D259" s="973" t="s">
        <v>2914</v>
      </c>
      <c r="E259" s="1016"/>
      <c r="G259" s="955"/>
      <c r="H259" s="955"/>
    </row>
    <row r="260" spans="1:8">
      <c r="A260" s="971" t="s">
        <v>2921</v>
      </c>
      <c r="B260" s="971" t="s">
        <v>2915</v>
      </c>
      <c r="C260" s="984" t="s">
        <v>2899</v>
      </c>
      <c r="D260" s="973" t="s">
        <v>214</v>
      </c>
      <c r="E260" s="1016"/>
      <c r="G260" s="955"/>
      <c r="H260" s="955"/>
    </row>
    <row r="261" spans="1:8">
      <c r="A261" s="971" t="s">
        <v>2921</v>
      </c>
      <c r="B261" s="971" t="s">
        <v>2915</v>
      </c>
      <c r="C261" s="984" t="s">
        <v>2901</v>
      </c>
      <c r="D261" s="973" t="s">
        <v>214</v>
      </c>
      <c r="E261" s="1016">
        <f>'Ledger Load Template LGSvcs TEM'!AA161</f>
        <v>17908.13</v>
      </c>
      <c r="G261" s="955"/>
      <c r="H261" s="955"/>
    </row>
    <row r="262" spans="1:8">
      <c r="A262" s="971" t="s">
        <v>2921</v>
      </c>
      <c r="B262" s="971" t="s">
        <v>2915</v>
      </c>
      <c r="C262" s="984" t="s">
        <v>2902</v>
      </c>
      <c r="D262" s="973" t="s">
        <v>214</v>
      </c>
      <c r="E262" s="1016"/>
      <c r="G262" s="955"/>
      <c r="H262" s="955"/>
    </row>
    <row r="263" spans="1:8">
      <c r="A263" s="971" t="s">
        <v>2921</v>
      </c>
      <c r="B263" s="971" t="s">
        <v>2915</v>
      </c>
      <c r="C263" s="984" t="s">
        <v>2903</v>
      </c>
      <c r="D263" s="973" t="s">
        <v>214</v>
      </c>
      <c r="E263" s="1016"/>
      <c r="G263" s="955"/>
      <c r="H263" s="955"/>
    </row>
    <row r="264" spans="1:8">
      <c r="A264" s="971" t="s">
        <v>2921</v>
      </c>
      <c r="B264" s="971" t="s">
        <v>2915</v>
      </c>
      <c r="C264" s="984" t="s">
        <v>2904</v>
      </c>
      <c r="D264" s="973" t="s">
        <v>214</v>
      </c>
      <c r="E264" s="1016">
        <f>'Ledger Load Template LGSvcs TEM'!AA164</f>
        <v>0</v>
      </c>
      <c r="G264" s="955"/>
      <c r="H264" s="955"/>
    </row>
    <row r="265" spans="1:8">
      <c r="A265" s="971" t="s">
        <v>2921</v>
      </c>
      <c r="B265" s="971" t="s">
        <v>2916</v>
      </c>
      <c r="C265" s="984" t="s">
        <v>2899</v>
      </c>
      <c r="D265" s="973" t="s">
        <v>2917</v>
      </c>
      <c r="E265" s="1016"/>
      <c r="G265" s="955"/>
      <c r="H265" s="955"/>
    </row>
    <row r="266" spans="1:8">
      <c r="A266" s="971" t="s">
        <v>2921</v>
      </c>
      <c r="B266" s="971" t="s">
        <v>2916</v>
      </c>
      <c r="C266" s="984" t="s">
        <v>2901</v>
      </c>
      <c r="D266" s="973" t="s">
        <v>2917</v>
      </c>
      <c r="E266" s="1016">
        <f>'Ledger Load Template LGSvcs TEM'!AA166</f>
        <v>0</v>
      </c>
      <c r="G266" s="955"/>
      <c r="H266" s="955"/>
    </row>
    <row r="267" spans="1:8">
      <c r="A267" s="971" t="s">
        <v>2921</v>
      </c>
      <c r="B267" s="971" t="s">
        <v>2916</v>
      </c>
      <c r="C267" s="984" t="s">
        <v>2902</v>
      </c>
      <c r="D267" s="973" t="s">
        <v>2917</v>
      </c>
      <c r="E267" s="1016"/>
      <c r="G267" s="955"/>
      <c r="H267" s="955"/>
    </row>
    <row r="268" spans="1:8">
      <c r="A268" s="971" t="s">
        <v>2921</v>
      </c>
      <c r="B268" s="971" t="s">
        <v>2916</v>
      </c>
      <c r="C268" s="984" t="s">
        <v>2903</v>
      </c>
      <c r="D268" s="973" t="s">
        <v>2917</v>
      </c>
      <c r="E268" s="1016"/>
      <c r="G268" s="1768" t="s">
        <v>2918</v>
      </c>
      <c r="H268" s="1768"/>
    </row>
    <row r="269" spans="1:8" ht="13.5" thickBot="1">
      <c r="A269" s="971" t="s">
        <v>2921</v>
      </c>
      <c r="B269" s="971" t="s">
        <v>2916</v>
      </c>
      <c r="C269" s="984" t="s">
        <v>2904</v>
      </c>
      <c r="D269" s="973" t="s">
        <v>2917</v>
      </c>
      <c r="E269" s="1016"/>
      <c r="H269" s="983">
        <f>SUM(E210:E269)</f>
        <v>127620.8</v>
      </c>
    </row>
    <row r="270" spans="1:8" ht="13.5" thickTop="1">
      <c r="A270" s="1778"/>
      <c r="B270" s="1779"/>
      <c r="C270" s="1779"/>
      <c r="D270" s="1779"/>
      <c r="E270" s="1780"/>
      <c r="G270" s="955"/>
      <c r="H270" s="955"/>
    </row>
    <row r="271" spans="1:8" ht="15.75">
      <c r="A271" s="1769" t="s">
        <v>2927</v>
      </c>
      <c r="B271" s="1770"/>
      <c r="C271" s="1770"/>
      <c r="D271" s="1770"/>
      <c r="E271" s="1771"/>
      <c r="G271" s="955"/>
      <c r="H271" s="955"/>
    </row>
    <row r="272" spans="1:8">
      <c r="A272" s="1772" t="s">
        <v>2928</v>
      </c>
      <c r="B272" s="1773"/>
      <c r="C272" s="1773"/>
      <c r="D272" s="1773"/>
      <c r="E272" s="1774"/>
      <c r="G272" s="955"/>
      <c r="H272" s="955"/>
    </row>
    <row r="273" spans="1:8">
      <c r="A273" s="971" t="s">
        <v>2929</v>
      </c>
      <c r="B273" s="968" t="s">
        <v>2764</v>
      </c>
      <c r="C273" s="973"/>
      <c r="D273" s="970" t="s">
        <v>2765</v>
      </c>
      <c r="E273" s="1014">
        <f>'Ledger Load Template LGSvcs TEM'!AA170</f>
        <v>0</v>
      </c>
      <c r="G273" s="955"/>
      <c r="H273" s="955"/>
    </row>
    <row r="274" spans="1:8">
      <c r="A274" s="971" t="s">
        <v>2929</v>
      </c>
      <c r="B274" s="972" t="s">
        <v>2766</v>
      </c>
      <c r="C274" s="973"/>
      <c r="D274" s="973" t="s">
        <v>2767</v>
      </c>
      <c r="E274" s="1014">
        <f>'Ledger Load Template LGSvcs TEM'!AA171</f>
        <v>0</v>
      </c>
      <c r="G274" s="955"/>
      <c r="H274" s="955"/>
    </row>
    <row r="275" spans="1:8">
      <c r="A275" s="971" t="s">
        <v>2929</v>
      </c>
      <c r="B275" s="974" t="s">
        <v>2768</v>
      </c>
      <c r="C275" s="973"/>
      <c r="D275" s="973" t="s">
        <v>2769</v>
      </c>
      <c r="E275" s="1014">
        <f>'Ledger Load Template LGSvcs TEM'!AA172</f>
        <v>0</v>
      </c>
      <c r="G275" s="955"/>
      <c r="H275" s="955"/>
    </row>
    <row r="276" spans="1:8">
      <c r="A276" s="971" t="s">
        <v>2929</v>
      </c>
      <c r="B276" s="974" t="s">
        <v>2770</v>
      </c>
      <c r="C276" s="973"/>
      <c r="D276" s="973" t="s">
        <v>2771</v>
      </c>
      <c r="E276" s="1016">
        <f>'Ledger Load Template LGSvcs TEM'!AA173</f>
        <v>0</v>
      </c>
      <c r="G276" s="955"/>
      <c r="H276" s="955"/>
    </row>
    <row r="277" spans="1:8">
      <c r="A277" s="971" t="s">
        <v>2929</v>
      </c>
      <c r="B277" s="974" t="s">
        <v>2772</v>
      </c>
      <c r="C277" s="973"/>
      <c r="D277" s="973" t="s">
        <v>2773</v>
      </c>
      <c r="E277" s="1016">
        <f>'Ledger Load Template LGSvcs TEM'!AA174</f>
        <v>0</v>
      </c>
      <c r="G277" s="955"/>
      <c r="H277" s="955"/>
    </row>
    <row r="278" spans="1:8">
      <c r="A278" s="971" t="s">
        <v>2929</v>
      </c>
      <c r="B278" s="974" t="s">
        <v>2774</v>
      </c>
      <c r="C278" s="973"/>
      <c r="D278" s="973" t="s">
        <v>1065</v>
      </c>
      <c r="E278" s="1016">
        <f>'Ledger Load Template LGSvcs TEM'!AA175</f>
        <v>0</v>
      </c>
      <c r="G278" s="955"/>
      <c r="H278" s="955"/>
    </row>
    <row r="279" spans="1:8">
      <c r="A279" s="971" t="s">
        <v>2929</v>
      </c>
      <c r="B279" s="974" t="s">
        <v>2775</v>
      </c>
      <c r="C279" s="973"/>
      <c r="D279" s="973" t="s">
        <v>2776</v>
      </c>
      <c r="E279" s="1016">
        <f>'Ledger Load Template LGSvcs TEM'!AA176</f>
        <v>0</v>
      </c>
      <c r="G279" s="955"/>
      <c r="H279" s="955"/>
    </row>
    <row r="280" spans="1:8">
      <c r="A280" s="971" t="s">
        <v>2929</v>
      </c>
      <c r="B280" s="974" t="s">
        <v>2777</v>
      </c>
      <c r="C280" s="973"/>
      <c r="D280" s="973" t="s">
        <v>2778</v>
      </c>
      <c r="E280" s="1016"/>
      <c r="G280" s="955"/>
      <c r="H280" s="955"/>
    </row>
    <row r="281" spans="1:8">
      <c r="A281" s="971" t="s">
        <v>2929</v>
      </c>
      <c r="B281" s="974" t="s">
        <v>2779</v>
      </c>
      <c r="C281" s="973"/>
      <c r="D281" s="973" t="s">
        <v>2780</v>
      </c>
      <c r="E281" s="1016">
        <f>'Ledger Load Template LGSvcs TEM'!AA178</f>
        <v>0</v>
      </c>
      <c r="G281" s="955"/>
      <c r="H281" s="955"/>
    </row>
    <row r="282" spans="1:8">
      <c r="A282" s="1772" t="s">
        <v>2930</v>
      </c>
      <c r="B282" s="1773"/>
      <c r="C282" s="1773"/>
      <c r="D282" s="1773"/>
      <c r="E282" s="1774"/>
      <c r="G282" s="975" t="s">
        <v>2931</v>
      </c>
      <c r="H282" s="976"/>
    </row>
    <row r="283" spans="1:8">
      <c r="A283" s="971" t="s">
        <v>2929</v>
      </c>
      <c r="B283" s="971" t="s">
        <v>2783</v>
      </c>
      <c r="C283" s="973"/>
      <c r="D283" s="973" t="s">
        <v>2784</v>
      </c>
      <c r="E283" s="1016">
        <f>'Ledger Load Template LGSvcs TEM'!AA179</f>
        <v>0</v>
      </c>
      <c r="G283" s="977" t="s">
        <v>522</v>
      </c>
      <c r="H283" s="978">
        <f>E273+E274+E275+E276+E277+E278+E279+E280</f>
        <v>0</v>
      </c>
    </row>
    <row r="284" spans="1:8">
      <c r="A284" s="971" t="s">
        <v>2929</v>
      </c>
      <c r="B284" s="971" t="s">
        <v>2786</v>
      </c>
      <c r="C284" s="973"/>
      <c r="D284" s="973" t="s">
        <v>2787</v>
      </c>
      <c r="E284" s="1016">
        <f>'Ledger Load Template LGSvcs TEM'!AA180</f>
        <v>0</v>
      </c>
      <c r="G284" s="977" t="s">
        <v>2788</v>
      </c>
      <c r="H284" s="978">
        <f>E281</f>
        <v>0</v>
      </c>
    </row>
    <row r="285" spans="1:8">
      <c r="A285" s="971" t="s">
        <v>2929</v>
      </c>
      <c r="B285" s="971" t="s">
        <v>2789</v>
      </c>
      <c r="C285" s="973"/>
      <c r="D285" s="973" t="s">
        <v>1908</v>
      </c>
      <c r="E285" s="1016">
        <f>'Ledger Load Template LGSvcs TEM'!AA182</f>
        <v>0</v>
      </c>
      <c r="G285" s="977"/>
      <c r="H285" s="978"/>
    </row>
    <row r="286" spans="1:8">
      <c r="A286" s="971" t="s">
        <v>2929</v>
      </c>
      <c r="B286" s="971" t="s">
        <v>2790</v>
      </c>
      <c r="C286" s="973"/>
      <c r="D286" s="973" t="s">
        <v>2791</v>
      </c>
      <c r="E286" s="1016">
        <f>'Ledger Load Template LGSvcs TEM'!AA183</f>
        <v>0</v>
      </c>
      <c r="G286" s="977" t="s">
        <v>1211</v>
      </c>
      <c r="H286" s="978">
        <f>E283+E284+E286</f>
        <v>0</v>
      </c>
    </row>
    <row r="287" spans="1:8">
      <c r="A287" s="1772" t="s">
        <v>2932</v>
      </c>
      <c r="B287" s="1773"/>
      <c r="C287" s="1773"/>
      <c r="D287" s="1773"/>
      <c r="E287" s="1774"/>
      <c r="G287" s="977" t="s">
        <v>2793</v>
      </c>
      <c r="H287" s="978">
        <f>E285</f>
        <v>0</v>
      </c>
    </row>
    <row r="288" spans="1:8">
      <c r="A288" s="971" t="s">
        <v>2929</v>
      </c>
      <c r="B288" s="971" t="s">
        <v>2794</v>
      </c>
      <c r="C288" s="973"/>
      <c r="D288" s="973" t="s">
        <v>2795</v>
      </c>
      <c r="E288" s="1016"/>
      <c r="G288" s="977"/>
      <c r="H288" s="978"/>
    </row>
    <row r="289" spans="1:8">
      <c r="A289" s="971" t="s">
        <v>2929</v>
      </c>
      <c r="B289" s="971" t="s">
        <v>2796</v>
      </c>
      <c r="C289" s="973"/>
      <c r="D289" s="973" t="s">
        <v>2797</v>
      </c>
      <c r="E289" s="1016"/>
      <c r="G289" s="977" t="s">
        <v>2798</v>
      </c>
      <c r="H289" s="978">
        <f>E288+E289+E290+E291</f>
        <v>0</v>
      </c>
    </row>
    <row r="290" spans="1:8">
      <c r="A290" s="971" t="s">
        <v>2929</v>
      </c>
      <c r="B290" s="971" t="s">
        <v>2799</v>
      </c>
      <c r="C290" s="973"/>
      <c r="D290" s="973" t="s">
        <v>2800</v>
      </c>
      <c r="E290" s="1016">
        <f>'Ledger Load Template LGSvcs TEM'!AA187</f>
        <v>0</v>
      </c>
      <c r="G290" s="979"/>
      <c r="H290" s="980"/>
    </row>
    <row r="291" spans="1:8" ht="13.5" thickBot="1">
      <c r="A291" s="971" t="s">
        <v>2929</v>
      </c>
      <c r="B291" s="971" t="s">
        <v>2801</v>
      </c>
      <c r="C291" s="973"/>
      <c r="D291" s="973" t="s">
        <v>2802</v>
      </c>
      <c r="E291" s="1016"/>
      <c r="G291" s="981" t="s">
        <v>2803</v>
      </c>
      <c r="H291" s="982">
        <f>H283+H284+H286+H287+H289</f>
        <v>0</v>
      </c>
    </row>
    <row r="292" spans="1:8" ht="13.5" thickTop="1">
      <c r="A292" s="1772" t="s">
        <v>2933</v>
      </c>
      <c r="B292" s="1773"/>
      <c r="C292" s="1773"/>
      <c r="D292" s="1773"/>
      <c r="E292" s="1774"/>
      <c r="G292" s="955"/>
      <c r="H292" s="955"/>
    </row>
    <row r="293" spans="1:8">
      <c r="A293" s="971" t="s">
        <v>2929</v>
      </c>
      <c r="B293" s="971" t="s">
        <v>2805</v>
      </c>
      <c r="C293" s="973"/>
      <c r="D293" s="973" t="s">
        <v>2806</v>
      </c>
      <c r="E293" s="1016">
        <f>'Ledger Load Template LGSvcs TEM'!AA189</f>
        <v>0</v>
      </c>
      <c r="G293" s="955"/>
      <c r="H293" s="955"/>
    </row>
    <row r="294" spans="1:8">
      <c r="A294" s="971" t="s">
        <v>2929</v>
      </c>
      <c r="B294" s="971" t="s">
        <v>2807</v>
      </c>
      <c r="C294" s="973"/>
      <c r="D294" s="973" t="s">
        <v>2808</v>
      </c>
      <c r="E294" s="1016"/>
      <c r="G294" s="955"/>
      <c r="H294" s="955"/>
    </row>
    <row r="295" spans="1:8">
      <c r="A295" s="971" t="s">
        <v>2929</v>
      </c>
      <c r="B295" s="971" t="s">
        <v>2809</v>
      </c>
      <c r="C295" s="973"/>
      <c r="D295" s="973" t="s">
        <v>2810</v>
      </c>
      <c r="E295" s="1016"/>
      <c r="G295" s="955"/>
      <c r="H295" s="955"/>
    </row>
    <row r="296" spans="1:8">
      <c r="A296" s="971" t="s">
        <v>2929</v>
      </c>
      <c r="B296" s="971" t="s">
        <v>2811</v>
      </c>
      <c r="C296" s="973"/>
      <c r="D296" s="973" t="s">
        <v>2812</v>
      </c>
      <c r="E296" s="1016">
        <f>'Ledger Load Template LGSvcs TEM'!AA192</f>
        <v>0</v>
      </c>
      <c r="G296" s="955"/>
      <c r="H296" s="955"/>
    </row>
    <row r="297" spans="1:8">
      <c r="A297" s="971" t="s">
        <v>2929</v>
      </c>
      <c r="B297" s="971" t="s">
        <v>2813</v>
      </c>
      <c r="C297" s="973"/>
      <c r="D297" s="973" t="s">
        <v>2814</v>
      </c>
      <c r="E297" s="1016">
        <f>'Ledger Load Template LGSvcs TEM'!AA193</f>
        <v>0</v>
      </c>
      <c r="G297" s="955"/>
      <c r="H297" s="955"/>
    </row>
    <row r="298" spans="1:8">
      <c r="A298" s="971" t="s">
        <v>2929</v>
      </c>
      <c r="B298" s="971" t="s">
        <v>2815</v>
      </c>
      <c r="C298" s="973"/>
      <c r="D298" s="973" t="s">
        <v>2816</v>
      </c>
      <c r="E298" s="1016">
        <f>'Ledger Load Template LGSvcs TEM'!AA194</f>
        <v>0</v>
      </c>
      <c r="G298" s="955"/>
      <c r="H298" s="955"/>
    </row>
    <row r="299" spans="1:8">
      <c r="A299" s="971" t="s">
        <v>2929</v>
      </c>
      <c r="B299" s="971" t="s">
        <v>2817</v>
      </c>
      <c r="C299" s="973"/>
      <c r="D299" s="973" t="s">
        <v>2818</v>
      </c>
      <c r="E299" s="1016">
        <f>'Ledger Load Template LGSvcs TEM'!AA195</f>
        <v>0</v>
      </c>
      <c r="G299" s="955"/>
      <c r="H299" s="955"/>
    </row>
    <row r="300" spans="1:8">
      <c r="A300" s="971" t="s">
        <v>2929</v>
      </c>
      <c r="B300" s="971" t="s">
        <v>2819</v>
      </c>
      <c r="C300" s="973"/>
      <c r="D300" s="973" t="s">
        <v>2820</v>
      </c>
      <c r="E300" s="1016">
        <f>'Ledger Load Template LGSvcs TEM'!AA196</f>
        <v>0</v>
      </c>
      <c r="G300" s="955"/>
      <c r="H300" s="955"/>
    </row>
    <row r="301" spans="1:8">
      <c r="A301" s="971" t="s">
        <v>2929</v>
      </c>
      <c r="B301" s="971" t="s">
        <v>2821</v>
      </c>
      <c r="C301" s="973"/>
      <c r="D301" s="973" t="s">
        <v>2822</v>
      </c>
      <c r="E301" s="1016">
        <f>'Ledger Load Template LGSvcs TEM'!AA197</f>
        <v>0</v>
      </c>
      <c r="G301" s="955"/>
      <c r="H301" s="955"/>
    </row>
    <row r="302" spans="1:8">
      <c r="A302" s="971" t="s">
        <v>2929</v>
      </c>
      <c r="B302" s="971" t="s">
        <v>2823</v>
      </c>
      <c r="C302" s="973"/>
      <c r="D302" s="973" t="s">
        <v>2824</v>
      </c>
      <c r="E302" s="1016">
        <f>'Ledger Load Template LGSvcs TEM'!AA198+'Ledger Load Template LGSvcs TEM'!AA199</f>
        <v>0</v>
      </c>
      <c r="G302" s="955"/>
      <c r="H302" s="955"/>
    </row>
    <row r="303" spans="1:8">
      <c r="A303" s="971" t="s">
        <v>2929</v>
      </c>
      <c r="B303" s="971" t="s">
        <v>2825</v>
      </c>
      <c r="C303" s="973"/>
      <c r="D303" s="973" t="s">
        <v>2826</v>
      </c>
      <c r="E303" s="1016">
        <f>'Ledger Load Template LGSvcs TEM'!AA200</f>
        <v>0</v>
      </c>
      <c r="G303" s="955"/>
      <c r="H303" s="955"/>
    </row>
    <row r="304" spans="1:8">
      <c r="A304" s="971" t="s">
        <v>2929</v>
      </c>
      <c r="B304" s="971" t="s">
        <v>2827</v>
      </c>
      <c r="C304" s="973"/>
      <c r="D304" s="973" t="s">
        <v>2828</v>
      </c>
      <c r="E304" s="1016">
        <f>'Ledger Load Template LGSvcs TEM'!AA201</f>
        <v>0</v>
      </c>
      <c r="G304" s="955"/>
      <c r="H304" s="955"/>
    </row>
    <row r="305" spans="1:8">
      <c r="A305" s="971" t="s">
        <v>2929</v>
      </c>
      <c r="B305" s="971" t="s">
        <v>2829</v>
      </c>
      <c r="C305" s="973"/>
      <c r="D305" s="973" t="s">
        <v>2830</v>
      </c>
      <c r="E305" s="1016">
        <f>'Ledger Load Template LGSvcs TEM'!AA202</f>
        <v>0</v>
      </c>
      <c r="G305" s="955"/>
      <c r="H305" s="955"/>
    </row>
    <row r="306" spans="1:8">
      <c r="A306" s="971" t="s">
        <v>2929</v>
      </c>
      <c r="B306" s="971" t="s">
        <v>2831</v>
      </c>
      <c r="C306" s="973"/>
      <c r="D306" s="973" t="s">
        <v>2832</v>
      </c>
      <c r="E306" s="1016">
        <f>'Ledger Load Template LGSvcs TEM'!AA203</f>
        <v>0</v>
      </c>
      <c r="G306" s="955"/>
      <c r="H306" s="955"/>
    </row>
    <row r="307" spans="1:8">
      <c r="A307" s="971" t="s">
        <v>2929</v>
      </c>
      <c r="B307" s="971" t="s">
        <v>2833</v>
      </c>
      <c r="C307" s="973"/>
      <c r="D307" s="973" t="s">
        <v>2834</v>
      </c>
      <c r="E307" s="1016">
        <f>'Ledger Load Template LGSvcs TEM'!AA204</f>
        <v>0</v>
      </c>
      <c r="G307" s="955"/>
      <c r="H307" s="955"/>
    </row>
    <row r="308" spans="1:8">
      <c r="A308" s="971" t="s">
        <v>2929</v>
      </c>
      <c r="B308" s="971" t="s">
        <v>2835</v>
      </c>
      <c r="C308" s="973"/>
      <c r="D308" s="973" t="s">
        <v>2836</v>
      </c>
      <c r="E308" s="1016">
        <f>'Ledger Load Template LGSvcs TEM'!AA205</f>
        <v>0</v>
      </c>
      <c r="G308" s="955"/>
      <c r="H308" s="955"/>
    </row>
    <row r="309" spans="1:8">
      <c r="A309" s="971" t="s">
        <v>2929</v>
      </c>
      <c r="B309" s="971" t="s">
        <v>2837</v>
      </c>
      <c r="C309" s="973"/>
      <c r="D309" s="973" t="s">
        <v>2838</v>
      </c>
      <c r="E309" s="1016">
        <f>'Ledger Load Template LGSvcs TEM'!AA206</f>
        <v>0</v>
      </c>
      <c r="G309" s="955"/>
      <c r="H309" s="955"/>
    </row>
    <row r="310" spans="1:8">
      <c r="A310" s="971" t="s">
        <v>2929</v>
      </c>
      <c r="B310" s="971" t="s">
        <v>2839</v>
      </c>
      <c r="C310" s="973"/>
      <c r="D310" s="973" t="s">
        <v>2840</v>
      </c>
      <c r="E310" s="1016">
        <f>'Ledger Load Template LGSvcs TEM'!AA207</f>
        <v>0</v>
      </c>
      <c r="G310" s="955"/>
      <c r="H310" s="955"/>
    </row>
    <row r="311" spans="1:8">
      <c r="A311" s="971" t="s">
        <v>2929</v>
      </c>
      <c r="B311" s="971" t="s">
        <v>2841</v>
      </c>
      <c r="C311" s="973"/>
      <c r="D311" s="973" t="s">
        <v>2842</v>
      </c>
      <c r="E311" s="1016">
        <f>'Ledger Load Template LGSvcs TEM'!AA209</f>
        <v>0</v>
      </c>
      <c r="G311" s="955"/>
      <c r="H311" s="955"/>
    </row>
    <row r="312" spans="1:8">
      <c r="A312" s="971" t="s">
        <v>2929</v>
      </c>
      <c r="B312" s="971" t="s">
        <v>2843</v>
      </c>
      <c r="C312" s="973"/>
      <c r="D312" s="973" t="s">
        <v>2844</v>
      </c>
      <c r="E312" s="1016">
        <f>'Ledger Load Template LGSvcs TEM'!AA210</f>
        <v>0</v>
      </c>
      <c r="G312" s="955"/>
      <c r="H312" s="955"/>
    </row>
    <row r="313" spans="1:8">
      <c r="A313" s="971" t="s">
        <v>2929</v>
      </c>
      <c r="B313" s="971" t="s">
        <v>2845</v>
      </c>
      <c r="C313" s="973"/>
      <c r="D313" s="973" t="s">
        <v>2846</v>
      </c>
      <c r="E313" s="1016">
        <f>'Ledger Load Template LGSvcs TEM'!AA211</f>
        <v>0</v>
      </c>
      <c r="G313" s="955"/>
      <c r="H313" s="955"/>
    </row>
    <row r="314" spans="1:8">
      <c r="A314" s="971" t="s">
        <v>2929</v>
      </c>
      <c r="B314" s="971" t="s">
        <v>2847</v>
      </c>
      <c r="C314" s="973"/>
      <c r="D314" s="973" t="s">
        <v>2848</v>
      </c>
      <c r="E314" s="1016">
        <f>'Ledger Load Template LGSvcs TEM'!AA212</f>
        <v>0</v>
      </c>
      <c r="G314" s="955"/>
      <c r="H314" s="955"/>
    </row>
    <row r="315" spans="1:8">
      <c r="A315" s="971" t="s">
        <v>2929</v>
      </c>
      <c r="B315" s="971" t="s">
        <v>2849</v>
      </c>
      <c r="C315" s="973"/>
      <c r="D315" s="973" t="s">
        <v>1042</v>
      </c>
      <c r="E315" s="1016">
        <f>'Ledger Load Template LGSvcs TEM'!AA213</f>
        <v>0</v>
      </c>
      <c r="G315" s="955"/>
      <c r="H315" s="955"/>
    </row>
    <row r="316" spans="1:8">
      <c r="A316" s="971" t="s">
        <v>2929</v>
      </c>
      <c r="B316" s="971" t="s">
        <v>2850</v>
      </c>
      <c r="C316" s="973"/>
      <c r="D316" s="973" t="s">
        <v>2851</v>
      </c>
      <c r="E316" s="1016">
        <f>'Ledger Load Template LGSvcs TEM'!AA214</f>
        <v>0</v>
      </c>
      <c r="G316" s="955"/>
      <c r="H316" s="955"/>
    </row>
    <row r="317" spans="1:8">
      <c r="A317" s="971" t="s">
        <v>2929</v>
      </c>
      <c r="B317" s="971" t="s">
        <v>2852</v>
      </c>
      <c r="C317" s="973"/>
      <c r="D317" s="973" t="s">
        <v>2853</v>
      </c>
      <c r="E317" s="1016">
        <f>'Ledger Load Template LGSvcs TEM'!AA215+'Ledger Load Template LGSvcs TEM'!AA216</f>
        <v>0</v>
      </c>
      <c r="G317" s="955"/>
      <c r="H317" s="955"/>
    </row>
    <row r="318" spans="1:8">
      <c r="A318" s="971" t="s">
        <v>2929</v>
      </c>
      <c r="B318" s="971" t="s">
        <v>2854</v>
      </c>
      <c r="C318" s="973"/>
      <c r="D318" s="973" t="s">
        <v>2855</v>
      </c>
      <c r="E318" s="1016">
        <f>'Ledger Load Template LGSvcs TEM'!AA218</f>
        <v>0</v>
      </c>
      <c r="G318" s="955"/>
      <c r="H318" s="955"/>
    </row>
    <row r="319" spans="1:8">
      <c r="A319" s="971" t="s">
        <v>2929</v>
      </c>
      <c r="B319" s="971" t="s">
        <v>2856</v>
      </c>
      <c r="C319" s="973"/>
      <c r="D319" s="973" t="s">
        <v>2857</v>
      </c>
      <c r="E319" s="1016">
        <f>'Ledger Load Template LGSvcs TEM'!AA217</f>
        <v>0</v>
      </c>
      <c r="G319" s="955"/>
      <c r="H319" s="955"/>
    </row>
    <row r="320" spans="1:8">
      <c r="A320" s="971" t="s">
        <v>2929</v>
      </c>
      <c r="B320" s="971" t="s">
        <v>2858</v>
      </c>
      <c r="C320" s="973"/>
      <c r="D320" s="973" t="s">
        <v>2859</v>
      </c>
      <c r="E320" s="1016">
        <f>'Ledger Load Template LGSvcs TEM'!AA220</f>
        <v>0</v>
      </c>
      <c r="G320" s="955"/>
      <c r="H320" s="955"/>
    </row>
    <row r="321" spans="1:8">
      <c r="A321" s="971" t="s">
        <v>2929</v>
      </c>
      <c r="B321" s="971" t="s">
        <v>2860</v>
      </c>
      <c r="C321" s="973"/>
      <c r="D321" s="973" t="s">
        <v>2861</v>
      </c>
      <c r="E321" s="1016">
        <f>'Ledger Load Template LGSvcs TEM'!AA221</f>
        <v>0</v>
      </c>
      <c r="G321" s="955"/>
      <c r="H321" s="955"/>
    </row>
    <row r="322" spans="1:8">
      <c r="A322" s="971" t="s">
        <v>2929</v>
      </c>
      <c r="B322" s="971" t="s">
        <v>2862</v>
      </c>
      <c r="C322" s="973"/>
      <c r="D322" s="973" t="s">
        <v>2863</v>
      </c>
      <c r="E322" s="1016">
        <f>'Ledger Load Template LGSvcs TEM'!AA222</f>
        <v>0</v>
      </c>
      <c r="G322" s="955"/>
      <c r="H322" s="955"/>
    </row>
    <row r="323" spans="1:8">
      <c r="A323" s="971" t="s">
        <v>2929</v>
      </c>
      <c r="B323" s="971" t="s">
        <v>2864</v>
      </c>
      <c r="C323" s="973"/>
      <c r="D323" s="973" t="s">
        <v>2865</v>
      </c>
      <c r="E323" s="1016">
        <f>'Ledger Load Template LGSvcs TEM'!AA223</f>
        <v>0</v>
      </c>
      <c r="G323" s="955"/>
      <c r="H323" s="955"/>
    </row>
    <row r="324" spans="1:8">
      <c r="A324" s="971" t="s">
        <v>2929</v>
      </c>
      <c r="B324" s="971" t="s">
        <v>2866</v>
      </c>
      <c r="C324" s="973"/>
      <c r="D324" s="973" t="s">
        <v>1877</v>
      </c>
      <c r="E324" s="1016">
        <f>'Ledger Load Template LGSvcs TEM'!AA224</f>
        <v>0</v>
      </c>
      <c r="G324" s="955"/>
      <c r="H324" s="955"/>
    </row>
    <row r="325" spans="1:8">
      <c r="A325" s="971" t="s">
        <v>2929</v>
      </c>
      <c r="B325" s="971" t="s">
        <v>2867</v>
      </c>
      <c r="C325" s="973"/>
      <c r="D325" s="973" t="s">
        <v>299</v>
      </c>
      <c r="E325" s="1016">
        <f>'Ledger Load Template LGSvcs TEM'!AA225+'Ledger Load Template LGSvcs TEM'!AA226</f>
        <v>0</v>
      </c>
      <c r="G325" s="955"/>
      <c r="H325" s="955"/>
    </row>
    <row r="326" spans="1:8">
      <c r="A326" s="971" t="s">
        <v>2929</v>
      </c>
      <c r="B326" s="971" t="s">
        <v>2868</v>
      </c>
      <c r="C326" s="973"/>
      <c r="D326" s="973" t="s">
        <v>2869</v>
      </c>
      <c r="E326" s="1016">
        <f>'Ledger Load Template LGSvcs TEM'!AA227</f>
        <v>0</v>
      </c>
      <c r="G326" s="955"/>
      <c r="H326" s="955"/>
    </row>
    <row r="327" spans="1:8">
      <c r="A327" s="971" t="s">
        <v>2929</v>
      </c>
      <c r="B327" s="971" t="s">
        <v>2870</v>
      </c>
      <c r="C327" s="973"/>
      <c r="D327" s="973" t="s">
        <v>2871</v>
      </c>
      <c r="E327" s="1016">
        <f>'Ledger Load Template LGSvcs TEM'!AA228</f>
        <v>0</v>
      </c>
      <c r="G327" s="955"/>
      <c r="H327" s="955"/>
    </row>
    <row r="328" spans="1:8">
      <c r="A328" s="971" t="s">
        <v>2929</v>
      </c>
      <c r="B328" s="971" t="s">
        <v>2872</v>
      </c>
      <c r="C328" s="973"/>
      <c r="D328" s="973" t="s">
        <v>2873</v>
      </c>
      <c r="E328" s="1016">
        <f>'Ledger Load Template LGSvcs TEM'!AA229+'Ledger Load Template LGSvcs TEM'!AA230</f>
        <v>0</v>
      </c>
      <c r="G328" s="955"/>
      <c r="H328" s="955"/>
    </row>
    <row r="329" spans="1:8">
      <c r="A329" s="971" t="s">
        <v>2929</v>
      </c>
      <c r="B329" s="971" t="s">
        <v>2874</v>
      </c>
      <c r="C329" s="973"/>
      <c r="D329" s="973" t="s">
        <v>2875</v>
      </c>
      <c r="E329" s="1016">
        <f>'Ledger Load Template LGSvcs TEM'!AA231</f>
        <v>0</v>
      </c>
      <c r="G329" s="955"/>
      <c r="H329" s="955"/>
    </row>
    <row r="330" spans="1:8">
      <c r="A330" s="971" t="s">
        <v>2929</v>
      </c>
      <c r="B330" s="971" t="s">
        <v>2876</v>
      </c>
      <c r="C330" s="973"/>
      <c r="D330" s="973" t="s">
        <v>2877</v>
      </c>
      <c r="E330" s="1016">
        <f>'Ledger Load Template LGSvcs TEM'!AA232</f>
        <v>0</v>
      </c>
      <c r="G330" s="955"/>
      <c r="H330" s="955"/>
    </row>
    <row r="331" spans="1:8">
      <c r="A331" s="971" t="s">
        <v>2929</v>
      </c>
      <c r="B331" s="971" t="s">
        <v>2878</v>
      </c>
      <c r="C331" s="973"/>
      <c r="D331" s="973" t="s">
        <v>2879</v>
      </c>
      <c r="E331" s="1016">
        <f>'Ledger Load Template LGSvcs TEM'!AA233</f>
        <v>0</v>
      </c>
      <c r="G331" s="955"/>
      <c r="H331" s="955"/>
    </row>
    <row r="332" spans="1:8">
      <c r="A332" s="971" t="s">
        <v>2929</v>
      </c>
      <c r="B332" s="971" t="s">
        <v>2880</v>
      </c>
      <c r="C332" s="973"/>
      <c r="D332" s="973" t="s">
        <v>2881</v>
      </c>
      <c r="E332" s="1016">
        <f>'Ledger Load Template LGSvcs TEM'!AA234</f>
        <v>0</v>
      </c>
      <c r="G332" s="955"/>
      <c r="H332" s="955"/>
    </row>
    <row r="333" spans="1:8">
      <c r="A333" s="971" t="s">
        <v>2929</v>
      </c>
      <c r="B333" s="971" t="s">
        <v>2882</v>
      </c>
      <c r="C333" s="973"/>
      <c r="D333" s="973" t="s">
        <v>2883</v>
      </c>
      <c r="E333" s="1016">
        <f>'Ledger Load Template LGSvcs TEM'!AA236</f>
        <v>0</v>
      </c>
      <c r="G333" s="955"/>
      <c r="H333" s="955"/>
    </row>
    <row r="334" spans="1:8">
      <c r="A334" s="971" t="s">
        <v>2929</v>
      </c>
      <c r="B334" s="971" t="s">
        <v>2884</v>
      </c>
      <c r="C334" s="973"/>
      <c r="D334" s="973" t="s">
        <v>2885</v>
      </c>
      <c r="E334" s="1016">
        <f>'Ledger Load Template LGSvcs TEM'!AA237</f>
        <v>0</v>
      </c>
      <c r="G334" s="955"/>
      <c r="H334" s="955"/>
    </row>
    <row r="335" spans="1:8">
      <c r="A335" s="971" t="s">
        <v>2929</v>
      </c>
      <c r="B335" s="971" t="s">
        <v>2886</v>
      </c>
      <c r="C335" s="973"/>
      <c r="D335" s="973" t="s">
        <v>2887</v>
      </c>
      <c r="E335" s="1016">
        <f>'Ledger Load Template LGSvcs TEM'!AA238</f>
        <v>0</v>
      </c>
      <c r="G335" s="955"/>
      <c r="H335" s="955"/>
    </row>
    <row r="336" spans="1:8">
      <c r="A336" s="971" t="s">
        <v>2929</v>
      </c>
      <c r="B336" s="971" t="s">
        <v>2888</v>
      </c>
      <c r="C336" s="973"/>
      <c r="D336" s="973" t="s">
        <v>2889</v>
      </c>
      <c r="E336" s="1016">
        <f>'Ledger Load Template LGSvcs TEM'!AA239</f>
        <v>0</v>
      </c>
      <c r="G336" s="955"/>
      <c r="H336" s="955"/>
    </row>
    <row r="337" spans="1:8">
      <c r="A337" s="971" t="s">
        <v>2929</v>
      </c>
      <c r="B337" s="971" t="s">
        <v>2890</v>
      </c>
      <c r="C337" s="973"/>
      <c r="D337" s="973" t="s">
        <v>2891</v>
      </c>
      <c r="E337" s="1016">
        <f>'Ledger Load Template LGSvcs TEM'!AA240</f>
        <v>0</v>
      </c>
      <c r="G337" s="955"/>
      <c r="H337" s="955"/>
    </row>
    <row r="338" spans="1:8">
      <c r="A338" s="971" t="s">
        <v>2929</v>
      </c>
      <c r="B338" s="971" t="s">
        <v>2892</v>
      </c>
      <c r="C338" s="973"/>
      <c r="D338" s="973" t="s">
        <v>2893</v>
      </c>
      <c r="E338" s="1016">
        <f>'Ledger Load Template LGSvcs TEM'!AA241</f>
        <v>0</v>
      </c>
      <c r="G338" s="1768" t="s">
        <v>2894</v>
      </c>
      <c r="H338" s="1768"/>
    </row>
    <row r="339" spans="1:8" ht="13.5" thickBot="1">
      <c r="A339" s="971" t="s">
        <v>2929</v>
      </c>
      <c r="B339" s="971" t="s">
        <v>2895</v>
      </c>
      <c r="C339" s="973"/>
      <c r="D339" s="973" t="s">
        <v>2896</v>
      </c>
      <c r="E339" s="1016">
        <f>'Ledger Load Template LGSvcs TEM'!AA242</f>
        <v>0</v>
      </c>
      <c r="H339" s="983">
        <f>SUM(E293:E339)</f>
        <v>0</v>
      </c>
    </row>
    <row r="340" spans="1:8" ht="13.5" thickTop="1">
      <c r="A340" s="1772" t="s">
        <v>2934</v>
      </c>
      <c r="B340" s="1773"/>
      <c r="C340" s="1773"/>
      <c r="D340" s="1773"/>
      <c r="E340" s="1774"/>
      <c r="G340" s="955"/>
      <c r="H340" s="955"/>
    </row>
    <row r="341" spans="1:8">
      <c r="A341" s="971" t="s">
        <v>2929</v>
      </c>
      <c r="B341" s="974" t="s">
        <v>2898</v>
      </c>
      <c r="C341" s="984" t="s">
        <v>2899</v>
      </c>
      <c r="D341" s="973" t="s">
        <v>2900</v>
      </c>
      <c r="E341" s="1016">
        <f>'Ledger Load Template LGSvcs TEM'!AA243</f>
        <v>0</v>
      </c>
      <c r="G341" s="955"/>
      <c r="H341" s="955"/>
    </row>
    <row r="342" spans="1:8">
      <c r="A342" s="971" t="s">
        <v>2929</v>
      </c>
      <c r="B342" s="974" t="s">
        <v>2898</v>
      </c>
      <c r="C342" s="984" t="s">
        <v>2901</v>
      </c>
      <c r="D342" s="973" t="s">
        <v>2900</v>
      </c>
      <c r="E342" s="1016">
        <f>'Ledger Load Template LGSvcs TEM'!AA244</f>
        <v>0</v>
      </c>
      <c r="G342" s="955"/>
      <c r="H342" s="955"/>
    </row>
    <row r="343" spans="1:8">
      <c r="A343" s="971" t="s">
        <v>2929</v>
      </c>
      <c r="B343" s="974" t="s">
        <v>2898</v>
      </c>
      <c r="C343" s="984" t="s">
        <v>2902</v>
      </c>
      <c r="D343" s="973" t="s">
        <v>302</v>
      </c>
      <c r="E343" s="1016">
        <f>'Ledger Load Template LGSvcs TEM'!AA245</f>
        <v>0</v>
      </c>
      <c r="G343" s="955"/>
      <c r="H343" s="955"/>
    </row>
    <row r="344" spans="1:8">
      <c r="A344" s="971" t="s">
        <v>2929</v>
      </c>
      <c r="B344" s="974" t="s">
        <v>2898</v>
      </c>
      <c r="C344" s="984" t="s">
        <v>2903</v>
      </c>
      <c r="D344" s="973" t="s">
        <v>302</v>
      </c>
      <c r="E344" s="1016">
        <f>'Ledger Load Template LGSvcs TEM'!AA246</f>
        <v>0</v>
      </c>
      <c r="G344" s="955"/>
      <c r="H344" s="955"/>
    </row>
    <row r="345" spans="1:8">
      <c r="A345" s="971" t="s">
        <v>2929</v>
      </c>
      <c r="B345" s="974" t="s">
        <v>2898</v>
      </c>
      <c r="C345" s="984" t="s">
        <v>2904</v>
      </c>
      <c r="D345" s="973" t="s">
        <v>302</v>
      </c>
      <c r="E345" s="1016">
        <f>'Ledger Load Template LGSvcs TEM'!AA247</f>
        <v>0</v>
      </c>
      <c r="G345" s="955"/>
      <c r="H345" s="955"/>
    </row>
    <row r="346" spans="1:8">
      <c r="A346" s="971" t="s">
        <v>2929</v>
      </c>
      <c r="B346" s="974" t="s">
        <v>2905</v>
      </c>
      <c r="C346" s="984" t="s">
        <v>2899</v>
      </c>
      <c r="D346" s="973" t="s">
        <v>1039</v>
      </c>
      <c r="E346" s="1016">
        <f>'Ledger Load Template LGSvcs TEM'!AA248</f>
        <v>0</v>
      </c>
      <c r="G346" s="955"/>
      <c r="H346" s="955"/>
    </row>
    <row r="347" spans="1:8">
      <c r="A347" s="971" t="s">
        <v>2929</v>
      </c>
      <c r="B347" s="974" t="s">
        <v>2905</v>
      </c>
      <c r="C347" s="984" t="s">
        <v>2901</v>
      </c>
      <c r="D347" s="973" t="s">
        <v>1039</v>
      </c>
      <c r="E347" s="1016">
        <f>'Ledger Load Template LGSvcs TEM'!AA249</f>
        <v>0</v>
      </c>
      <c r="G347" s="955"/>
      <c r="H347" s="955"/>
    </row>
    <row r="348" spans="1:8">
      <c r="A348" s="971" t="s">
        <v>2929</v>
      </c>
      <c r="B348" s="974" t="s">
        <v>2905</v>
      </c>
      <c r="C348" s="984" t="s">
        <v>2902</v>
      </c>
      <c r="D348" s="973" t="s">
        <v>1039</v>
      </c>
      <c r="E348" s="1016">
        <f>'Ledger Load Template LGSvcs TEM'!AA250</f>
        <v>0</v>
      </c>
      <c r="G348" s="955"/>
      <c r="H348" s="955"/>
    </row>
    <row r="349" spans="1:8">
      <c r="A349" s="971" t="s">
        <v>2929</v>
      </c>
      <c r="B349" s="974" t="s">
        <v>2905</v>
      </c>
      <c r="C349" s="984" t="s">
        <v>2903</v>
      </c>
      <c r="D349" s="973" t="s">
        <v>1039</v>
      </c>
      <c r="E349" s="1016">
        <f>'Ledger Load Template LGSvcs TEM'!AA251</f>
        <v>0</v>
      </c>
      <c r="G349" s="955"/>
      <c r="H349" s="955"/>
    </row>
    <row r="350" spans="1:8">
      <c r="A350" s="971" t="s">
        <v>2929</v>
      </c>
      <c r="B350" s="974" t="s">
        <v>2905</v>
      </c>
      <c r="C350" s="984" t="s">
        <v>2904</v>
      </c>
      <c r="D350" s="973" t="s">
        <v>1039</v>
      </c>
      <c r="E350" s="1016">
        <f>'Ledger Load Template LGSvcs TEM'!AA252</f>
        <v>0</v>
      </c>
      <c r="G350" s="955"/>
      <c r="H350" s="955"/>
    </row>
    <row r="351" spans="1:8">
      <c r="A351" s="971" t="s">
        <v>2929</v>
      </c>
      <c r="B351" s="974" t="s">
        <v>2906</v>
      </c>
      <c r="C351" s="984" t="s">
        <v>2899</v>
      </c>
      <c r="D351" s="973" t="s">
        <v>1040</v>
      </c>
      <c r="E351" s="1016">
        <f>'Ledger Load Template LGSvcs TEM'!AA253</f>
        <v>0</v>
      </c>
      <c r="G351" s="955"/>
      <c r="H351" s="955"/>
    </row>
    <row r="352" spans="1:8">
      <c r="A352" s="971" t="s">
        <v>2929</v>
      </c>
      <c r="B352" s="974" t="s">
        <v>2906</v>
      </c>
      <c r="C352" s="984" t="s">
        <v>2901</v>
      </c>
      <c r="D352" s="973" t="s">
        <v>1040</v>
      </c>
      <c r="E352" s="1016">
        <f>'Ledger Load Template LGSvcs TEM'!AA254</f>
        <v>0</v>
      </c>
      <c r="G352" s="955"/>
      <c r="H352" s="955"/>
    </row>
    <row r="353" spans="1:8">
      <c r="A353" s="971" t="s">
        <v>2929</v>
      </c>
      <c r="B353" s="974" t="s">
        <v>2906</v>
      </c>
      <c r="C353" s="984" t="s">
        <v>2902</v>
      </c>
      <c r="D353" s="973" t="s">
        <v>1040</v>
      </c>
      <c r="E353" s="1016">
        <f>'Ledger Load Template LGSvcs TEM'!AA255</f>
        <v>0</v>
      </c>
      <c r="G353" s="955"/>
      <c r="H353" s="955"/>
    </row>
    <row r="354" spans="1:8">
      <c r="A354" s="971" t="s">
        <v>2929</v>
      </c>
      <c r="B354" s="974" t="s">
        <v>2906</v>
      </c>
      <c r="C354" s="984" t="s">
        <v>2903</v>
      </c>
      <c r="D354" s="973" t="s">
        <v>1040</v>
      </c>
      <c r="E354" s="1016">
        <f>'Ledger Load Template LGSvcs TEM'!AA256</f>
        <v>0</v>
      </c>
      <c r="G354" s="955"/>
      <c r="H354" s="955"/>
    </row>
    <row r="355" spans="1:8">
      <c r="A355" s="971" t="s">
        <v>2929</v>
      </c>
      <c r="B355" s="974" t="s">
        <v>2906</v>
      </c>
      <c r="C355" s="984" t="s">
        <v>2904</v>
      </c>
      <c r="D355" s="973" t="s">
        <v>1040</v>
      </c>
      <c r="E355" s="1016">
        <f>'Ledger Load Template LGSvcs TEM'!AA257</f>
        <v>0</v>
      </c>
      <c r="G355" s="955"/>
      <c r="H355" s="955"/>
    </row>
    <row r="356" spans="1:8">
      <c r="A356" s="971" t="s">
        <v>2929</v>
      </c>
      <c r="B356" s="974" t="s">
        <v>2907</v>
      </c>
      <c r="C356" s="984" t="s">
        <v>2899</v>
      </c>
      <c r="D356" s="973" t="s">
        <v>1041</v>
      </c>
      <c r="E356" s="1016">
        <f>'Ledger Load Template LGSvcs TEM'!AA258</f>
        <v>0</v>
      </c>
      <c r="G356" s="955"/>
      <c r="H356" s="955"/>
    </row>
    <row r="357" spans="1:8">
      <c r="A357" s="971" t="s">
        <v>2929</v>
      </c>
      <c r="B357" s="974" t="s">
        <v>2907</v>
      </c>
      <c r="C357" s="984" t="s">
        <v>2901</v>
      </c>
      <c r="D357" s="973" t="s">
        <v>1041</v>
      </c>
      <c r="E357" s="1016">
        <f>'Ledger Load Template LGSvcs TEM'!AA259</f>
        <v>0</v>
      </c>
      <c r="G357" s="955"/>
      <c r="H357" s="955"/>
    </row>
    <row r="358" spans="1:8">
      <c r="A358" s="971" t="s">
        <v>2929</v>
      </c>
      <c r="B358" s="974" t="s">
        <v>2907</v>
      </c>
      <c r="C358" s="984" t="s">
        <v>2902</v>
      </c>
      <c r="D358" s="973" t="s">
        <v>1041</v>
      </c>
      <c r="E358" s="1016">
        <f>'Ledger Load Template LGSvcs TEM'!AA260</f>
        <v>0</v>
      </c>
      <c r="G358" s="955"/>
      <c r="H358" s="955"/>
    </row>
    <row r="359" spans="1:8">
      <c r="A359" s="971" t="s">
        <v>2929</v>
      </c>
      <c r="B359" s="974" t="s">
        <v>2907</v>
      </c>
      <c r="C359" s="984" t="s">
        <v>2903</v>
      </c>
      <c r="D359" s="973" t="s">
        <v>1041</v>
      </c>
      <c r="E359" s="1016">
        <f>'Ledger Load Template LGSvcs TEM'!AA261</f>
        <v>0</v>
      </c>
      <c r="G359" s="955"/>
      <c r="H359" s="955"/>
    </row>
    <row r="360" spans="1:8">
      <c r="A360" s="971" t="s">
        <v>2929</v>
      </c>
      <c r="B360" s="974" t="s">
        <v>2907</v>
      </c>
      <c r="C360" s="984" t="s">
        <v>2904</v>
      </c>
      <c r="D360" s="973" t="s">
        <v>1041</v>
      </c>
      <c r="E360" s="1016">
        <f>'Ledger Load Template LGSvcs TEM'!AA262</f>
        <v>0</v>
      </c>
      <c r="G360" s="955"/>
      <c r="H360" s="955"/>
    </row>
    <row r="361" spans="1:8">
      <c r="A361" s="971" t="s">
        <v>2929</v>
      </c>
      <c r="B361" s="974" t="s">
        <v>2908</v>
      </c>
      <c r="C361" s="984" t="s">
        <v>2899</v>
      </c>
      <c r="D361" s="973" t="s">
        <v>1042</v>
      </c>
      <c r="E361" s="1016">
        <f>'Ledger Load Template LGSvcs TEM'!AA263</f>
        <v>0</v>
      </c>
      <c r="G361" s="955"/>
      <c r="H361" s="955"/>
    </row>
    <row r="362" spans="1:8">
      <c r="A362" s="971" t="s">
        <v>2929</v>
      </c>
      <c r="B362" s="974" t="s">
        <v>2908</v>
      </c>
      <c r="C362" s="984" t="s">
        <v>2901</v>
      </c>
      <c r="D362" s="973" t="s">
        <v>1042</v>
      </c>
      <c r="E362" s="1016">
        <f>'Ledger Load Template LGSvcs TEM'!AA264</f>
        <v>0</v>
      </c>
      <c r="G362" s="955"/>
      <c r="H362" s="955"/>
    </row>
    <row r="363" spans="1:8">
      <c r="A363" s="971" t="s">
        <v>2929</v>
      </c>
      <c r="B363" s="974" t="s">
        <v>2908</v>
      </c>
      <c r="C363" s="984" t="s">
        <v>2902</v>
      </c>
      <c r="D363" s="973" t="s">
        <v>1042</v>
      </c>
      <c r="E363" s="1016">
        <f>'Ledger Load Template LGSvcs TEM'!AA265</f>
        <v>0</v>
      </c>
      <c r="G363" s="955"/>
      <c r="H363" s="955"/>
    </row>
    <row r="364" spans="1:8">
      <c r="A364" s="971" t="s">
        <v>2929</v>
      </c>
      <c r="B364" s="974" t="s">
        <v>2908</v>
      </c>
      <c r="C364" s="984" t="s">
        <v>2903</v>
      </c>
      <c r="D364" s="973" t="s">
        <v>1042</v>
      </c>
      <c r="E364" s="1016">
        <f>'Ledger Load Template LGSvcs TEM'!AA266</f>
        <v>0</v>
      </c>
      <c r="G364" s="955"/>
      <c r="H364" s="955"/>
    </row>
    <row r="365" spans="1:8">
      <c r="A365" s="971" t="s">
        <v>2929</v>
      </c>
      <c r="B365" s="974" t="s">
        <v>2908</v>
      </c>
      <c r="C365" s="984" t="s">
        <v>2904</v>
      </c>
      <c r="D365" s="973" t="s">
        <v>1042</v>
      </c>
      <c r="E365" s="1016">
        <f>'Ledger Load Template LGSvcs TEM'!AA267</f>
        <v>0</v>
      </c>
      <c r="G365" s="955"/>
      <c r="H365" s="955"/>
    </row>
    <row r="366" spans="1:8">
      <c r="A366" s="971" t="s">
        <v>2929</v>
      </c>
      <c r="B366" s="974" t="s">
        <v>2909</v>
      </c>
      <c r="C366" s="984" t="s">
        <v>2899</v>
      </c>
      <c r="D366" s="973" t="s">
        <v>1043</v>
      </c>
      <c r="E366" s="1016">
        <f>'Ledger Load Template LGSvcs TEM'!AA268</f>
        <v>0</v>
      </c>
      <c r="G366" s="955"/>
      <c r="H366" s="955"/>
    </row>
    <row r="367" spans="1:8">
      <c r="A367" s="971" t="s">
        <v>2929</v>
      </c>
      <c r="B367" s="974" t="s">
        <v>2909</v>
      </c>
      <c r="C367" s="984" t="s">
        <v>2901</v>
      </c>
      <c r="D367" s="973" t="s">
        <v>1043</v>
      </c>
      <c r="E367" s="1016">
        <f>'Ledger Load Template LGSvcs TEM'!AA269</f>
        <v>0</v>
      </c>
      <c r="G367" s="955"/>
      <c r="H367" s="955"/>
    </row>
    <row r="368" spans="1:8">
      <c r="A368" s="971" t="s">
        <v>2929</v>
      </c>
      <c r="B368" s="974" t="s">
        <v>2909</v>
      </c>
      <c r="C368" s="984" t="s">
        <v>2902</v>
      </c>
      <c r="D368" s="973" t="s">
        <v>1043</v>
      </c>
      <c r="E368" s="1016">
        <f>'Ledger Load Template LGSvcs TEM'!AA270</f>
        <v>0</v>
      </c>
      <c r="G368" s="955"/>
      <c r="H368" s="955"/>
    </row>
    <row r="369" spans="1:8">
      <c r="A369" s="971" t="s">
        <v>2929</v>
      </c>
      <c r="B369" s="974" t="s">
        <v>2909</v>
      </c>
      <c r="C369" s="984" t="s">
        <v>2903</v>
      </c>
      <c r="D369" s="973" t="s">
        <v>1043</v>
      </c>
      <c r="E369" s="1016">
        <f>'Ledger Load Template LGSvcs TEM'!AA271</f>
        <v>0</v>
      </c>
      <c r="G369" s="955"/>
      <c r="H369" s="955"/>
    </row>
    <row r="370" spans="1:8">
      <c r="A370" s="971" t="s">
        <v>2929</v>
      </c>
      <c r="B370" s="974" t="s">
        <v>2909</v>
      </c>
      <c r="C370" s="984" t="s">
        <v>2904</v>
      </c>
      <c r="D370" s="973" t="s">
        <v>1043</v>
      </c>
      <c r="E370" s="1016">
        <f>'Ledger Load Template LGSvcs TEM'!AA272</f>
        <v>0</v>
      </c>
      <c r="G370" s="955"/>
      <c r="H370" s="955"/>
    </row>
    <row r="371" spans="1:8">
      <c r="A371" s="971" t="s">
        <v>2929</v>
      </c>
      <c r="B371" s="974" t="s">
        <v>2910</v>
      </c>
      <c r="C371" s="984" t="s">
        <v>2899</v>
      </c>
      <c r="D371" s="973" t="s">
        <v>1044</v>
      </c>
      <c r="E371" s="1016">
        <f>'Ledger Load Template LGSvcs TEM'!AA273</f>
        <v>0</v>
      </c>
      <c r="G371" s="955"/>
      <c r="H371" s="955"/>
    </row>
    <row r="372" spans="1:8">
      <c r="A372" s="971" t="s">
        <v>2929</v>
      </c>
      <c r="B372" s="974" t="s">
        <v>2910</v>
      </c>
      <c r="C372" s="984" t="s">
        <v>2901</v>
      </c>
      <c r="D372" s="973" t="s">
        <v>1044</v>
      </c>
      <c r="E372" s="1016">
        <f>'Ledger Load Template LGSvcs TEM'!AA274</f>
        <v>0</v>
      </c>
      <c r="G372" s="955"/>
      <c r="H372" s="955"/>
    </row>
    <row r="373" spans="1:8">
      <c r="A373" s="971" t="s">
        <v>2929</v>
      </c>
      <c r="B373" s="974" t="s">
        <v>2910</v>
      </c>
      <c r="C373" s="984" t="s">
        <v>2902</v>
      </c>
      <c r="D373" s="973" t="s">
        <v>1044</v>
      </c>
      <c r="E373" s="1016">
        <f>'Ledger Load Template LGSvcs TEM'!AA275</f>
        <v>0</v>
      </c>
      <c r="G373" s="955"/>
      <c r="H373" s="955"/>
    </row>
    <row r="374" spans="1:8">
      <c r="A374" s="971" t="s">
        <v>2929</v>
      </c>
      <c r="B374" s="971" t="s">
        <v>2910</v>
      </c>
      <c r="C374" s="984" t="s">
        <v>2903</v>
      </c>
      <c r="D374" s="973" t="s">
        <v>1044</v>
      </c>
      <c r="E374" s="1016">
        <f>'Ledger Load Template LGSvcs TEM'!AA276</f>
        <v>0</v>
      </c>
      <c r="G374" s="955"/>
      <c r="H374" s="955"/>
    </row>
    <row r="375" spans="1:8">
      <c r="A375" s="971" t="s">
        <v>2929</v>
      </c>
      <c r="B375" s="971" t="s">
        <v>2910</v>
      </c>
      <c r="C375" s="984" t="s">
        <v>2904</v>
      </c>
      <c r="D375" s="973" t="s">
        <v>1044</v>
      </c>
      <c r="E375" s="1016">
        <f>'Ledger Load Template LGSvcs TEM'!AA277</f>
        <v>0</v>
      </c>
      <c r="G375" s="955"/>
      <c r="H375" s="955"/>
    </row>
    <row r="376" spans="1:8">
      <c r="A376" s="971" t="s">
        <v>2929</v>
      </c>
      <c r="B376" s="971" t="s">
        <v>2911</v>
      </c>
      <c r="C376" s="984" t="s">
        <v>2899</v>
      </c>
      <c r="D376" s="973" t="s">
        <v>1088</v>
      </c>
      <c r="E376" s="1016">
        <f>'Ledger Load Template LGSvcs TEM'!AA278</f>
        <v>0</v>
      </c>
      <c r="G376" s="955"/>
      <c r="H376" s="955"/>
    </row>
    <row r="377" spans="1:8">
      <c r="A377" s="971" t="s">
        <v>2929</v>
      </c>
      <c r="B377" s="971" t="s">
        <v>2911</v>
      </c>
      <c r="C377" s="984" t="s">
        <v>2901</v>
      </c>
      <c r="D377" s="973" t="s">
        <v>1088</v>
      </c>
      <c r="E377" s="1016">
        <f>'Ledger Load Template LGSvcs TEM'!AA279</f>
        <v>0</v>
      </c>
      <c r="G377" s="955"/>
      <c r="H377" s="955"/>
    </row>
    <row r="378" spans="1:8">
      <c r="A378" s="971" t="s">
        <v>2929</v>
      </c>
      <c r="B378" s="971" t="s">
        <v>2911</v>
      </c>
      <c r="C378" s="984" t="s">
        <v>2902</v>
      </c>
      <c r="D378" s="973" t="s">
        <v>1088</v>
      </c>
      <c r="E378" s="1016">
        <f>'Ledger Load Template LGSvcs TEM'!AA280</f>
        <v>0</v>
      </c>
      <c r="G378" s="955"/>
      <c r="H378" s="955"/>
    </row>
    <row r="379" spans="1:8">
      <c r="A379" s="971" t="s">
        <v>2929</v>
      </c>
      <c r="B379" s="971" t="s">
        <v>2911</v>
      </c>
      <c r="C379" s="984" t="s">
        <v>2903</v>
      </c>
      <c r="D379" s="973" t="s">
        <v>1088</v>
      </c>
      <c r="E379" s="1016">
        <f>'Ledger Load Template LGSvcs TEM'!AA281</f>
        <v>0</v>
      </c>
      <c r="G379" s="955"/>
      <c r="H379" s="955"/>
    </row>
    <row r="380" spans="1:8">
      <c r="A380" s="971" t="s">
        <v>2929</v>
      </c>
      <c r="B380" s="971" t="s">
        <v>2911</v>
      </c>
      <c r="C380" s="984" t="s">
        <v>2904</v>
      </c>
      <c r="D380" s="973" t="s">
        <v>1088</v>
      </c>
      <c r="E380" s="1016">
        <f>'Ledger Load Template LGSvcs TEM'!AA282</f>
        <v>0</v>
      </c>
      <c r="G380" s="955"/>
      <c r="H380" s="955"/>
    </row>
    <row r="381" spans="1:8">
      <c r="A381" s="971" t="s">
        <v>2929</v>
      </c>
      <c r="B381" s="971" t="s">
        <v>2912</v>
      </c>
      <c r="C381" s="984" t="s">
        <v>2899</v>
      </c>
      <c r="D381" s="973" t="s">
        <v>1089</v>
      </c>
      <c r="E381" s="1016">
        <f>'Ledger Load Template LGSvcs TEM'!AA283</f>
        <v>0</v>
      </c>
      <c r="G381" s="955"/>
      <c r="H381" s="955"/>
    </row>
    <row r="382" spans="1:8">
      <c r="A382" s="971" t="s">
        <v>2929</v>
      </c>
      <c r="B382" s="971" t="s">
        <v>2912</v>
      </c>
      <c r="C382" s="984" t="s">
        <v>2901</v>
      </c>
      <c r="D382" s="973" t="s">
        <v>1089</v>
      </c>
      <c r="E382" s="1016">
        <f>'Ledger Load Template LGSvcs TEM'!AA284</f>
        <v>0</v>
      </c>
      <c r="G382" s="955"/>
      <c r="H382" s="955"/>
    </row>
    <row r="383" spans="1:8">
      <c r="A383" s="971" t="s">
        <v>2929</v>
      </c>
      <c r="B383" s="971" t="s">
        <v>2912</v>
      </c>
      <c r="C383" s="984" t="s">
        <v>2902</v>
      </c>
      <c r="D383" s="973" t="s">
        <v>1089</v>
      </c>
      <c r="E383" s="1016">
        <f>'Ledger Load Template LGSvcs TEM'!AA285</f>
        <v>0</v>
      </c>
      <c r="G383" s="955"/>
      <c r="H383" s="955"/>
    </row>
    <row r="384" spans="1:8">
      <c r="A384" s="971" t="s">
        <v>2929</v>
      </c>
      <c r="B384" s="971" t="s">
        <v>2912</v>
      </c>
      <c r="C384" s="984" t="s">
        <v>2903</v>
      </c>
      <c r="D384" s="973" t="s">
        <v>1089</v>
      </c>
      <c r="E384" s="1016">
        <f>'Ledger Load Template LGSvcs TEM'!AA286</f>
        <v>0</v>
      </c>
      <c r="G384" s="955"/>
      <c r="H384" s="955"/>
    </row>
    <row r="385" spans="1:8">
      <c r="A385" s="971" t="s">
        <v>2929</v>
      </c>
      <c r="B385" s="971" t="s">
        <v>2912</v>
      </c>
      <c r="C385" s="984" t="s">
        <v>2904</v>
      </c>
      <c r="D385" s="973" t="s">
        <v>1089</v>
      </c>
      <c r="E385" s="1016">
        <f>'Ledger Load Template LGSvcs TEM'!AA287</f>
        <v>0</v>
      </c>
      <c r="G385" s="955"/>
      <c r="H385" s="955"/>
    </row>
    <row r="386" spans="1:8">
      <c r="A386" s="971" t="s">
        <v>2929</v>
      </c>
      <c r="B386" s="971" t="s">
        <v>2913</v>
      </c>
      <c r="C386" s="984" t="s">
        <v>2899</v>
      </c>
      <c r="D386" s="973" t="s">
        <v>2914</v>
      </c>
      <c r="E386" s="1016">
        <f>'Ledger Load Template LGSvcs TEM'!AA288</f>
        <v>0</v>
      </c>
      <c r="G386" s="955"/>
      <c r="H386" s="955"/>
    </row>
    <row r="387" spans="1:8">
      <c r="A387" s="971" t="s">
        <v>2929</v>
      </c>
      <c r="B387" s="971" t="s">
        <v>2913</v>
      </c>
      <c r="C387" s="984" t="s">
        <v>2901</v>
      </c>
      <c r="D387" s="973" t="s">
        <v>2914</v>
      </c>
      <c r="E387" s="1016">
        <f>'Ledger Load Template LGSvcs TEM'!AA289</f>
        <v>0</v>
      </c>
      <c r="G387" s="955"/>
      <c r="H387" s="955"/>
    </row>
    <row r="388" spans="1:8">
      <c r="A388" s="971" t="s">
        <v>2929</v>
      </c>
      <c r="B388" s="971" t="s">
        <v>2913</v>
      </c>
      <c r="C388" s="984" t="s">
        <v>2902</v>
      </c>
      <c r="D388" s="973" t="s">
        <v>2914</v>
      </c>
      <c r="E388" s="1016">
        <f>'Ledger Load Template LGSvcs TEM'!AA290</f>
        <v>0</v>
      </c>
      <c r="G388" s="955"/>
      <c r="H388" s="955"/>
    </row>
    <row r="389" spans="1:8">
      <c r="A389" s="971" t="s">
        <v>2929</v>
      </c>
      <c r="B389" s="971" t="s">
        <v>2913</v>
      </c>
      <c r="C389" s="984" t="s">
        <v>2903</v>
      </c>
      <c r="D389" s="973" t="s">
        <v>2914</v>
      </c>
      <c r="E389" s="1016">
        <f>'Ledger Load Template LGSvcs TEM'!AA291</f>
        <v>0</v>
      </c>
      <c r="G389" s="955"/>
      <c r="H389" s="955"/>
    </row>
    <row r="390" spans="1:8">
      <c r="A390" s="971" t="s">
        <v>2929</v>
      </c>
      <c r="B390" s="971" t="s">
        <v>2913</v>
      </c>
      <c r="C390" s="984" t="s">
        <v>2904</v>
      </c>
      <c r="D390" s="973" t="s">
        <v>2914</v>
      </c>
      <c r="E390" s="1016">
        <f>'Ledger Load Template LGSvcs TEM'!AA292</f>
        <v>0</v>
      </c>
      <c r="G390" s="955"/>
      <c r="H390" s="955"/>
    </row>
    <row r="391" spans="1:8">
      <c r="A391" s="971" t="s">
        <v>2929</v>
      </c>
      <c r="B391" s="971" t="s">
        <v>2915</v>
      </c>
      <c r="C391" s="984" t="s">
        <v>2899</v>
      </c>
      <c r="D391" s="973" t="s">
        <v>214</v>
      </c>
      <c r="E391" s="1016">
        <f>'Ledger Load Template LGSvcs TEM'!AA293</f>
        <v>0</v>
      </c>
      <c r="G391" s="955"/>
      <c r="H391" s="955"/>
    </row>
    <row r="392" spans="1:8">
      <c r="A392" s="971" t="s">
        <v>2929</v>
      </c>
      <c r="B392" s="971" t="s">
        <v>2915</v>
      </c>
      <c r="C392" s="984" t="s">
        <v>2901</v>
      </c>
      <c r="D392" s="973" t="s">
        <v>214</v>
      </c>
      <c r="E392" s="1016">
        <f>'Ledger Load Template LGSvcs TEM'!AA294</f>
        <v>0</v>
      </c>
      <c r="G392" s="955"/>
      <c r="H392" s="955"/>
    </row>
    <row r="393" spans="1:8">
      <c r="A393" s="971" t="s">
        <v>2929</v>
      </c>
      <c r="B393" s="971" t="s">
        <v>2915</v>
      </c>
      <c r="C393" s="984" t="s">
        <v>2902</v>
      </c>
      <c r="D393" s="973" t="s">
        <v>214</v>
      </c>
      <c r="E393" s="1016">
        <f>'Ledger Load Template LGSvcs TEM'!AA295</f>
        <v>0</v>
      </c>
      <c r="G393" s="955"/>
      <c r="H393" s="955"/>
    </row>
    <row r="394" spans="1:8">
      <c r="A394" s="971" t="s">
        <v>2929</v>
      </c>
      <c r="B394" s="971" t="s">
        <v>2915</v>
      </c>
      <c r="C394" s="984" t="s">
        <v>2903</v>
      </c>
      <c r="D394" s="973" t="s">
        <v>214</v>
      </c>
      <c r="E394" s="1016">
        <f>'Ledger Load Template LGSvcs TEM'!AA296</f>
        <v>0</v>
      </c>
      <c r="G394" s="955"/>
      <c r="H394" s="955"/>
    </row>
    <row r="395" spans="1:8">
      <c r="A395" s="971" t="s">
        <v>2929</v>
      </c>
      <c r="B395" s="971" t="s">
        <v>2915</v>
      </c>
      <c r="C395" s="984" t="s">
        <v>2904</v>
      </c>
      <c r="D395" s="973" t="s">
        <v>214</v>
      </c>
      <c r="E395" s="1016">
        <f>'Ledger Load Template LGSvcs TEM'!AA297</f>
        <v>0</v>
      </c>
      <c r="G395" s="955"/>
      <c r="H395" s="955"/>
    </row>
    <row r="396" spans="1:8">
      <c r="A396" s="971" t="s">
        <v>2929</v>
      </c>
      <c r="B396" s="971" t="s">
        <v>2916</v>
      </c>
      <c r="C396" s="984" t="s">
        <v>2899</v>
      </c>
      <c r="D396" s="973" t="s">
        <v>2917</v>
      </c>
      <c r="E396" s="1016">
        <f>'Ledger Load Template LGSvcs TEM'!AA298</f>
        <v>0</v>
      </c>
      <c r="G396" s="955"/>
      <c r="H396" s="955"/>
    </row>
    <row r="397" spans="1:8">
      <c r="A397" s="971" t="s">
        <v>2929</v>
      </c>
      <c r="B397" s="971" t="s">
        <v>2916</v>
      </c>
      <c r="C397" s="984" t="s">
        <v>2901</v>
      </c>
      <c r="D397" s="973" t="s">
        <v>2917</v>
      </c>
      <c r="E397" s="1016">
        <f>'Ledger Load Template LGSvcs TEM'!AA299</f>
        <v>0</v>
      </c>
      <c r="G397" s="955"/>
      <c r="H397" s="955"/>
    </row>
    <row r="398" spans="1:8">
      <c r="A398" s="971" t="s">
        <v>2929</v>
      </c>
      <c r="B398" s="971" t="s">
        <v>2916</v>
      </c>
      <c r="C398" s="984" t="s">
        <v>2902</v>
      </c>
      <c r="D398" s="973" t="s">
        <v>2917</v>
      </c>
      <c r="E398" s="1016">
        <f>'Ledger Load Template LGSvcs TEM'!AA300</f>
        <v>0</v>
      </c>
      <c r="G398" s="955"/>
      <c r="H398" s="955"/>
    </row>
    <row r="399" spans="1:8">
      <c r="A399" s="971" t="s">
        <v>2929</v>
      </c>
      <c r="B399" s="971" t="s">
        <v>2916</v>
      </c>
      <c r="C399" s="984" t="s">
        <v>2903</v>
      </c>
      <c r="D399" s="973" t="s">
        <v>2917</v>
      </c>
      <c r="E399" s="1016">
        <f>'Ledger Load Template LGSvcs TEM'!AA301</f>
        <v>0</v>
      </c>
      <c r="G399" s="1768" t="s">
        <v>2918</v>
      </c>
      <c r="H399" s="1768"/>
    </row>
    <row r="400" spans="1:8" ht="13.5" thickBot="1">
      <c r="A400" s="971" t="s">
        <v>2929</v>
      </c>
      <c r="B400" s="971" t="s">
        <v>2916</v>
      </c>
      <c r="C400" s="984" t="s">
        <v>2904</v>
      </c>
      <c r="D400" s="973" t="s">
        <v>2917</v>
      </c>
      <c r="E400" s="1016">
        <f>'Ledger Load Template LGSvcs TEM'!AA302</f>
        <v>0</v>
      </c>
      <c r="H400" s="983">
        <f>SUM(E341:E400)</f>
        <v>0</v>
      </c>
    </row>
    <row r="401" spans="1:8" ht="13.5" thickTop="1">
      <c r="A401" s="1778"/>
      <c r="B401" s="1779"/>
      <c r="C401" s="1779"/>
      <c r="D401" s="1779"/>
      <c r="E401" s="1780"/>
      <c r="G401" s="955"/>
      <c r="H401" s="955"/>
    </row>
    <row r="402" spans="1:8" ht="15.75">
      <c r="A402" s="1769" t="s">
        <v>2935</v>
      </c>
      <c r="B402" s="1770"/>
      <c r="C402" s="1770"/>
      <c r="D402" s="1770"/>
      <c r="E402" s="1771"/>
      <c r="G402" s="955"/>
      <c r="H402" s="955"/>
    </row>
    <row r="403" spans="1:8">
      <c r="A403" s="1772" t="s">
        <v>2936</v>
      </c>
      <c r="B403" s="1773"/>
      <c r="C403" s="1773"/>
      <c r="D403" s="1773"/>
      <c r="E403" s="1774"/>
      <c r="G403" s="955"/>
      <c r="H403" s="955"/>
    </row>
    <row r="404" spans="1:8">
      <c r="A404" s="971" t="s">
        <v>2937</v>
      </c>
      <c r="B404" s="968" t="s">
        <v>2764</v>
      </c>
      <c r="C404" s="973"/>
      <c r="D404" s="970" t="s">
        <v>2765</v>
      </c>
      <c r="E404" s="1014">
        <f>'Ledger Load Template LGSvcs TEM'!AA303</f>
        <v>15501.02</v>
      </c>
      <c r="G404" s="955"/>
      <c r="H404" s="955"/>
    </row>
    <row r="405" spans="1:8">
      <c r="A405" s="971" t="s">
        <v>2937</v>
      </c>
      <c r="B405" s="972" t="s">
        <v>2766</v>
      </c>
      <c r="C405" s="973"/>
      <c r="D405" s="973" t="s">
        <v>2767</v>
      </c>
      <c r="E405" s="1014">
        <f>'Ledger Load Template LGSvcs TEM'!AA304</f>
        <v>0</v>
      </c>
      <c r="G405" s="955"/>
      <c r="H405" s="955"/>
    </row>
    <row r="406" spans="1:8">
      <c r="A406" s="971" t="s">
        <v>2937</v>
      </c>
      <c r="B406" s="974" t="s">
        <v>2768</v>
      </c>
      <c r="C406" s="973"/>
      <c r="D406" s="973" t="s">
        <v>2769</v>
      </c>
      <c r="E406" s="1014">
        <f>'Ledger Load Template LGSvcs TEM'!AA305</f>
        <v>0</v>
      </c>
      <c r="G406" s="955"/>
      <c r="H406" s="955"/>
    </row>
    <row r="407" spans="1:8">
      <c r="A407" s="971" t="s">
        <v>2937</v>
      </c>
      <c r="B407" s="974" t="s">
        <v>2770</v>
      </c>
      <c r="C407" s="973"/>
      <c r="D407" s="973" t="s">
        <v>2771</v>
      </c>
      <c r="E407" s="1014">
        <f>'Ledger Load Template LGSvcs TEM'!AA306</f>
        <v>0</v>
      </c>
      <c r="G407" s="955"/>
      <c r="H407" s="955"/>
    </row>
    <row r="408" spans="1:8">
      <c r="A408" s="971" t="s">
        <v>2937</v>
      </c>
      <c r="B408" s="974" t="s">
        <v>2772</v>
      </c>
      <c r="C408" s="973"/>
      <c r="D408" s="973" t="s">
        <v>2773</v>
      </c>
      <c r="E408" s="1014">
        <f>'Ledger Load Template LGSvcs TEM'!AA307</f>
        <v>0</v>
      </c>
      <c r="G408" s="955"/>
      <c r="H408" s="955"/>
    </row>
    <row r="409" spans="1:8">
      <c r="A409" s="971" t="s">
        <v>2937</v>
      </c>
      <c r="B409" s="974" t="s">
        <v>2774</v>
      </c>
      <c r="C409" s="973"/>
      <c r="D409" s="973" t="s">
        <v>1065</v>
      </c>
      <c r="E409" s="1014">
        <f>'Ledger Load Template LGSvcs TEM'!AA308</f>
        <v>0</v>
      </c>
      <c r="G409" s="955"/>
      <c r="H409" s="955"/>
    </row>
    <row r="410" spans="1:8">
      <c r="A410" s="971" t="s">
        <v>2937</v>
      </c>
      <c r="B410" s="974" t="s">
        <v>2775</v>
      </c>
      <c r="C410" s="973"/>
      <c r="D410" s="973" t="s">
        <v>2776</v>
      </c>
      <c r="E410" s="1014">
        <f>'Ledger Load Template LGSvcs TEM'!AA309</f>
        <v>0</v>
      </c>
      <c r="G410" s="955"/>
      <c r="H410" s="955"/>
    </row>
    <row r="411" spans="1:8">
      <c r="A411" s="971" t="s">
        <v>2937</v>
      </c>
      <c r="B411" s="974" t="s">
        <v>2777</v>
      </c>
      <c r="C411" s="973"/>
      <c r="D411" s="973" t="s">
        <v>2778</v>
      </c>
      <c r="E411" s="1016"/>
      <c r="G411" s="955"/>
      <c r="H411" s="955"/>
    </row>
    <row r="412" spans="1:8">
      <c r="A412" s="971" t="s">
        <v>2937</v>
      </c>
      <c r="B412" s="974" t="s">
        <v>2779</v>
      </c>
      <c r="C412" s="973"/>
      <c r="D412" s="973" t="s">
        <v>2780</v>
      </c>
      <c r="E412" s="1016">
        <f>'Ledger Load Template LGSvcs TEM'!AA311</f>
        <v>0</v>
      </c>
      <c r="G412" s="955"/>
      <c r="H412" s="955"/>
    </row>
    <row r="413" spans="1:8">
      <c r="A413" s="1772" t="s">
        <v>2938</v>
      </c>
      <c r="B413" s="1773"/>
      <c r="C413" s="1773"/>
      <c r="D413" s="1773"/>
      <c r="E413" s="1774"/>
      <c r="G413" s="975" t="s">
        <v>2939</v>
      </c>
      <c r="H413" s="976"/>
    </row>
    <row r="414" spans="1:8">
      <c r="A414" s="971" t="s">
        <v>2937</v>
      </c>
      <c r="B414" s="971" t="s">
        <v>2783</v>
      </c>
      <c r="C414" s="973"/>
      <c r="D414" s="973" t="s">
        <v>2784</v>
      </c>
      <c r="E414" s="1016">
        <f>'Ledger Load Template LGSvcs TEM'!AA312</f>
        <v>0</v>
      </c>
      <c r="G414" s="977" t="s">
        <v>522</v>
      </c>
      <c r="H414" s="978">
        <f>E404+E405+E406+E407+E408+E409+E410+E411</f>
        <v>15501.02</v>
      </c>
    </row>
    <row r="415" spans="1:8">
      <c r="A415" s="971" t="s">
        <v>2937</v>
      </c>
      <c r="B415" s="971" t="s">
        <v>2786</v>
      </c>
      <c r="C415" s="973"/>
      <c r="D415" s="973" t="s">
        <v>2787</v>
      </c>
      <c r="E415" s="1016">
        <f>'Ledger Load Template LGSvcs TEM'!AA313</f>
        <v>0</v>
      </c>
      <c r="G415" s="977" t="s">
        <v>2788</v>
      </c>
      <c r="H415" s="978">
        <f>E412</f>
        <v>0</v>
      </c>
    </row>
    <row r="416" spans="1:8">
      <c r="A416" s="971" t="s">
        <v>2937</v>
      </c>
      <c r="B416" s="971" t="s">
        <v>2789</v>
      </c>
      <c r="C416" s="973"/>
      <c r="D416" s="973" t="s">
        <v>1908</v>
      </c>
      <c r="E416" s="1016">
        <f>'Ledger Load Template LGSvcs TEM'!AA315</f>
        <v>0</v>
      </c>
      <c r="G416" s="977"/>
      <c r="H416" s="978"/>
    </row>
    <row r="417" spans="1:8">
      <c r="A417" s="971" t="s">
        <v>2937</v>
      </c>
      <c r="B417" s="971" t="s">
        <v>2790</v>
      </c>
      <c r="C417" s="973"/>
      <c r="D417" s="973" t="s">
        <v>2791</v>
      </c>
      <c r="E417" s="1016">
        <f>'Ledger Load Template LGSvcs TEM'!AA316</f>
        <v>0</v>
      </c>
      <c r="G417" s="977" t="s">
        <v>1211</v>
      </c>
      <c r="H417" s="978">
        <f>E414+E415+E417</f>
        <v>0</v>
      </c>
    </row>
    <row r="418" spans="1:8">
      <c r="A418" s="1772" t="s">
        <v>2940</v>
      </c>
      <c r="B418" s="1773"/>
      <c r="C418" s="1773"/>
      <c r="D418" s="1773"/>
      <c r="E418" s="1774"/>
      <c r="G418" s="977" t="s">
        <v>2793</v>
      </c>
      <c r="H418" s="978">
        <f>E416</f>
        <v>0</v>
      </c>
    </row>
    <row r="419" spans="1:8">
      <c r="A419" s="971" t="s">
        <v>2937</v>
      </c>
      <c r="B419" s="971" t="s">
        <v>2794</v>
      </c>
      <c r="C419" s="973"/>
      <c r="D419" s="973" t="s">
        <v>2795</v>
      </c>
      <c r="E419" s="1016"/>
      <c r="G419" s="977"/>
      <c r="H419" s="978"/>
    </row>
    <row r="420" spans="1:8">
      <c r="A420" s="971" t="s">
        <v>2937</v>
      </c>
      <c r="B420" s="971" t="s">
        <v>2796</v>
      </c>
      <c r="C420" s="973"/>
      <c r="D420" s="973" t="s">
        <v>2797</v>
      </c>
      <c r="E420" s="1016"/>
      <c r="G420" s="977" t="s">
        <v>2798</v>
      </c>
      <c r="H420" s="978">
        <f>E419+E420+E421+E422</f>
        <v>-15501.02</v>
      </c>
    </row>
    <row r="421" spans="1:8">
      <c r="A421" s="971" t="s">
        <v>2937</v>
      </c>
      <c r="B421" s="971" t="s">
        <v>2799</v>
      </c>
      <c r="C421" s="973"/>
      <c r="D421" s="973" t="s">
        <v>2800</v>
      </c>
      <c r="E421" s="1016">
        <f>'Ledger Load Template LGSvcs TEM'!AA320</f>
        <v>-15501.02</v>
      </c>
      <c r="G421" s="979"/>
      <c r="H421" s="980"/>
    </row>
    <row r="422" spans="1:8" ht="13.5" thickBot="1">
      <c r="A422" s="971" t="s">
        <v>2937</v>
      </c>
      <c r="B422" s="971" t="s">
        <v>2801</v>
      </c>
      <c r="C422" s="973"/>
      <c r="D422" s="973" t="s">
        <v>2802</v>
      </c>
      <c r="E422" s="1016"/>
      <c r="G422" s="981" t="s">
        <v>2803</v>
      </c>
      <c r="H422" s="982">
        <f>H414+H415+H417+H418+H420</f>
        <v>0</v>
      </c>
    </row>
    <row r="423" spans="1:8" ht="13.5" thickTop="1">
      <c r="A423" s="1772" t="s">
        <v>2941</v>
      </c>
      <c r="B423" s="1773"/>
      <c r="C423" s="1773"/>
      <c r="D423" s="1773"/>
      <c r="E423" s="1774"/>
      <c r="G423" s="955"/>
      <c r="H423" s="955"/>
    </row>
    <row r="424" spans="1:8">
      <c r="A424" s="971" t="s">
        <v>2937</v>
      </c>
      <c r="B424" s="971" t="s">
        <v>2805</v>
      </c>
      <c r="C424" s="973"/>
      <c r="D424" s="973" t="s">
        <v>2806</v>
      </c>
      <c r="E424" s="1016">
        <f>'Ledger Load Template LGSvcs TEM'!AA322</f>
        <v>0</v>
      </c>
      <c r="G424" s="955"/>
      <c r="H424" s="955"/>
    </row>
    <row r="425" spans="1:8">
      <c r="A425" s="971" t="s">
        <v>2937</v>
      </c>
      <c r="B425" s="971" t="s">
        <v>2807</v>
      </c>
      <c r="C425" s="973"/>
      <c r="D425" s="973" t="s">
        <v>2808</v>
      </c>
      <c r="E425" s="1016">
        <f>'Ledger Load Template LGSvcs TEM'!AA323</f>
        <v>0</v>
      </c>
      <c r="G425" s="955"/>
      <c r="H425" s="955"/>
    </row>
    <row r="426" spans="1:8">
      <c r="A426" s="971" t="s">
        <v>2937</v>
      </c>
      <c r="B426" s="971" t="s">
        <v>2809</v>
      </c>
      <c r="C426" s="973"/>
      <c r="D426" s="973" t="s">
        <v>2810</v>
      </c>
      <c r="E426" s="1016">
        <f>'Ledger Load Template LGSvcs TEM'!AA324</f>
        <v>0</v>
      </c>
      <c r="G426" s="955"/>
      <c r="H426" s="955"/>
    </row>
    <row r="427" spans="1:8">
      <c r="A427" s="971" t="s">
        <v>2937</v>
      </c>
      <c r="B427" s="971" t="s">
        <v>2811</v>
      </c>
      <c r="C427" s="973"/>
      <c r="D427" s="973" t="s">
        <v>2812</v>
      </c>
      <c r="E427" s="1016">
        <f>'Ledger Load Template LGSvcs TEM'!AA325</f>
        <v>0</v>
      </c>
      <c r="G427" s="955"/>
      <c r="H427" s="955"/>
    </row>
    <row r="428" spans="1:8">
      <c r="A428" s="971" t="s">
        <v>2937</v>
      </c>
      <c r="B428" s="971" t="s">
        <v>2813</v>
      </c>
      <c r="C428" s="973"/>
      <c r="D428" s="973" t="s">
        <v>2814</v>
      </c>
      <c r="E428" s="1016">
        <f>'Ledger Load Template LGSvcs TEM'!AA326</f>
        <v>0</v>
      </c>
      <c r="G428" s="955"/>
      <c r="H428" s="955"/>
    </row>
    <row r="429" spans="1:8">
      <c r="A429" s="971" t="s">
        <v>2937</v>
      </c>
      <c r="B429" s="971" t="s">
        <v>2815</v>
      </c>
      <c r="C429" s="973"/>
      <c r="D429" s="973" t="s">
        <v>2816</v>
      </c>
      <c r="E429" s="1016">
        <f>'Ledger Load Template LGSvcs TEM'!AA327</f>
        <v>0</v>
      </c>
      <c r="G429" s="955"/>
      <c r="H429" s="955"/>
    </row>
    <row r="430" spans="1:8">
      <c r="A430" s="971" t="s">
        <v>2937</v>
      </c>
      <c r="B430" s="971" t="s">
        <v>2817</v>
      </c>
      <c r="C430" s="973"/>
      <c r="D430" s="973" t="s">
        <v>2818</v>
      </c>
      <c r="E430" s="1016">
        <f>'Ledger Load Template LGSvcs TEM'!AA328</f>
        <v>0</v>
      </c>
      <c r="G430" s="955"/>
      <c r="H430" s="955"/>
    </row>
    <row r="431" spans="1:8">
      <c r="A431" s="971" t="s">
        <v>2937</v>
      </c>
      <c r="B431" s="971" t="s">
        <v>2819</v>
      </c>
      <c r="C431" s="973"/>
      <c r="D431" s="973" t="s">
        <v>2820</v>
      </c>
      <c r="E431" s="1016">
        <f>'Ledger Load Template LGSvcs TEM'!AA329</f>
        <v>0</v>
      </c>
      <c r="G431" s="955"/>
      <c r="H431" s="955"/>
    </row>
    <row r="432" spans="1:8">
      <c r="A432" s="971" t="s">
        <v>2937</v>
      </c>
      <c r="B432" s="971" t="s">
        <v>2821</v>
      </c>
      <c r="C432" s="973"/>
      <c r="D432" s="973" t="s">
        <v>2822</v>
      </c>
      <c r="E432" s="1016">
        <f>'Ledger Load Template LGSvcs TEM'!AA330</f>
        <v>0</v>
      </c>
      <c r="G432" s="955"/>
      <c r="H432" s="955"/>
    </row>
    <row r="433" spans="1:8">
      <c r="A433" s="971" t="s">
        <v>2937</v>
      </c>
      <c r="B433" s="971" t="s">
        <v>2823</v>
      </c>
      <c r="C433" s="973"/>
      <c r="D433" s="973" t="s">
        <v>2824</v>
      </c>
      <c r="E433" s="1016">
        <f>'Ledger Load Template LGSvcs TEM'!AA331+'Ledger Load Template LGSvcs TEM'!AA332</f>
        <v>0</v>
      </c>
      <c r="G433" s="955"/>
      <c r="H433" s="955"/>
    </row>
    <row r="434" spans="1:8">
      <c r="A434" s="971" t="s">
        <v>2937</v>
      </c>
      <c r="B434" s="971" t="s">
        <v>2825</v>
      </c>
      <c r="C434" s="973"/>
      <c r="D434" s="973" t="s">
        <v>2826</v>
      </c>
      <c r="E434" s="1016">
        <f>'Ledger Load Template LGSvcs TEM'!AA333</f>
        <v>0</v>
      </c>
      <c r="G434" s="955"/>
      <c r="H434" s="955"/>
    </row>
    <row r="435" spans="1:8">
      <c r="A435" s="971" t="s">
        <v>2937</v>
      </c>
      <c r="B435" s="971" t="s">
        <v>2827</v>
      </c>
      <c r="C435" s="973"/>
      <c r="D435" s="973" t="s">
        <v>2828</v>
      </c>
      <c r="E435" s="1016">
        <f>'Ledger Load Template LGSvcs TEM'!AA334</f>
        <v>0</v>
      </c>
      <c r="G435" s="955"/>
      <c r="H435" s="955"/>
    </row>
    <row r="436" spans="1:8">
      <c r="A436" s="971" t="s">
        <v>2937</v>
      </c>
      <c r="B436" s="971" t="s">
        <v>2829</v>
      </c>
      <c r="C436" s="973"/>
      <c r="D436" s="973" t="s">
        <v>2830</v>
      </c>
      <c r="E436" s="1016">
        <f>'Ledger Load Template LGSvcs TEM'!AA335</f>
        <v>0</v>
      </c>
      <c r="G436" s="955"/>
      <c r="H436" s="955"/>
    </row>
    <row r="437" spans="1:8">
      <c r="A437" s="971" t="s">
        <v>2937</v>
      </c>
      <c r="B437" s="971" t="s">
        <v>2831</v>
      </c>
      <c r="C437" s="973"/>
      <c r="D437" s="973" t="s">
        <v>2832</v>
      </c>
      <c r="E437" s="1016">
        <f>'Ledger Load Template LGSvcs TEM'!AA336</f>
        <v>0</v>
      </c>
      <c r="G437" s="955"/>
      <c r="H437" s="955"/>
    </row>
    <row r="438" spans="1:8">
      <c r="A438" s="971" t="s">
        <v>2937</v>
      </c>
      <c r="B438" s="971" t="s">
        <v>2833</v>
      </c>
      <c r="C438" s="973"/>
      <c r="D438" s="973" t="s">
        <v>2834</v>
      </c>
      <c r="E438" s="1016">
        <f>'Ledger Load Template LGSvcs TEM'!AA337</f>
        <v>0</v>
      </c>
      <c r="G438" s="955"/>
      <c r="H438" s="955"/>
    </row>
    <row r="439" spans="1:8">
      <c r="A439" s="971" t="s">
        <v>2937</v>
      </c>
      <c r="B439" s="971" t="s">
        <v>2835</v>
      </c>
      <c r="C439" s="973"/>
      <c r="D439" s="973" t="s">
        <v>2836</v>
      </c>
      <c r="E439" s="1016">
        <f>'Ledger Load Template LGSvcs TEM'!AA338</f>
        <v>0</v>
      </c>
      <c r="G439" s="955"/>
      <c r="H439" s="955"/>
    </row>
    <row r="440" spans="1:8">
      <c r="A440" s="971" t="s">
        <v>2937</v>
      </c>
      <c r="B440" s="971" t="s">
        <v>2837</v>
      </c>
      <c r="C440" s="973"/>
      <c r="D440" s="973" t="s">
        <v>2838</v>
      </c>
      <c r="E440" s="1016">
        <f>'Ledger Load Template LGSvcs TEM'!AA339</f>
        <v>0</v>
      </c>
      <c r="G440" s="955"/>
      <c r="H440" s="955"/>
    </row>
    <row r="441" spans="1:8">
      <c r="A441" s="971" t="s">
        <v>2937</v>
      </c>
      <c r="B441" s="971" t="s">
        <v>2839</v>
      </c>
      <c r="C441" s="973"/>
      <c r="D441" s="973" t="s">
        <v>2840</v>
      </c>
      <c r="E441" s="1016">
        <f>'Ledger Load Template LGSvcs TEM'!AA340</f>
        <v>0</v>
      </c>
      <c r="G441" s="955"/>
      <c r="H441" s="955"/>
    </row>
    <row r="442" spans="1:8">
      <c r="A442" s="971" t="s">
        <v>2937</v>
      </c>
      <c r="B442" s="971" t="s">
        <v>2841</v>
      </c>
      <c r="C442" s="973"/>
      <c r="D442" s="973" t="s">
        <v>2842</v>
      </c>
      <c r="E442" s="1016">
        <f>'Ledger Load Template LGSvcs TEM'!AA341+'Ledger Load Template LGSvcs TEM'!AA342</f>
        <v>0</v>
      </c>
      <c r="G442" s="955"/>
      <c r="H442" s="955"/>
    </row>
    <row r="443" spans="1:8">
      <c r="A443" s="971" t="s">
        <v>2937</v>
      </c>
      <c r="B443" s="971" t="s">
        <v>2843</v>
      </c>
      <c r="C443" s="973"/>
      <c r="D443" s="973" t="s">
        <v>2844</v>
      </c>
      <c r="E443" s="1016">
        <f>'Ledger Load Template LGSvcs TEM'!AA343</f>
        <v>0</v>
      </c>
      <c r="G443" s="955"/>
      <c r="H443" s="955"/>
    </row>
    <row r="444" spans="1:8">
      <c r="A444" s="971" t="s">
        <v>2937</v>
      </c>
      <c r="B444" s="971" t="s">
        <v>2845</v>
      </c>
      <c r="C444" s="973"/>
      <c r="D444" s="973" t="s">
        <v>2846</v>
      </c>
      <c r="E444" s="1016">
        <f>'Ledger Load Template LGSvcs TEM'!AA344</f>
        <v>0</v>
      </c>
      <c r="G444" s="955"/>
      <c r="H444" s="955"/>
    </row>
    <row r="445" spans="1:8">
      <c r="A445" s="971" t="s">
        <v>2937</v>
      </c>
      <c r="B445" s="971" t="s">
        <v>2847</v>
      </c>
      <c r="C445" s="973"/>
      <c r="D445" s="973" t="s">
        <v>2848</v>
      </c>
      <c r="E445" s="1016">
        <f>'Ledger Load Template LGSvcs TEM'!AA345</f>
        <v>0</v>
      </c>
      <c r="G445" s="955"/>
      <c r="H445" s="955"/>
    </row>
    <row r="446" spans="1:8">
      <c r="A446" s="971" t="s">
        <v>2937</v>
      </c>
      <c r="B446" s="971" t="s">
        <v>2849</v>
      </c>
      <c r="C446" s="973"/>
      <c r="D446" s="973" t="s">
        <v>1042</v>
      </c>
      <c r="E446" s="1016">
        <f>'Ledger Load Template LGSvcs TEM'!AA346</f>
        <v>0</v>
      </c>
      <c r="G446" s="955"/>
      <c r="H446" s="955"/>
    </row>
    <row r="447" spans="1:8">
      <c r="A447" s="971" t="s">
        <v>2937</v>
      </c>
      <c r="B447" s="971" t="s">
        <v>2850</v>
      </c>
      <c r="C447" s="973"/>
      <c r="D447" s="973" t="s">
        <v>2851</v>
      </c>
      <c r="E447" s="1016">
        <f>'Ledger Load Template LGSvcs TEM'!AA347</f>
        <v>0</v>
      </c>
      <c r="G447" s="955"/>
      <c r="H447" s="955"/>
    </row>
    <row r="448" spans="1:8">
      <c r="A448" s="971" t="s">
        <v>2937</v>
      </c>
      <c r="B448" s="971" t="s">
        <v>2852</v>
      </c>
      <c r="C448" s="973"/>
      <c r="D448" s="973" t="s">
        <v>2853</v>
      </c>
      <c r="E448" s="1016">
        <f>'Ledger Load Template LGSvcs TEM'!AA348+'Ledger Load Template LGSvcs TEM'!AA349</f>
        <v>0</v>
      </c>
      <c r="G448" s="955"/>
      <c r="H448" s="955"/>
    </row>
    <row r="449" spans="1:8">
      <c r="A449" s="971" t="s">
        <v>2937</v>
      </c>
      <c r="B449" s="971" t="s">
        <v>2854</v>
      </c>
      <c r="C449" s="973"/>
      <c r="D449" s="973" t="s">
        <v>2855</v>
      </c>
      <c r="E449" s="1016">
        <f>'Ledger Load Template LGSvcs TEM'!AA351</f>
        <v>0</v>
      </c>
      <c r="G449" s="955"/>
      <c r="H449" s="955"/>
    </row>
    <row r="450" spans="1:8">
      <c r="A450" s="971" t="s">
        <v>2937</v>
      </c>
      <c r="B450" s="971" t="s">
        <v>2856</v>
      </c>
      <c r="C450" s="973"/>
      <c r="D450" s="973" t="s">
        <v>2857</v>
      </c>
      <c r="E450" s="1016">
        <f>'Ledger Load Template LGSvcs TEM'!AA352</f>
        <v>0</v>
      </c>
      <c r="G450" s="955"/>
      <c r="H450" s="955"/>
    </row>
    <row r="451" spans="1:8">
      <c r="A451" s="971" t="s">
        <v>2937</v>
      </c>
      <c r="B451" s="971" t="s">
        <v>2858</v>
      </c>
      <c r="C451" s="973"/>
      <c r="D451" s="973" t="s">
        <v>2859</v>
      </c>
      <c r="E451" s="1016">
        <f>'Ledger Load Template LGSvcs TEM'!AA353</f>
        <v>0</v>
      </c>
      <c r="G451" s="955"/>
      <c r="H451" s="955"/>
    </row>
    <row r="452" spans="1:8">
      <c r="A452" s="971" t="s">
        <v>2937</v>
      </c>
      <c r="B452" s="971" t="s">
        <v>2860</v>
      </c>
      <c r="C452" s="973"/>
      <c r="D452" s="973" t="s">
        <v>2861</v>
      </c>
      <c r="E452" s="1016">
        <f>'Ledger Load Template LGSvcs TEM'!AA354</f>
        <v>0</v>
      </c>
      <c r="G452" s="955"/>
      <c r="H452" s="955"/>
    </row>
    <row r="453" spans="1:8">
      <c r="A453" s="971" t="s">
        <v>2937</v>
      </c>
      <c r="B453" s="971" t="s">
        <v>2862</v>
      </c>
      <c r="C453" s="973"/>
      <c r="D453" s="973" t="s">
        <v>2863</v>
      </c>
      <c r="E453" s="1016">
        <f>'Ledger Load Template LGSvcs TEM'!AA355</f>
        <v>0</v>
      </c>
      <c r="G453" s="955"/>
      <c r="H453" s="955"/>
    </row>
    <row r="454" spans="1:8">
      <c r="A454" s="971" t="s">
        <v>2937</v>
      </c>
      <c r="B454" s="971" t="s">
        <v>2864</v>
      </c>
      <c r="C454" s="973"/>
      <c r="D454" s="973" t="s">
        <v>2865</v>
      </c>
      <c r="E454" s="1016">
        <f>'Ledger Load Template LGSvcs TEM'!AA356</f>
        <v>0</v>
      </c>
      <c r="G454" s="955"/>
      <c r="H454" s="955"/>
    </row>
    <row r="455" spans="1:8">
      <c r="A455" s="971" t="s">
        <v>2937</v>
      </c>
      <c r="B455" s="971" t="s">
        <v>2866</v>
      </c>
      <c r="C455" s="973"/>
      <c r="D455" s="973" t="s">
        <v>1877</v>
      </c>
      <c r="E455" s="1016">
        <f>'Ledger Load Template LGSvcs TEM'!AA357</f>
        <v>0</v>
      </c>
      <c r="G455" s="955"/>
      <c r="H455" s="955"/>
    </row>
    <row r="456" spans="1:8">
      <c r="A456" s="971" t="s">
        <v>2937</v>
      </c>
      <c r="B456" s="971" t="s">
        <v>2867</v>
      </c>
      <c r="C456" s="973"/>
      <c r="D456" s="973" t="s">
        <v>299</v>
      </c>
      <c r="E456" s="1016">
        <f>'Ledger Load Template LGSvcs TEM'!AA358+'Ledger Load Template LGSvcs TEM'!AA359</f>
        <v>-21.96</v>
      </c>
      <c r="G456" s="955"/>
      <c r="H456" s="955"/>
    </row>
    <row r="457" spans="1:8">
      <c r="A457" s="971" t="s">
        <v>2937</v>
      </c>
      <c r="B457" s="971" t="s">
        <v>2868</v>
      </c>
      <c r="C457" s="973"/>
      <c r="D457" s="973" t="s">
        <v>2869</v>
      </c>
      <c r="E457" s="1016">
        <f>'Ledger Load Template LGSvcs TEM'!AA360</f>
        <v>0</v>
      </c>
      <c r="G457" s="955"/>
      <c r="H457" s="955"/>
    </row>
    <row r="458" spans="1:8">
      <c r="A458" s="971" t="s">
        <v>2937</v>
      </c>
      <c r="B458" s="971" t="s">
        <v>2870</v>
      </c>
      <c r="C458" s="973"/>
      <c r="D458" s="973" t="s">
        <v>2871</v>
      </c>
      <c r="E458" s="1016">
        <f>'Ledger Load Template LGSvcs TEM'!AA361</f>
        <v>0</v>
      </c>
      <c r="G458" s="955"/>
      <c r="H458" s="955"/>
    </row>
    <row r="459" spans="1:8">
      <c r="A459" s="971" t="s">
        <v>2937</v>
      </c>
      <c r="B459" s="971" t="s">
        <v>2872</v>
      </c>
      <c r="C459" s="973"/>
      <c r="D459" s="973" t="s">
        <v>2873</v>
      </c>
      <c r="E459" s="1016">
        <f>'Ledger Load Template LGSvcs TEM'!AA363+'Ledger Load Template LGSvcs TEM'!AA362</f>
        <v>0</v>
      </c>
      <c r="G459" s="955"/>
      <c r="H459" s="955"/>
    </row>
    <row r="460" spans="1:8">
      <c r="A460" s="971" t="s">
        <v>2937</v>
      </c>
      <c r="B460" s="971" t="s">
        <v>2874</v>
      </c>
      <c r="C460" s="973"/>
      <c r="D460" s="973" t="s">
        <v>2875</v>
      </c>
      <c r="E460" s="1016">
        <f>'Ledger Load Template LGSvcs TEM'!AA364</f>
        <v>0</v>
      </c>
      <c r="G460" s="955"/>
      <c r="H460" s="955"/>
    </row>
    <row r="461" spans="1:8">
      <c r="A461" s="971" t="s">
        <v>2937</v>
      </c>
      <c r="B461" s="971" t="s">
        <v>2876</v>
      </c>
      <c r="C461" s="973"/>
      <c r="D461" s="973" t="s">
        <v>2877</v>
      </c>
      <c r="E461" s="1016">
        <f>'Ledger Load Template LGSvcs TEM'!AA365</f>
        <v>-2400</v>
      </c>
      <c r="G461" s="955"/>
      <c r="H461" s="955"/>
    </row>
    <row r="462" spans="1:8">
      <c r="A462" s="971" t="s">
        <v>2937</v>
      </c>
      <c r="B462" s="971" t="s">
        <v>2878</v>
      </c>
      <c r="C462" s="973"/>
      <c r="D462" s="973" t="s">
        <v>2879</v>
      </c>
      <c r="E462" s="1016">
        <f>'Ledger Load Template LGSvcs TEM'!AA366</f>
        <v>0</v>
      </c>
      <c r="G462" s="955"/>
      <c r="H462" s="955"/>
    </row>
    <row r="463" spans="1:8">
      <c r="A463" s="971" t="s">
        <v>2937</v>
      </c>
      <c r="B463" s="971" t="s">
        <v>2880</v>
      </c>
      <c r="C463" s="973"/>
      <c r="D463" s="973" t="s">
        <v>2881</v>
      </c>
      <c r="E463" s="1016">
        <f>'Ledger Load Template LGSvcs TEM'!AA367</f>
        <v>0</v>
      </c>
      <c r="G463" s="955"/>
      <c r="H463" s="955"/>
    </row>
    <row r="464" spans="1:8">
      <c r="A464" s="971" t="s">
        <v>2937</v>
      </c>
      <c r="B464" s="971" t="s">
        <v>2882</v>
      </c>
      <c r="C464" s="973"/>
      <c r="D464" s="973" t="s">
        <v>2883</v>
      </c>
      <c r="E464" s="1016">
        <f>'Ledger Load Template LGSvcs TEM'!AA368+'Ledger Load Template LGSvcs TEM'!AA369</f>
        <v>0</v>
      </c>
      <c r="G464" s="955"/>
      <c r="H464" s="955"/>
    </row>
    <row r="465" spans="1:8">
      <c r="A465" s="971" t="s">
        <v>2937</v>
      </c>
      <c r="B465" s="971" t="s">
        <v>2884</v>
      </c>
      <c r="C465" s="973"/>
      <c r="D465" s="973" t="s">
        <v>2885</v>
      </c>
      <c r="E465" s="1016">
        <f>'Ledger Load Template LGSvcs TEM'!AA370</f>
        <v>0</v>
      </c>
      <c r="G465" s="955"/>
      <c r="H465" s="955"/>
    </row>
    <row r="466" spans="1:8">
      <c r="A466" s="971" t="s">
        <v>2937</v>
      </c>
      <c r="B466" s="971" t="s">
        <v>2886</v>
      </c>
      <c r="C466" s="973"/>
      <c r="D466" s="973" t="s">
        <v>2887</v>
      </c>
      <c r="E466" s="1016">
        <f>'Ledger Load Template LGSvcs TEM'!AA371</f>
        <v>0</v>
      </c>
      <c r="G466" s="955"/>
      <c r="H466" s="955"/>
    </row>
    <row r="467" spans="1:8">
      <c r="A467" s="971" t="s">
        <v>2937</v>
      </c>
      <c r="B467" s="971" t="s">
        <v>2888</v>
      </c>
      <c r="C467" s="973"/>
      <c r="D467" s="973" t="s">
        <v>2889</v>
      </c>
      <c r="E467" s="1016">
        <f>'Ledger Load Template LGSvcs TEM'!AA372</f>
        <v>0</v>
      </c>
      <c r="G467" s="955"/>
      <c r="H467" s="955"/>
    </row>
    <row r="468" spans="1:8">
      <c r="A468" s="971" t="s">
        <v>2937</v>
      </c>
      <c r="B468" s="971" t="s">
        <v>2890</v>
      </c>
      <c r="C468" s="973"/>
      <c r="D468" s="973" t="s">
        <v>2891</v>
      </c>
      <c r="E468" s="1016">
        <f>'Ledger Load Template LGSvcs TEM'!AA373</f>
        <v>0</v>
      </c>
      <c r="G468" s="955"/>
      <c r="H468" s="955"/>
    </row>
    <row r="469" spans="1:8">
      <c r="A469" s="971" t="s">
        <v>2937</v>
      </c>
      <c r="B469" s="971" t="s">
        <v>2892</v>
      </c>
      <c r="C469" s="973"/>
      <c r="D469" s="973" t="s">
        <v>2893</v>
      </c>
      <c r="E469" s="1016">
        <f>'Ledger Load Template LGSvcs TEM'!AA374</f>
        <v>0</v>
      </c>
      <c r="G469" s="1768" t="s">
        <v>2894</v>
      </c>
      <c r="H469" s="1768"/>
    </row>
    <row r="470" spans="1:8" ht="13.5" thickBot="1">
      <c r="A470" s="971" t="s">
        <v>2937</v>
      </c>
      <c r="B470" s="971" t="s">
        <v>2895</v>
      </c>
      <c r="C470" s="973"/>
      <c r="D470" s="973" t="s">
        <v>2896</v>
      </c>
      <c r="E470" s="1016">
        <f>'Ledger Load Template LGSvcs TEM'!AA375</f>
        <v>0</v>
      </c>
      <c r="H470" s="983">
        <f>SUM(E424:E470)</f>
        <v>-2421.96</v>
      </c>
    </row>
    <row r="471" spans="1:8" ht="13.5" thickTop="1">
      <c r="A471" s="1772" t="s">
        <v>2942</v>
      </c>
      <c r="B471" s="1773"/>
      <c r="C471" s="1773"/>
      <c r="D471" s="1773"/>
      <c r="E471" s="1774"/>
      <c r="G471" s="955"/>
      <c r="H471" s="955"/>
    </row>
    <row r="472" spans="1:8">
      <c r="A472" s="971" t="s">
        <v>2937</v>
      </c>
      <c r="B472" s="974" t="s">
        <v>2898</v>
      </c>
      <c r="C472" s="984" t="s">
        <v>2899</v>
      </c>
      <c r="D472" s="973" t="s">
        <v>2900</v>
      </c>
      <c r="E472" s="1016">
        <f>'Ledger Load Template LGSvcs TEM'!AA376</f>
        <v>0</v>
      </c>
      <c r="G472" s="955"/>
      <c r="H472" s="955"/>
    </row>
    <row r="473" spans="1:8">
      <c r="A473" s="971" t="s">
        <v>2937</v>
      </c>
      <c r="B473" s="974" t="s">
        <v>2898</v>
      </c>
      <c r="C473" s="984" t="s">
        <v>2901</v>
      </c>
      <c r="D473" s="973" t="s">
        <v>2900</v>
      </c>
      <c r="E473" s="1016">
        <f>'Ledger Load Template LGSvcs TEM'!AA377</f>
        <v>0</v>
      </c>
      <c r="G473" s="955"/>
      <c r="H473" s="955"/>
    </row>
    <row r="474" spans="1:8">
      <c r="A474" s="971" t="s">
        <v>2937</v>
      </c>
      <c r="B474" s="974" t="s">
        <v>2898</v>
      </c>
      <c r="C474" s="984" t="s">
        <v>2902</v>
      </c>
      <c r="D474" s="973" t="s">
        <v>302</v>
      </c>
      <c r="E474" s="1016">
        <f>'Ledger Load Template LGSvcs TEM'!AA378</f>
        <v>0</v>
      </c>
      <c r="G474" s="955"/>
      <c r="H474" s="955"/>
    </row>
    <row r="475" spans="1:8">
      <c r="A475" s="971" t="s">
        <v>2937</v>
      </c>
      <c r="B475" s="974" t="s">
        <v>2898</v>
      </c>
      <c r="C475" s="984" t="s">
        <v>2903</v>
      </c>
      <c r="D475" s="973" t="s">
        <v>302</v>
      </c>
      <c r="E475" s="1016">
        <f>'Ledger Load Template LGSvcs TEM'!AA379</f>
        <v>0</v>
      </c>
      <c r="G475" s="955"/>
      <c r="H475" s="955"/>
    </row>
    <row r="476" spans="1:8">
      <c r="A476" s="971" t="s">
        <v>2937</v>
      </c>
      <c r="B476" s="974" t="s">
        <v>2898</v>
      </c>
      <c r="C476" s="984" t="s">
        <v>2904</v>
      </c>
      <c r="D476" s="973" t="s">
        <v>302</v>
      </c>
      <c r="E476" s="1016">
        <f>'Ledger Load Template LGSvcs TEM'!AA380</f>
        <v>0</v>
      </c>
      <c r="G476" s="955"/>
      <c r="H476" s="955"/>
    </row>
    <row r="477" spans="1:8">
      <c r="A477" s="971" t="s">
        <v>2937</v>
      </c>
      <c r="B477" s="974" t="s">
        <v>2905</v>
      </c>
      <c r="C477" s="984" t="s">
        <v>2899</v>
      </c>
      <c r="D477" s="973" t="s">
        <v>1039</v>
      </c>
      <c r="E477" s="1016">
        <f>'Ledger Load Template LGSvcs TEM'!AA381</f>
        <v>0</v>
      </c>
      <c r="G477" s="955"/>
      <c r="H477" s="955"/>
    </row>
    <row r="478" spans="1:8">
      <c r="A478" s="971" t="s">
        <v>2937</v>
      </c>
      <c r="B478" s="974" t="s">
        <v>2905</v>
      </c>
      <c r="C478" s="984" t="s">
        <v>2901</v>
      </c>
      <c r="D478" s="973" t="s">
        <v>1039</v>
      </c>
      <c r="E478" s="1016">
        <f>'Ledger Load Template LGSvcs TEM'!AA382</f>
        <v>0</v>
      </c>
      <c r="G478" s="955"/>
      <c r="H478" s="955"/>
    </row>
    <row r="479" spans="1:8">
      <c r="A479" s="971" t="s">
        <v>2937</v>
      </c>
      <c r="B479" s="974" t="s">
        <v>2905</v>
      </c>
      <c r="C479" s="984" t="s">
        <v>2902</v>
      </c>
      <c r="D479" s="973" t="s">
        <v>1039</v>
      </c>
      <c r="E479" s="1016">
        <f>'Ledger Load Template LGSvcs TEM'!AA383</f>
        <v>0</v>
      </c>
      <c r="G479" s="955"/>
      <c r="H479" s="955"/>
    </row>
    <row r="480" spans="1:8">
      <c r="A480" s="971" t="s">
        <v>2937</v>
      </c>
      <c r="B480" s="974" t="s">
        <v>2905</v>
      </c>
      <c r="C480" s="984" t="s">
        <v>2903</v>
      </c>
      <c r="D480" s="973" t="s">
        <v>1039</v>
      </c>
      <c r="E480" s="1016">
        <f>'Ledger Load Template LGSvcs TEM'!AA384</f>
        <v>0</v>
      </c>
      <c r="G480" s="955"/>
      <c r="H480" s="955"/>
    </row>
    <row r="481" spans="1:8">
      <c r="A481" s="971" t="s">
        <v>2937</v>
      </c>
      <c r="B481" s="974" t="s">
        <v>2905</v>
      </c>
      <c r="C481" s="984" t="s">
        <v>2904</v>
      </c>
      <c r="D481" s="973" t="s">
        <v>1039</v>
      </c>
      <c r="E481" s="1016">
        <f>'Ledger Load Template LGSvcs TEM'!AA385</f>
        <v>0</v>
      </c>
      <c r="G481" s="955"/>
      <c r="H481" s="955"/>
    </row>
    <row r="482" spans="1:8">
      <c r="A482" s="971" t="s">
        <v>2937</v>
      </c>
      <c r="B482" s="974" t="s">
        <v>2906</v>
      </c>
      <c r="C482" s="984" t="s">
        <v>2899</v>
      </c>
      <c r="D482" s="973" t="s">
        <v>1040</v>
      </c>
      <c r="E482" s="1016">
        <f>'Ledger Load Template LGSvcs TEM'!AA386</f>
        <v>0</v>
      </c>
      <c r="G482" s="955"/>
      <c r="H482" s="955"/>
    </row>
    <row r="483" spans="1:8">
      <c r="A483" s="971" t="s">
        <v>2937</v>
      </c>
      <c r="B483" s="974" t="s">
        <v>2906</v>
      </c>
      <c r="C483" s="984" t="s">
        <v>2901</v>
      </c>
      <c r="D483" s="973" t="s">
        <v>1040</v>
      </c>
      <c r="E483" s="1016">
        <f>'Ledger Load Template LGSvcs TEM'!AA387</f>
        <v>0</v>
      </c>
      <c r="G483" s="955"/>
      <c r="H483" s="955"/>
    </row>
    <row r="484" spans="1:8">
      <c r="A484" s="971" t="s">
        <v>2937</v>
      </c>
      <c r="B484" s="974" t="s">
        <v>2906</v>
      </c>
      <c r="C484" s="984" t="s">
        <v>2902</v>
      </c>
      <c r="D484" s="973" t="s">
        <v>1040</v>
      </c>
      <c r="E484" s="1016">
        <f>'Ledger Load Template LGSvcs TEM'!AA388</f>
        <v>0</v>
      </c>
      <c r="G484" s="955"/>
      <c r="H484" s="955"/>
    </row>
    <row r="485" spans="1:8">
      <c r="A485" s="971" t="s">
        <v>2937</v>
      </c>
      <c r="B485" s="974" t="s">
        <v>2906</v>
      </c>
      <c r="C485" s="984" t="s">
        <v>2903</v>
      </c>
      <c r="D485" s="973" t="s">
        <v>1040</v>
      </c>
      <c r="E485" s="1016">
        <f>'Ledger Load Template LGSvcs TEM'!AA389</f>
        <v>0</v>
      </c>
      <c r="G485" s="955"/>
      <c r="H485" s="955"/>
    </row>
    <row r="486" spans="1:8">
      <c r="A486" s="971" t="s">
        <v>2937</v>
      </c>
      <c r="B486" s="974" t="s">
        <v>2906</v>
      </c>
      <c r="C486" s="984" t="s">
        <v>2904</v>
      </c>
      <c r="D486" s="973" t="s">
        <v>1040</v>
      </c>
      <c r="E486" s="1016">
        <f>'Ledger Load Template LGSvcs TEM'!AA390</f>
        <v>0</v>
      </c>
      <c r="G486" s="955"/>
      <c r="H486" s="955"/>
    </row>
    <row r="487" spans="1:8">
      <c r="A487" s="971" t="s">
        <v>2937</v>
      </c>
      <c r="B487" s="974" t="s">
        <v>2907</v>
      </c>
      <c r="C487" s="984" t="s">
        <v>2899</v>
      </c>
      <c r="D487" s="973" t="s">
        <v>1041</v>
      </c>
      <c r="E487" s="1016">
        <f>'Ledger Load Template LGSvcs TEM'!AA391</f>
        <v>0</v>
      </c>
      <c r="G487" s="955"/>
      <c r="H487" s="955"/>
    </row>
    <row r="488" spans="1:8">
      <c r="A488" s="971" t="s">
        <v>2937</v>
      </c>
      <c r="B488" s="974" t="s">
        <v>2907</v>
      </c>
      <c r="C488" s="984" t="s">
        <v>2901</v>
      </c>
      <c r="D488" s="973" t="s">
        <v>1041</v>
      </c>
      <c r="E488" s="1016">
        <f>'Ledger Load Template LGSvcs TEM'!AA392</f>
        <v>0</v>
      </c>
      <c r="G488" s="955"/>
      <c r="H488" s="955"/>
    </row>
    <row r="489" spans="1:8">
      <c r="A489" s="971" t="s">
        <v>2937</v>
      </c>
      <c r="B489" s="974" t="s">
        <v>2907</v>
      </c>
      <c r="C489" s="984" t="s">
        <v>2902</v>
      </c>
      <c r="D489" s="973" t="s">
        <v>1041</v>
      </c>
      <c r="E489" s="1016">
        <f>'Ledger Load Template LGSvcs TEM'!AA393</f>
        <v>0</v>
      </c>
      <c r="G489" s="955"/>
      <c r="H489" s="955"/>
    </row>
    <row r="490" spans="1:8">
      <c r="A490" s="971" t="s">
        <v>2937</v>
      </c>
      <c r="B490" s="974" t="s">
        <v>2907</v>
      </c>
      <c r="C490" s="984" t="s">
        <v>2903</v>
      </c>
      <c r="D490" s="973" t="s">
        <v>1041</v>
      </c>
      <c r="E490" s="1016">
        <f>'Ledger Load Template LGSvcs TEM'!AA394</f>
        <v>0</v>
      </c>
      <c r="G490" s="955"/>
      <c r="H490" s="955"/>
    </row>
    <row r="491" spans="1:8">
      <c r="A491" s="971" t="s">
        <v>2937</v>
      </c>
      <c r="B491" s="974" t="s">
        <v>2907</v>
      </c>
      <c r="C491" s="984" t="s">
        <v>2904</v>
      </c>
      <c r="D491" s="973" t="s">
        <v>1041</v>
      </c>
      <c r="E491" s="1016">
        <f>'Ledger Load Template LGSvcs TEM'!AA395</f>
        <v>0</v>
      </c>
      <c r="G491" s="955"/>
      <c r="H491" s="955"/>
    </row>
    <row r="492" spans="1:8">
      <c r="A492" s="971" t="s">
        <v>2937</v>
      </c>
      <c r="B492" s="974" t="s">
        <v>2908</v>
      </c>
      <c r="C492" s="984" t="s">
        <v>2899</v>
      </c>
      <c r="D492" s="973" t="s">
        <v>1042</v>
      </c>
      <c r="E492" s="1016">
        <f>'Ledger Load Template LGSvcs TEM'!AA396</f>
        <v>0</v>
      </c>
      <c r="G492" s="955"/>
      <c r="H492" s="955"/>
    </row>
    <row r="493" spans="1:8">
      <c r="A493" s="971" t="s">
        <v>2937</v>
      </c>
      <c r="B493" s="974" t="s">
        <v>2908</v>
      </c>
      <c r="C493" s="984" t="s">
        <v>2901</v>
      </c>
      <c r="D493" s="973" t="s">
        <v>1042</v>
      </c>
      <c r="E493" s="1016">
        <f>'Ledger Load Template LGSvcs TEM'!AA397</f>
        <v>0</v>
      </c>
      <c r="G493" s="955"/>
      <c r="H493" s="955"/>
    </row>
    <row r="494" spans="1:8">
      <c r="A494" s="971" t="s">
        <v>2937</v>
      </c>
      <c r="B494" s="974" t="s">
        <v>2908</v>
      </c>
      <c r="C494" s="984" t="s">
        <v>2902</v>
      </c>
      <c r="D494" s="973" t="s">
        <v>1042</v>
      </c>
      <c r="E494" s="1016">
        <f>'Ledger Load Template LGSvcs TEM'!AA398</f>
        <v>0</v>
      </c>
      <c r="G494" s="955"/>
      <c r="H494" s="955"/>
    </row>
    <row r="495" spans="1:8">
      <c r="A495" s="971" t="s">
        <v>2937</v>
      </c>
      <c r="B495" s="974" t="s">
        <v>2908</v>
      </c>
      <c r="C495" s="984" t="s">
        <v>2903</v>
      </c>
      <c r="D495" s="973" t="s">
        <v>1042</v>
      </c>
      <c r="E495" s="1016">
        <f>'Ledger Load Template LGSvcs TEM'!AA399</f>
        <v>0</v>
      </c>
      <c r="G495" s="955"/>
      <c r="H495" s="955"/>
    </row>
    <row r="496" spans="1:8">
      <c r="A496" s="971" t="s">
        <v>2937</v>
      </c>
      <c r="B496" s="974" t="s">
        <v>2908</v>
      </c>
      <c r="C496" s="984" t="s">
        <v>2904</v>
      </c>
      <c r="D496" s="973" t="s">
        <v>1042</v>
      </c>
      <c r="E496" s="1016">
        <f>'Ledger Load Template LGSvcs TEM'!AA400</f>
        <v>0</v>
      </c>
      <c r="G496" s="955"/>
      <c r="H496" s="955"/>
    </row>
    <row r="497" spans="1:8">
      <c r="A497" s="971" t="s">
        <v>2937</v>
      </c>
      <c r="B497" s="974" t="s">
        <v>2909</v>
      </c>
      <c r="C497" s="984" t="s">
        <v>2899</v>
      </c>
      <c r="D497" s="973" t="s">
        <v>1043</v>
      </c>
      <c r="E497" s="1016">
        <f>'Ledger Load Template LGSvcs TEM'!AA401</f>
        <v>0</v>
      </c>
      <c r="G497" s="955"/>
      <c r="H497" s="955"/>
    </row>
    <row r="498" spans="1:8">
      <c r="A498" s="971" t="s">
        <v>2937</v>
      </c>
      <c r="B498" s="974" t="s">
        <v>2909</v>
      </c>
      <c r="C498" s="984" t="s">
        <v>2901</v>
      </c>
      <c r="D498" s="973" t="s">
        <v>1043</v>
      </c>
      <c r="E498" s="1016">
        <f>'Ledger Load Template LGSvcs TEM'!AA402</f>
        <v>0</v>
      </c>
      <c r="G498" s="955"/>
      <c r="H498" s="955"/>
    </row>
    <row r="499" spans="1:8">
      <c r="A499" s="971" t="s">
        <v>2937</v>
      </c>
      <c r="B499" s="974" t="s">
        <v>2909</v>
      </c>
      <c r="C499" s="984" t="s">
        <v>2902</v>
      </c>
      <c r="D499" s="973" t="s">
        <v>1043</v>
      </c>
      <c r="E499" s="1016">
        <f>'Ledger Load Template LGSvcs TEM'!AA403</f>
        <v>0</v>
      </c>
      <c r="G499" s="955"/>
      <c r="H499" s="955"/>
    </row>
    <row r="500" spans="1:8">
      <c r="A500" s="971" t="s">
        <v>2937</v>
      </c>
      <c r="B500" s="974" t="s">
        <v>2909</v>
      </c>
      <c r="C500" s="984" t="s">
        <v>2903</v>
      </c>
      <c r="D500" s="973" t="s">
        <v>1043</v>
      </c>
      <c r="E500" s="1016">
        <f>'Ledger Load Template LGSvcs TEM'!AA404</f>
        <v>0</v>
      </c>
      <c r="G500" s="955"/>
      <c r="H500" s="955"/>
    </row>
    <row r="501" spans="1:8">
      <c r="A501" s="971" t="s">
        <v>2937</v>
      </c>
      <c r="B501" s="974" t="s">
        <v>2909</v>
      </c>
      <c r="C501" s="984" t="s">
        <v>2904</v>
      </c>
      <c r="D501" s="973" t="s">
        <v>1043</v>
      </c>
      <c r="E501" s="1016">
        <f>'Ledger Load Template LGSvcs TEM'!AA405</f>
        <v>0</v>
      </c>
      <c r="G501" s="955"/>
      <c r="H501" s="955"/>
    </row>
    <row r="502" spans="1:8">
      <c r="A502" s="971" t="s">
        <v>2937</v>
      </c>
      <c r="B502" s="974" t="s">
        <v>2910</v>
      </c>
      <c r="C502" s="984" t="s">
        <v>2899</v>
      </c>
      <c r="D502" s="973" t="s">
        <v>1044</v>
      </c>
      <c r="E502" s="1016">
        <f>'Ledger Load Template LGSvcs TEM'!AA406</f>
        <v>0</v>
      </c>
      <c r="G502" s="955"/>
      <c r="H502" s="955"/>
    </row>
    <row r="503" spans="1:8">
      <c r="A503" s="971" t="s">
        <v>2937</v>
      </c>
      <c r="B503" s="974" t="s">
        <v>2910</v>
      </c>
      <c r="C503" s="984" t="s">
        <v>2901</v>
      </c>
      <c r="D503" s="973" t="s">
        <v>1044</v>
      </c>
      <c r="E503" s="1016">
        <f>'Ledger Load Template LGSvcs TEM'!AA407</f>
        <v>0</v>
      </c>
      <c r="G503" s="955"/>
      <c r="H503" s="955"/>
    </row>
    <row r="504" spans="1:8">
      <c r="A504" s="971" t="s">
        <v>2937</v>
      </c>
      <c r="B504" s="974" t="s">
        <v>2910</v>
      </c>
      <c r="C504" s="984" t="s">
        <v>2902</v>
      </c>
      <c r="D504" s="973" t="s">
        <v>1044</v>
      </c>
      <c r="E504" s="1016">
        <f>'Ledger Load Template LGSvcs TEM'!AA408</f>
        <v>0</v>
      </c>
      <c r="G504" s="955"/>
      <c r="H504" s="955"/>
    </row>
    <row r="505" spans="1:8">
      <c r="A505" s="971" t="s">
        <v>2937</v>
      </c>
      <c r="B505" s="971" t="s">
        <v>2910</v>
      </c>
      <c r="C505" s="984" t="s">
        <v>2903</v>
      </c>
      <c r="D505" s="973" t="s">
        <v>1044</v>
      </c>
      <c r="E505" s="1016">
        <f>'Ledger Load Template LGSvcs TEM'!AA409</f>
        <v>0</v>
      </c>
      <c r="G505" s="955"/>
      <c r="H505" s="955"/>
    </row>
    <row r="506" spans="1:8">
      <c r="A506" s="971" t="s">
        <v>2937</v>
      </c>
      <c r="B506" s="971" t="s">
        <v>2910</v>
      </c>
      <c r="C506" s="984" t="s">
        <v>2904</v>
      </c>
      <c r="D506" s="973" t="s">
        <v>1044</v>
      </c>
      <c r="E506" s="1016">
        <f>'Ledger Load Template LGSvcs TEM'!AA410</f>
        <v>0</v>
      </c>
      <c r="G506" s="955"/>
      <c r="H506" s="955"/>
    </row>
    <row r="507" spans="1:8">
      <c r="A507" s="971" t="s">
        <v>2937</v>
      </c>
      <c r="B507" s="971" t="s">
        <v>2911</v>
      </c>
      <c r="C507" s="984" t="s">
        <v>2899</v>
      </c>
      <c r="D507" s="973" t="s">
        <v>1088</v>
      </c>
      <c r="E507" s="1016">
        <f>'Ledger Load Template LGSvcs TEM'!AA411</f>
        <v>0</v>
      </c>
      <c r="G507" s="955"/>
      <c r="H507" s="955"/>
    </row>
    <row r="508" spans="1:8">
      <c r="A508" s="971" t="s">
        <v>2937</v>
      </c>
      <c r="B508" s="971" t="s">
        <v>2911</v>
      </c>
      <c r="C508" s="984" t="s">
        <v>2901</v>
      </c>
      <c r="D508" s="973" t="s">
        <v>1088</v>
      </c>
      <c r="E508" s="1016">
        <f>'Ledger Load Template LGSvcs TEM'!AA412</f>
        <v>0</v>
      </c>
      <c r="G508" s="955"/>
      <c r="H508" s="955"/>
    </row>
    <row r="509" spans="1:8">
      <c r="A509" s="971" t="s">
        <v>2937</v>
      </c>
      <c r="B509" s="971" t="s">
        <v>2911</v>
      </c>
      <c r="C509" s="984" t="s">
        <v>2902</v>
      </c>
      <c r="D509" s="973" t="s">
        <v>1088</v>
      </c>
      <c r="E509" s="1016">
        <f>'Ledger Load Template LGSvcs TEM'!AA413</f>
        <v>0</v>
      </c>
      <c r="G509" s="955"/>
      <c r="H509" s="955"/>
    </row>
    <row r="510" spans="1:8">
      <c r="A510" s="971" t="s">
        <v>2937</v>
      </c>
      <c r="B510" s="971" t="s">
        <v>2911</v>
      </c>
      <c r="C510" s="984" t="s">
        <v>2903</v>
      </c>
      <c r="D510" s="973" t="s">
        <v>1088</v>
      </c>
      <c r="E510" s="1016">
        <f>'Ledger Load Template LGSvcs TEM'!AA414</f>
        <v>0</v>
      </c>
      <c r="G510" s="955"/>
      <c r="H510" s="955"/>
    </row>
    <row r="511" spans="1:8">
      <c r="A511" s="971" t="s">
        <v>2937</v>
      </c>
      <c r="B511" s="971" t="s">
        <v>2911</v>
      </c>
      <c r="C511" s="984" t="s">
        <v>2904</v>
      </c>
      <c r="D511" s="973" t="s">
        <v>1088</v>
      </c>
      <c r="E511" s="1016">
        <f>'Ledger Load Template LGSvcs TEM'!AA415</f>
        <v>0</v>
      </c>
      <c r="G511" s="955"/>
      <c r="H511" s="955"/>
    </row>
    <row r="512" spans="1:8">
      <c r="A512" s="971" t="s">
        <v>2937</v>
      </c>
      <c r="B512" s="971" t="s">
        <v>2912</v>
      </c>
      <c r="C512" s="984" t="s">
        <v>2899</v>
      </c>
      <c r="D512" s="973" t="s">
        <v>1089</v>
      </c>
      <c r="E512" s="1016">
        <f>'Ledger Load Template LGSvcs TEM'!AA416</f>
        <v>0</v>
      </c>
      <c r="G512" s="955"/>
      <c r="H512" s="955"/>
    </row>
    <row r="513" spans="1:8">
      <c r="A513" s="971" t="s">
        <v>2937</v>
      </c>
      <c r="B513" s="971" t="s">
        <v>2912</v>
      </c>
      <c r="C513" s="984" t="s">
        <v>2901</v>
      </c>
      <c r="D513" s="973" t="s">
        <v>1089</v>
      </c>
      <c r="E513" s="1016">
        <f>'Ledger Load Template LGSvcs TEM'!AA417</f>
        <v>0</v>
      </c>
      <c r="G513" s="955"/>
      <c r="H513" s="955"/>
    </row>
    <row r="514" spans="1:8">
      <c r="A514" s="971" t="s">
        <v>2937</v>
      </c>
      <c r="B514" s="971" t="s">
        <v>2912</v>
      </c>
      <c r="C514" s="984" t="s">
        <v>2902</v>
      </c>
      <c r="D514" s="973" t="s">
        <v>1089</v>
      </c>
      <c r="E514" s="1016">
        <f>'Ledger Load Template LGSvcs TEM'!AA418</f>
        <v>0</v>
      </c>
      <c r="G514" s="955"/>
      <c r="H514" s="955"/>
    </row>
    <row r="515" spans="1:8">
      <c r="A515" s="971" t="s">
        <v>2937</v>
      </c>
      <c r="B515" s="971" t="s">
        <v>2912</v>
      </c>
      <c r="C515" s="984" t="s">
        <v>2903</v>
      </c>
      <c r="D515" s="973" t="s">
        <v>1089</v>
      </c>
      <c r="E515" s="1016">
        <f>'Ledger Load Template LGSvcs TEM'!AA419</f>
        <v>0</v>
      </c>
      <c r="G515" s="955"/>
      <c r="H515" s="955"/>
    </row>
    <row r="516" spans="1:8">
      <c r="A516" s="971" t="s">
        <v>2937</v>
      </c>
      <c r="B516" s="971" t="s">
        <v>2912</v>
      </c>
      <c r="C516" s="984" t="s">
        <v>2904</v>
      </c>
      <c r="D516" s="973" t="s">
        <v>1089</v>
      </c>
      <c r="E516" s="1016">
        <f>'Ledger Load Template LGSvcs TEM'!AA420</f>
        <v>0</v>
      </c>
      <c r="G516" s="955"/>
      <c r="H516" s="955"/>
    </row>
    <row r="517" spans="1:8">
      <c r="A517" s="971" t="s">
        <v>2937</v>
      </c>
      <c r="B517" s="971" t="s">
        <v>2913</v>
      </c>
      <c r="C517" s="984" t="s">
        <v>2899</v>
      </c>
      <c r="D517" s="973" t="s">
        <v>2914</v>
      </c>
      <c r="E517" s="1016">
        <f>'Ledger Load Template LGSvcs TEM'!AA421</f>
        <v>0</v>
      </c>
      <c r="G517" s="955"/>
      <c r="H517" s="955"/>
    </row>
    <row r="518" spans="1:8">
      <c r="A518" s="971" t="s">
        <v>2937</v>
      </c>
      <c r="B518" s="971" t="s">
        <v>2913</v>
      </c>
      <c r="C518" s="984" t="s">
        <v>2901</v>
      </c>
      <c r="D518" s="973" t="s">
        <v>2914</v>
      </c>
      <c r="E518" s="1016">
        <f>'Ledger Load Template LGSvcs TEM'!AA422</f>
        <v>0</v>
      </c>
      <c r="G518" s="955"/>
      <c r="H518" s="955"/>
    </row>
    <row r="519" spans="1:8">
      <c r="A519" s="971" t="s">
        <v>2937</v>
      </c>
      <c r="B519" s="971" t="s">
        <v>2913</v>
      </c>
      <c r="C519" s="984" t="s">
        <v>2902</v>
      </c>
      <c r="D519" s="973" t="s">
        <v>2914</v>
      </c>
      <c r="E519" s="1016">
        <f>'Ledger Load Template LGSvcs TEM'!AA423</f>
        <v>0</v>
      </c>
      <c r="G519" s="955"/>
      <c r="H519" s="955"/>
    </row>
    <row r="520" spans="1:8">
      <c r="A520" s="971" t="s">
        <v>2937</v>
      </c>
      <c r="B520" s="971" t="s">
        <v>2913</v>
      </c>
      <c r="C520" s="984" t="s">
        <v>2903</v>
      </c>
      <c r="D520" s="973" t="s">
        <v>2914</v>
      </c>
      <c r="E520" s="1016">
        <f>'Ledger Load Template LGSvcs TEM'!AA424</f>
        <v>0</v>
      </c>
      <c r="G520" s="955"/>
      <c r="H520" s="955"/>
    </row>
    <row r="521" spans="1:8">
      <c r="A521" s="971" t="s">
        <v>2937</v>
      </c>
      <c r="B521" s="971" t="s">
        <v>2913</v>
      </c>
      <c r="C521" s="984" t="s">
        <v>2904</v>
      </c>
      <c r="D521" s="973" t="s">
        <v>2914</v>
      </c>
      <c r="E521" s="1016">
        <f>'Ledger Load Template LGSvcs TEM'!AA425</f>
        <v>0</v>
      </c>
      <c r="G521" s="955"/>
      <c r="H521" s="955"/>
    </row>
    <row r="522" spans="1:8">
      <c r="A522" s="971" t="s">
        <v>2937</v>
      </c>
      <c r="B522" s="971" t="s">
        <v>2915</v>
      </c>
      <c r="C522" s="984" t="s">
        <v>2899</v>
      </c>
      <c r="D522" s="973" t="s">
        <v>214</v>
      </c>
      <c r="E522" s="1016">
        <f>'Ledger Load Template LGSvcs TEM'!AA426</f>
        <v>0</v>
      </c>
      <c r="G522" s="955"/>
      <c r="H522" s="955"/>
    </row>
    <row r="523" spans="1:8">
      <c r="A523" s="971" t="s">
        <v>2937</v>
      </c>
      <c r="B523" s="971" t="s">
        <v>2915</v>
      </c>
      <c r="C523" s="984" t="s">
        <v>2901</v>
      </c>
      <c r="D523" s="973" t="s">
        <v>214</v>
      </c>
      <c r="E523" s="1016">
        <f>'Ledger Load Template LGSvcs TEM'!AA427</f>
        <v>0</v>
      </c>
      <c r="G523" s="955"/>
      <c r="H523" s="955"/>
    </row>
    <row r="524" spans="1:8">
      <c r="A524" s="971" t="s">
        <v>2937</v>
      </c>
      <c r="B524" s="971" t="s">
        <v>2915</v>
      </c>
      <c r="C524" s="984" t="s">
        <v>2902</v>
      </c>
      <c r="D524" s="973" t="s">
        <v>214</v>
      </c>
      <c r="E524" s="1016">
        <f>'Ledger Load Template LGSvcs TEM'!AA428</f>
        <v>0</v>
      </c>
      <c r="G524" s="955"/>
      <c r="H524" s="955"/>
    </row>
    <row r="525" spans="1:8">
      <c r="A525" s="971" t="s">
        <v>2937</v>
      </c>
      <c r="B525" s="971" t="s">
        <v>2915</v>
      </c>
      <c r="C525" s="984" t="s">
        <v>2903</v>
      </c>
      <c r="D525" s="973" t="s">
        <v>214</v>
      </c>
      <c r="E525" s="1016">
        <f>'Ledger Load Template LGSvcs TEM'!AA429</f>
        <v>0</v>
      </c>
      <c r="G525" s="955"/>
      <c r="H525" s="955"/>
    </row>
    <row r="526" spans="1:8">
      <c r="A526" s="971" t="s">
        <v>2937</v>
      </c>
      <c r="B526" s="971" t="s">
        <v>2915</v>
      </c>
      <c r="C526" s="984" t="s">
        <v>2904</v>
      </c>
      <c r="D526" s="973" t="s">
        <v>214</v>
      </c>
      <c r="E526" s="1016">
        <f>'Ledger Load Template LGSvcs TEM'!AA430</f>
        <v>0</v>
      </c>
      <c r="G526" s="955"/>
      <c r="H526" s="955"/>
    </row>
    <row r="527" spans="1:8">
      <c r="A527" s="971" t="s">
        <v>2937</v>
      </c>
      <c r="B527" s="971" t="s">
        <v>2916</v>
      </c>
      <c r="C527" s="984" t="s">
        <v>2899</v>
      </c>
      <c r="D527" s="973" t="s">
        <v>2917</v>
      </c>
      <c r="E527" s="1016">
        <f>'Ledger Load Template LGSvcs TEM'!AA431</f>
        <v>0</v>
      </c>
      <c r="G527" s="955"/>
      <c r="H527" s="955"/>
    </row>
    <row r="528" spans="1:8">
      <c r="A528" s="971" t="s">
        <v>2937</v>
      </c>
      <c r="B528" s="971" t="s">
        <v>2916</v>
      </c>
      <c r="C528" s="984" t="s">
        <v>2901</v>
      </c>
      <c r="D528" s="973" t="s">
        <v>2917</v>
      </c>
      <c r="E528" s="1016">
        <f>'Ledger Load Template LGSvcs TEM'!AA432</f>
        <v>0</v>
      </c>
      <c r="G528" s="955"/>
      <c r="H528" s="955"/>
    </row>
    <row r="529" spans="1:8">
      <c r="A529" s="971" t="s">
        <v>2937</v>
      </c>
      <c r="B529" s="971" t="s">
        <v>2916</v>
      </c>
      <c r="C529" s="984" t="s">
        <v>2902</v>
      </c>
      <c r="D529" s="973" t="s">
        <v>2917</v>
      </c>
      <c r="E529" s="1016">
        <f>'Ledger Load Template LGSvcs TEM'!AA433</f>
        <v>0</v>
      </c>
      <c r="G529" s="955"/>
      <c r="H529" s="955"/>
    </row>
    <row r="530" spans="1:8">
      <c r="A530" s="971" t="s">
        <v>2937</v>
      </c>
      <c r="B530" s="971" t="s">
        <v>2916</v>
      </c>
      <c r="C530" s="984" t="s">
        <v>2903</v>
      </c>
      <c r="D530" s="973" t="s">
        <v>2917</v>
      </c>
      <c r="E530" s="1016">
        <f>'Ledger Load Template LGSvcs TEM'!AA434</f>
        <v>0</v>
      </c>
      <c r="G530" s="1768" t="s">
        <v>2918</v>
      </c>
      <c r="H530" s="1768"/>
    </row>
    <row r="531" spans="1:8" ht="13.5" thickBot="1">
      <c r="A531" s="971" t="s">
        <v>2937</v>
      </c>
      <c r="B531" s="971" t="s">
        <v>2916</v>
      </c>
      <c r="C531" s="984" t="s">
        <v>2904</v>
      </c>
      <c r="D531" s="973" t="s">
        <v>2917</v>
      </c>
      <c r="E531" s="1016">
        <f>'Ledger Load Template LGSvcs TEM'!AA435</f>
        <v>0</v>
      </c>
      <c r="H531" s="983">
        <f>SUM(E472:E531)</f>
        <v>0</v>
      </c>
    </row>
    <row r="532" spans="1:8" ht="13.5" thickTop="1">
      <c r="A532" s="1778"/>
      <c r="B532" s="1779"/>
      <c r="C532" s="1779"/>
      <c r="D532" s="1779"/>
      <c r="E532" s="1780"/>
      <c r="G532" s="955"/>
      <c r="H532" s="955"/>
    </row>
    <row r="533" spans="1:8" ht="15.75">
      <c r="A533" s="1769" t="s">
        <v>2943</v>
      </c>
      <c r="B533" s="1770"/>
      <c r="C533" s="1770"/>
      <c r="D533" s="1770"/>
      <c r="E533" s="1771"/>
      <c r="G533" s="955"/>
      <c r="H533" s="955"/>
    </row>
    <row r="534" spans="1:8">
      <c r="A534" s="1772" t="s">
        <v>2944</v>
      </c>
      <c r="B534" s="1773"/>
      <c r="C534" s="1773"/>
      <c r="D534" s="1773"/>
      <c r="E534" s="1774"/>
      <c r="G534" s="955"/>
      <c r="H534" s="955"/>
    </row>
    <row r="535" spans="1:8">
      <c r="A535" s="971" t="s">
        <v>2945</v>
      </c>
      <c r="B535" s="968" t="s">
        <v>2764</v>
      </c>
      <c r="C535" s="973"/>
      <c r="D535" s="970" t="s">
        <v>2765</v>
      </c>
      <c r="E535" s="1016">
        <f>'Ledger Load Template LGSvcs TEM'!AA436</f>
        <v>334310.7</v>
      </c>
      <c r="G535" s="955"/>
      <c r="H535" s="955"/>
    </row>
    <row r="536" spans="1:8">
      <c r="A536" s="971" t="s">
        <v>2945</v>
      </c>
      <c r="B536" s="972" t="s">
        <v>2766</v>
      </c>
      <c r="C536" s="973"/>
      <c r="D536" s="973" t="s">
        <v>2767</v>
      </c>
      <c r="E536" s="1016">
        <f>'Ledger Load Template LGSvcs TEM'!AA437</f>
        <v>0</v>
      </c>
      <c r="G536" s="955"/>
      <c r="H536" s="955"/>
    </row>
    <row r="537" spans="1:8">
      <c r="A537" s="971" t="s">
        <v>2945</v>
      </c>
      <c r="B537" s="974" t="s">
        <v>2768</v>
      </c>
      <c r="C537" s="973"/>
      <c r="D537" s="973" t="s">
        <v>2769</v>
      </c>
      <c r="E537" s="1016">
        <f>'Ledger Load Template LGSvcs TEM'!AA438</f>
        <v>36156.79</v>
      </c>
      <c r="G537" s="955"/>
      <c r="H537" s="955"/>
    </row>
    <row r="538" spans="1:8">
      <c r="A538" s="971" t="s">
        <v>2945</v>
      </c>
      <c r="B538" s="974" t="s">
        <v>2770</v>
      </c>
      <c r="C538" s="973"/>
      <c r="D538" s="973" t="s">
        <v>2771</v>
      </c>
      <c r="E538" s="1016">
        <f>'Ledger Load Template LGSvcs TEM'!AA439</f>
        <v>0</v>
      </c>
      <c r="G538" s="955"/>
      <c r="H538" s="955"/>
    </row>
    <row r="539" spans="1:8">
      <c r="A539" s="971" t="s">
        <v>2945</v>
      </c>
      <c r="B539" s="974" t="s">
        <v>2772</v>
      </c>
      <c r="C539" s="973"/>
      <c r="D539" s="973" t="s">
        <v>2773</v>
      </c>
      <c r="E539" s="1016">
        <f>'Ledger Load Template LGSvcs TEM'!AA440</f>
        <v>0</v>
      </c>
      <c r="G539" s="955"/>
      <c r="H539" s="955"/>
    </row>
    <row r="540" spans="1:8">
      <c r="A540" s="971" t="s">
        <v>2945</v>
      </c>
      <c r="B540" s="974" t="s">
        <v>2774</v>
      </c>
      <c r="C540" s="973"/>
      <c r="D540" s="973" t="s">
        <v>1065</v>
      </c>
      <c r="E540" s="1016">
        <f>'Ledger Load Template LGSvcs TEM'!AA441</f>
        <v>0</v>
      </c>
      <c r="G540" s="955"/>
      <c r="H540" s="955"/>
    </row>
    <row r="541" spans="1:8">
      <c r="A541" s="971" t="s">
        <v>2945</v>
      </c>
      <c r="B541" s="974" t="s">
        <v>2775</v>
      </c>
      <c r="C541" s="973"/>
      <c r="D541" s="973" t="s">
        <v>2776</v>
      </c>
      <c r="E541" s="1016">
        <f>'Ledger Load Template LGSvcs TEM'!AA442+'Ledger Load Template LGSvcs TEM'!AA443</f>
        <v>0</v>
      </c>
      <c r="G541" s="955"/>
      <c r="H541" s="955"/>
    </row>
    <row r="542" spans="1:8">
      <c r="A542" s="971" t="s">
        <v>2945</v>
      </c>
      <c r="B542" s="974" t="s">
        <v>2777</v>
      </c>
      <c r="C542" s="973"/>
      <c r="D542" s="973" t="s">
        <v>2778</v>
      </c>
      <c r="E542" s="1016">
        <f>'Ledger Load Template LGSvcs TEM'!AA444</f>
        <v>117787.71999999994</v>
      </c>
      <c r="G542" s="955"/>
      <c r="H542" s="955"/>
    </row>
    <row r="543" spans="1:8">
      <c r="A543" s="971" t="s">
        <v>2945</v>
      </c>
      <c r="B543" s="974" t="s">
        <v>2779</v>
      </c>
      <c r="C543" s="973"/>
      <c r="D543" s="973" t="s">
        <v>2780</v>
      </c>
      <c r="E543" s="1016">
        <f>'Ledger Load Template LGSvcs TEM'!AA445</f>
        <v>19840.18</v>
      </c>
      <c r="G543" s="955"/>
      <c r="H543" s="955"/>
    </row>
    <row r="544" spans="1:8">
      <c r="A544" s="1775" t="s">
        <v>2946</v>
      </c>
      <c r="B544" s="1776"/>
      <c r="C544" s="1776"/>
      <c r="D544" s="1776"/>
      <c r="E544" s="1777"/>
      <c r="G544" s="975" t="s">
        <v>2947</v>
      </c>
      <c r="H544" s="976"/>
    </row>
    <row r="545" spans="1:8">
      <c r="A545" s="971" t="s">
        <v>2945</v>
      </c>
      <c r="B545" s="971" t="s">
        <v>2783</v>
      </c>
      <c r="C545" s="973"/>
      <c r="D545" s="973" t="s">
        <v>2948</v>
      </c>
      <c r="E545" s="1016">
        <f>'Ledger Load Template LGSvcs TEM'!AA446</f>
        <v>-2333.9899999999998</v>
      </c>
      <c r="G545" s="977" t="s">
        <v>522</v>
      </c>
      <c r="H545" s="978">
        <f>E535+E536+E537+E538+E539+E540+E541+E542</f>
        <v>488255.20999999996</v>
      </c>
    </row>
    <row r="546" spans="1:8">
      <c r="A546" s="971" t="s">
        <v>2945</v>
      </c>
      <c r="B546" s="971" t="s">
        <v>2786</v>
      </c>
      <c r="C546" s="973"/>
      <c r="D546" s="973" t="s">
        <v>2787</v>
      </c>
      <c r="E546" s="1016">
        <f>'Ledger Load Template LGSvcs TEM'!AA447</f>
        <v>0</v>
      </c>
      <c r="G546" s="977" t="s">
        <v>2788</v>
      </c>
      <c r="H546" s="978">
        <f>E543</f>
        <v>19840.18</v>
      </c>
    </row>
    <row r="547" spans="1:8">
      <c r="A547" s="971" t="s">
        <v>2945</v>
      </c>
      <c r="B547" s="971" t="s">
        <v>2789</v>
      </c>
      <c r="C547" s="973"/>
      <c r="D547" s="973" t="s">
        <v>1908</v>
      </c>
      <c r="E547" s="1016">
        <f>'Ledger Load Template LGSvcs TEM'!AA449</f>
        <v>-356.53000000000003</v>
      </c>
      <c r="G547" s="977"/>
      <c r="H547" s="978"/>
    </row>
    <row r="548" spans="1:8">
      <c r="A548" s="971" t="s">
        <v>2945</v>
      </c>
      <c r="B548" s="971" t="s">
        <v>2790</v>
      </c>
      <c r="C548" s="973"/>
      <c r="D548" s="973" t="s">
        <v>2791</v>
      </c>
      <c r="E548" s="1016">
        <f>'Ledger Load Template LGSvcs TEM'!AA450</f>
        <v>-8530.5899999999965</v>
      </c>
      <c r="G548" s="977" t="s">
        <v>1211</v>
      </c>
      <c r="H548" s="978">
        <f>E545+E546+E548+E549+E550</f>
        <v>-118572.84000000001</v>
      </c>
    </row>
    <row r="549" spans="1:8">
      <c r="A549" s="1004" t="s">
        <v>2945</v>
      </c>
      <c r="B549" s="1010">
        <v>237000</v>
      </c>
      <c r="C549" s="1005"/>
      <c r="D549" s="1011" t="s">
        <v>3029</v>
      </c>
      <c r="E549" s="1018">
        <f>'Ledger Load Template LGSvcs TEM'!AA451</f>
        <v>0</v>
      </c>
      <c r="G549" s="977" t="s">
        <v>2793</v>
      </c>
      <c r="H549" s="978">
        <f>E547</f>
        <v>-356.53000000000003</v>
      </c>
    </row>
    <row r="550" spans="1:8">
      <c r="A550" s="1004" t="s">
        <v>2945</v>
      </c>
      <c r="B550" s="1010">
        <v>238000</v>
      </c>
      <c r="C550" s="1005"/>
      <c r="D550" s="1011" t="s">
        <v>3030</v>
      </c>
      <c r="E550" s="1018">
        <f>'Ledger Load Template LGSvcs TEM'!AA452</f>
        <v>-107708.26000000001</v>
      </c>
      <c r="G550" s="977"/>
      <c r="H550" s="978"/>
    </row>
    <row r="551" spans="1:8">
      <c r="A551" s="1775" t="s">
        <v>2949</v>
      </c>
      <c r="B551" s="1776"/>
      <c r="C551" s="1776"/>
      <c r="D551" s="1776"/>
      <c r="E551" s="1777"/>
      <c r="G551" s="977"/>
      <c r="H551" s="978"/>
    </row>
    <row r="552" spans="1:8">
      <c r="A552" s="971" t="s">
        <v>2945</v>
      </c>
      <c r="B552" s="971" t="s">
        <v>2794</v>
      </c>
      <c r="C552" s="973"/>
      <c r="D552" s="973" t="s">
        <v>2950</v>
      </c>
      <c r="E552" s="1016"/>
      <c r="G552" s="977" t="s">
        <v>2952</v>
      </c>
      <c r="H552" s="978">
        <f>E552+E553+E554+E555</f>
        <v>-389166.0199999999</v>
      </c>
    </row>
    <row r="553" spans="1:8">
      <c r="A553" s="971" t="s">
        <v>2945</v>
      </c>
      <c r="B553" s="971" t="s">
        <v>2796</v>
      </c>
      <c r="C553" s="973"/>
      <c r="D553" s="973" t="s">
        <v>2951</v>
      </c>
      <c r="E553" s="1016"/>
      <c r="G553" s="979"/>
      <c r="H553" s="980"/>
    </row>
    <row r="554" spans="1:8" ht="13.5" thickBot="1">
      <c r="A554" s="971" t="s">
        <v>2945</v>
      </c>
      <c r="B554" s="971" t="s">
        <v>2799</v>
      </c>
      <c r="C554" s="973"/>
      <c r="D554" s="973" t="s">
        <v>2953</v>
      </c>
      <c r="E554" s="1016">
        <f>'Ledger Load Template LGSvcs TEM'!AA456</f>
        <v>-389166.0199999999</v>
      </c>
      <c r="G554" s="981" t="s">
        <v>2803</v>
      </c>
      <c r="H554" s="982">
        <f>H545+H546+H548+H549+H552</f>
        <v>0</v>
      </c>
    </row>
    <row r="555" spans="1:8" ht="13.5" thickTop="1">
      <c r="A555" s="971" t="s">
        <v>2945</v>
      </c>
      <c r="B555" s="971" t="s">
        <v>2801</v>
      </c>
      <c r="C555" s="973"/>
      <c r="D555" s="973" t="s">
        <v>2954</v>
      </c>
      <c r="E555" s="1016"/>
      <c r="G555" s="955"/>
      <c r="H555" s="955"/>
    </row>
    <row r="556" spans="1:8">
      <c r="A556" s="1775" t="s">
        <v>2955</v>
      </c>
      <c r="B556" s="1776"/>
      <c r="C556" s="1776"/>
      <c r="D556" s="1776"/>
      <c r="E556" s="1777"/>
      <c r="G556" s="955"/>
      <c r="H556" s="955"/>
    </row>
    <row r="557" spans="1:8">
      <c r="A557" s="971" t="s">
        <v>2945</v>
      </c>
      <c r="B557" s="971" t="s">
        <v>2805</v>
      </c>
      <c r="C557" s="973"/>
      <c r="D557" s="973" t="s">
        <v>2956</v>
      </c>
      <c r="E557" s="1016">
        <f>'Ledger Load Template LGSvcs TEM'!AA458</f>
        <v>0</v>
      </c>
      <c r="G557" s="955"/>
      <c r="H557" s="955"/>
    </row>
    <row r="558" spans="1:8">
      <c r="A558" s="971" t="s">
        <v>2945</v>
      </c>
      <c r="B558" s="971" t="s">
        <v>2807</v>
      </c>
      <c r="C558" s="973"/>
      <c r="D558" s="973" t="s">
        <v>2957</v>
      </c>
      <c r="E558" s="1016"/>
      <c r="G558" s="955"/>
      <c r="H558" s="955"/>
    </row>
    <row r="559" spans="1:8">
      <c r="A559" s="971" t="s">
        <v>2945</v>
      </c>
      <c r="B559" s="971" t="s">
        <v>2809</v>
      </c>
      <c r="C559" s="973"/>
      <c r="D559" s="973" t="s">
        <v>2810</v>
      </c>
      <c r="E559" s="1016"/>
      <c r="G559" s="955"/>
      <c r="H559" s="955"/>
    </row>
    <row r="560" spans="1:8">
      <c r="A560" s="971" t="s">
        <v>2945</v>
      </c>
      <c r="B560" s="971" t="s">
        <v>2811</v>
      </c>
      <c r="C560" s="973"/>
      <c r="D560" s="973" t="s">
        <v>2958</v>
      </c>
      <c r="E560" s="1016"/>
      <c r="G560" s="955"/>
      <c r="H560" s="955"/>
    </row>
    <row r="561" spans="1:8">
      <c r="A561" s="971" t="s">
        <v>2945</v>
      </c>
      <c r="B561" s="971" t="s">
        <v>2813</v>
      </c>
      <c r="C561" s="973"/>
      <c r="D561" s="973" t="s">
        <v>2814</v>
      </c>
      <c r="E561" s="1016"/>
      <c r="G561" s="955"/>
      <c r="H561" s="955"/>
    </row>
    <row r="562" spans="1:8">
      <c r="A562" s="971" t="s">
        <v>2945</v>
      </c>
      <c r="B562" s="971" t="s">
        <v>2815</v>
      </c>
      <c r="C562" s="973"/>
      <c r="D562" s="973" t="s">
        <v>2816</v>
      </c>
      <c r="E562" s="1016"/>
      <c r="G562" s="955"/>
      <c r="H562" s="955"/>
    </row>
    <row r="563" spans="1:8">
      <c r="A563" s="971" t="s">
        <v>2945</v>
      </c>
      <c r="B563" s="971" t="s">
        <v>2817</v>
      </c>
      <c r="C563" s="973"/>
      <c r="D563" s="973" t="s">
        <v>2959</v>
      </c>
      <c r="E563" s="1016">
        <f>'Ledger Load Template LGSvcs TEM'!AA464</f>
        <v>0</v>
      </c>
      <c r="G563" s="955"/>
      <c r="H563" s="955"/>
    </row>
    <row r="564" spans="1:8">
      <c r="A564" s="971" t="s">
        <v>2945</v>
      </c>
      <c r="B564" s="971" t="s">
        <v>2819</v>
      </c>
      <c r="C564" s="973"/>
      <c r="D564" s="973" t="s">
        <v>2820</v>
      </c>
      <c r="E564" s="1016"/>
      <c r="G564" s="955"/>
      <c r="H564" s="955"/>
    </row>
    <row r="565" spans="1:8">
      <c r="A565" s="971" t="s">
        <v>2945</v>
      </c>
      <c r="B565" s="971" t="s">
        <v>2821</v>
      </c>
      <c r="C565" s="973"/>
      <c r="D565" s="973" t="s">
        <v>2960</v>
      </c>
      <c r="E565" s="1016"/>
      <c r="G565" s="955"/>
      <c r="H565" s="955"/>
    </row>
    <row r="566" spans="1:8">
      <c r="A566" s="971" t="s">
        <v>2945</v>
      </c>
      <c r="B566" s="971" t="s">
        <v>2823</v>
      </c>
      <c r="C566" s="973"/>
      <c r="D566" s="973" t="s">
        <v>2824</v>
      </c>
      <c r="E566" s="1016">
        <f>'Ledger Load Template LGSvcs TEM'!AA467</f>
        <v>-13010.1</v>
      </c>
      <c r="G566" s="955"/>
      <c r="H566" s="955"/>
    </row>
    <row r="567" spans="1:8">
      <c r="A567" s="971" t="s">
        <v>2945</v>
      </c>
      <c r="B567" s="971" t="s">
        <v>2825</v>
      </c>
      <c r="C567" s="973"/>
      <c r="D567" s="973" t="s">
        <v>2826</v>
      </c>
      <c r="E567" s="1016"/>
      <c r="G567" s="955"/>
      <c r="H567" s="955"/>
    </row>
    <row r="568" spans="1:8">
      <c r="A568" s="971" t="s">
        <v>2945</v>
      </c>
      <c r="B568" s="971" t="s">
        <v>2827</v>
      </c>
      <c r="C568" s="973"/>
      <c r="D568" s="973" t="s">
        <v>2961</v>
      </c>
      <c r="E568" s="1016"/>
      <c r="G568" s="955"/>
      <c r="H568" s="955"/>
    </row>
    <row r="569" spans="1:8">
      <c r="A569" s="971" t="s">
        <v>2945</v>
      </c>
      <c r="B569" s="971" t="s">
        <v>2829</v>
      </c>
      <c r="C569" s="973"/>
      <c r="D569" s="973" t="s">
        <v>2830</v>
      </c>
      <c r="E569" s="1016"/>
      <c r="G569" s="955"/>
      <c r="H569" s="955"/>
    </row>
    <row r="570" spans="1:8">
      <c r="A570" s="971" t="s">
        <v>2945</v>
      </c>
      <c r="B570" s="971" t="s">
        <v>2831</v>
      </c>
      <c r="C570" s="973"/>
      <c r="D570" s="973" t="s">
        <v>2962</v>
      </c>
      <c r="E570" s="1016"/>
      <c r="G570" s="955"/>
      <c r="H570" s="955"/>
    </row>
    <row r="571" spans="1:8">
      <c r="A571" s="971" t="s">
        <v>2945</v>
      </c>
      <c r="B571" s="971" t="s">
        <v>2833</v>
      </c>
      <c r="C571" s="973"/>
      <c r="D571" s="973" t="s">
        <v>2834</v>
      </c>
      <c r="E571" s="1016"/>
      <c r="G571" s="955"/>
      <c r="H571" s="955"/>
    </row>
    <row r="572" spans="1:8">
      <c r="A572" s="971" t="s">
        <v>2945</v>
      </c>
      <c r="B572" s="971" t="s">
        <v>2835</v>
      </c>
      <c r="C572" s="973"/>
      <c r="D572" s="973" t="s">
        <v>2836</v>
      </c>
      <c r="E572" s="1016"/>
      <c r="G572" s="955"/>
      <c r="H572" s="955"/>
    </row>
    <row r="573" spans="1:8">
      <c r="A573" s="971" t="s">
        <v>2945</v>
      </c>
      <c r="B573" s="971" t="s">
        <v>2837</v>
      </c>
      <c r="C573" s="973"/>
      <c r="D573" s="973" t="s">
        <v>2838</v>
      </c>
      <c r="E573" s="1016"/>
      <c r="G573" s="955"/>
      <c r="H573" s="955"/>
    </row>
    <row r="574" spans="1:8">
      <c r="A574" s="971" t="s">
        <v>2945</v>
      </c>
      <c r="B574" s="971" t="s">
        <v>2839</v>
      </c>
      <c r="C574" s="973"/>
      <c r="D574" s="973" t="s">
        <v>2963</v>
      </c>
      <c r="E574" s="1016"/>
      <c r="G574" s="955"/>
      <c r="H574" s="955"/>
    </row>
    <row r="575" spans="1:8">
      <c r="A575" s="971" t="s">
        <v>2945</v>
      </c>
      <c r="B575" s="971" t="s">
        <v>2841</v>
      </c>
      <c r="C575" s="973"/>
      <c r="D575" s="973" t="s">
        <v>2964</v>
      </c>
      <c r="E575" s="1016">
        <f>'Ledger Load Template LGSvcs TEM'!AA477</f>
        <v>-263860.65000000002</v>
      </c>
      <c r="G575" s="955"/>
      <c r="H575" s="955"/>
    </row>
    <row r="576" spans="1:8">
      <c r="A576" s="971" t="s">
        <v>2945</v>
      </c>
      <c r="B576" s="971" t="s">
        <v>2843</v>
      </c>
      <c r="C576" s="973"/>
      <c r="D576" s="973" t="s">
        <v>1039</v>
      </c>
      <c r="E576" s="1016"/>
      <c r="G576" s="955"/>
      <c r="H576" s="955"/>
    </row>
    <row r="577" spans="1:8">
      <c r="A577" s="971" t="s">
        <v>2945</v>
      </c>
      <c r="B577" s="971" t="s">
        <v>2845</v>
      </c>
      <c r="C577" s="973"/>
      <c r="D577" s="973" t="s">
        <v>1040</v>
      </c>
      <c r="E577" s="1016"/>
      <c r="G577" s="955"/>
      <c r="H577" s="955"/>
    </row>
    <row r="578" spans="1:8">
      <c r="A578" s="971" t="s">
        <v>2945</v>
      </c>
      <c r="B578" s="971" t="s">
        <v>2847</v>
      </c>
      <c r="C578" s="973"/>
      <c r="D578" s="973" t="s">
        <v>1041</v>
      </c>
      <c r="E578" s="1016"/>
      <c r="G578" s="955"/>
      <c r="H578" s="955"/>
    </row>
    <row r="579" spans="1:8">
      <c r="A579" s="971" t="s">
        <v>2945</v>
      </c>
      <c r="B579" s="971" t="s">
        <v>2849</v>
      </c>
      <c r="C579" s="973"/>
      <c r="D579" s="973" t="s">
        <v>1042</v>
      </c>
      <c r="E579" s="1016"/>
      <c r="G579" s="955"/>
      <c r="H579" s="955"/>
    </row>
    <row r="580" spans="1:8">
      <c r="A580" s="971" t="s">
        <v>2945</v>
      </c>
      <c r="B580" s="971" t="s">
        <v>2850</v>
      </c>
      <c r="C580" s="973"/>
      <c r="D580" s="973" t="s">
        <v>1043</v>
      </c>
      <c r="E580" s="1016"/>
      <c r="G580" s="955"/>
      <c r="H580" s="955"/>
    </row>
    <row r="581" spans="1:8">
      <c r="A581" s="971" t="s">
        <v>2945</v>
      </c>
      <c r="B581" s="971" t="s">
        <v>2852</v>
      </c>
      <c r="C581" s="973"/>
      <c r="D581" s="973" t="s">
        <v>2965</v>
      </c>
      <c r="E581" s="1016"/>
      <c r="G581" s="955"/>
      <c r="H581" s="955"/>
    </row>
    <row r="582" spans="1:8">
      <c r="A582" s="971" t="s">
        <v>2945</v>
      </c>
      <c r="B582" s="971" t="s">
        <v>2854</v>
      </c>
      <c r="C582" s="973"/>
      <c r="D582" s="973" t="s">
        <v>2855</v>
      </c>
      <c r="E582" s="1016"/>
      <c r="G582" s="955"/>
      <c r="H582" s="955"/>
    </row>
    <row r="583" spans="1:8">
      <c r="A583" s="971" t="s">
        <v>2945</v>
      </c>
      <c r="B583" s="971" t="s">
        <v>2856</v>
      </c>
      <c r="C583" s="973"/>
      <c r="D583" s="973" t="s">
        <v>2857</v>
      </c>
      <c r="E583" s="1016">
        <f>'Ledger Load Template LGSvcs TEM'!AA486</f>
        <v>0</v>
      </c>
      <c r="G583" s="955"/>
      <c r="H583" s="955"/>
    </row>
    <row r="584" spans="1:8">
      <c r="A584" s="971" t="s">
        <v>2945</v>
      </c>
      <c r="B584" s="971" t="s">
        <v>2858</v>
      </c>
      <c r="C584" s="973"/>
      <c r="D584" s="973" t="s">
        <v>2859</v>
      </c>
      <c r="E584" s="1016">
        <f>'Ledger Load Template LGSvcs TEM'!AA489</f>
        <v>0</v>
      </c>
      <c r="G584" s="955"/>
      <c r="H584" s="955"/>
    </row>
    <row r="585" spans="1:8">
      <c r="A585" s="971" t="s">
        <v>2945</v>
      </c>
      <c r="B585" s="971" t="s">
        <v>2860</v>
      </c>
      <c r="C585" s="973"/>
      <c r="D585" s="973" t="s">
        <v>2861</v>
      </c>
      <c r="E585" s="1016"/>
      <c r="G585" s="955"/>
      <c r="H585" s="955"/>
    </row>
    <row r="586" spans="1:8">
      <c r="A586" s="971" t="s">
        <v>2945</v>
      </c>
      <c r="B586" s="971" t="s">
        <v>2862</v>
      </c>
      <c r="C586" s="973"/>
      <c r="D586" s="973" t="s">
        <v>2966</v>
      </c>
      <c r="E586" s="1016"/>
      <c r="G586" s="955"/>
      <c r="H586" s="955"/>
    </row>
    <row r="587" spans="1:8">
      <c r="A587" s="971" t="s">
        <v>2945</v>
      </c>
      <c r="B587" s="971" t="s">
        <v>2864</v>
      </c>
      <c r="C587" s="973"/>
      <c r="D587" s="973" t="s">
        <v>2865</v>
      </c>
      <c r="E587" s="1016"/>
      <c r="G587" s="955"/>
      <c r="H587" s="955"/>
    </row>
    <row r="588" spans="1:8">
      <c r="A588" s="971" t="s">
        <v>2945</v>
      </c>
      <c r="B588" s="971" t="s">
        <v>2866</v>
      </c>
      <c r="C588" s="973"/>
      <c r="D588" s="973" t="s">
        <v>1877</v>
      </c>
      <c r="E588" s="1016">
        <f>'Ledger Load Template LGSvcs TEM'!AA493</f>
        <v>0</v>
      </c>
      <c r="G588" s="955"/>
      <c r="H588" s="955"/>
    </row>
    <row r="589" spans="1:8">
      <c r="A589" s="971" t="s">
        <v>2945</v>
      </c>
      <c r="B589" s="971" t="s">
        <v>2867</v>
      </c>
      <c r="C589" s="973"/>
      <c r="D589" s="973" t="s">
        <v>299</v>
      </c>
      <c r="E589" s="1016">
        <f>'Ledger Load Template LGSvcs TEM'!AA495</f>
        <v>-438.76000000000005</v>
      </c>
      <c r="G589" s="955"/>
      <c r="H589" s="955"/>
    </row>
    <row r="590" spans="1:8">
      <c r="A590" s="971" t="s">
        <v>2945</v>
      </c>
      <c r="B590" s="971" t="s">
        <v>2868</v>
      </c>
      <c r="C590" s="973"/>
      <c r="D590" s="973" t="s">
        <v>2869</v>
      </c>
      <c r="E590" s="1016"/>
      <c r="G590" s="955"/>
      <c r="H590" s="955"/>
    </row>
    <row r="591" spans="1:8">
      <c r="A591" s="971" t="s">
        <v>2945</v>
      </c>
      <c r="B591" s="971" t="s">
        <v>2870</v>
      </c>
      <c r="C591" s="973"/>
      <c r="D591" s="973" t="s">
        <v>2871</v>
      </c>
      <c r="E591" s="1016"/>
      <c r="G591" s="955"/>
      <c r="H591" s="955"/>
    </row>
    <row r="592" spans="1:8">
      <c r="A592" s="971" t="s">
        <v>2945</v>
      </c>
      <c r="B592" s="971" t="s">
        <v>2872</v>
      </c>
      <c r="C592" s="973"/>
      <c r="D592" s="973" t="s">
        <v>2967</v>
      </c>
      <c r="E592" s="1016"/>
      <c r="G592" s="955"/>
      <c r="H592" s="955"/>
    </row>
    <row r="593" spans="1:8">
      <c r="A593" s="971" t="s">
        <v>2945</v>
      </c>
      <c r="B593" s="971" t="s">
        <v>2874</v>
      </c>
      <c r="C593" s="973"/>
      <c r="D593" s="973" t="s">
        <v>2968</v>
      </c>
      <c r="E593" s="1016">
        <f>'Ledger Load Template LGSvcs TEM'!AA500</f>
        <v>0</v>
      </c>
      <c r="G593" s="955"/>
      <c r="H593" s="955"/>
    </row>
    <row r="594" spans="1:8">
      <c r="A594" s="971" t="s">
        <v>2945</v>
      </c>
      <c r="B594" s="971" t="s">
        <v>2876</v>
      </c>
      <c r="C594" s="973"/>
      <c r="D594" s="973" t="s">
        <v>2877</v>
      </c>
      <c r="E594" s="1016">
        <f>'Ledger Load Template LGSvcs TEM'!AA501</f>
        <v>0</v>
      </c>
      <c r="G594" s="955"/>
      <c r="H594" s="955"/>
    </row>
    <row r="595" spans="1:8">
      <c r="A595" s="971" t="s">
        <v>2945</v>
      </c>
      <c r="B595" s="971" t="s">
        <v>2878</v>
      </c>
      <c r="C595" s="973"/>
      <c r="D595" s="973" t="s">
        <v>2879</v>
      </c>
      <c r="E595" s="1016">
        <f>'Ledger Load Template LGSvcs TEM'!AA502</f>
        <v>0</v>
      </c>
      <c r="G595" s="955"/>
      <c r="H595" s="955"/>
    </row>
    <row r="596" spans="1:8">
      <c r="A596" s="971" t="s">
        <v>2945</v>
      </c>
      <c r="B596" s="971" t="s">
        <v>2880</v>
      </c>
      <c r="C596" s="973"/>
      <c r="D596" s="973" t="s">
        <v>2881</v>
      </c>
      <c r="E596" s="1016">
        <f>'Ledger Load Template LGSvcs TEM'!AA503</f>
        <v>-900</v>
      </c>
      <c r="G596" s="955"/>
      <c r="H596" s="955"/>
    </row>
    <row r="597" spans="1:8">
      <c r="A597" s="971" t="s">
        <v>2945</v>
      </c>
      <c r="B597" s="971" t="s">
        <v>2882</v>
      </c>
      <c r="C597" s="973"/>
      <c r="D597" s="973" t="s">
        <v>2883</v>
      </c>
      <c r="E597" s="1016">
        <f>'Ledger Load Template LGSvcs TEM'!AA505</f>
        <v>0</v>
      </c>
      <c r="G597" s="955"/>
      <c r="H597" s="955"/>
    </row>
    <row r="598" spans="1:8">
      <c r="A598" s="971" t="s">
        <v>2945</v>
      </c>
      <c r="B598" s="971" t="s">
        <v>2884</v>
      </c>
      <c r="C598" s="973"/>
      <c r="D598" s="973" t="s">
        <v>2885</v>
      </c>
      <c r="E598" s="1016"/>
      <c r="G598" s="955"/>
      <c r="H598" s="955"/>
    </row>
    <row r="599" spans="1:8">
      <c r="A599" s="971" t="s">
        <v>2945</v>
      </c>
      <c r="B599" s="971" t="s">
        <v>2886</v>
      </c>
      <c r="C599" s="973"/>
      <c r="D599" s="973" t="s">
        <v>2887</v>
      </c>
      <c r="E599" s="1016"/>
      <c r="G599" s="955"/>
      <c r="H599" s="955"/>
    </row>
    <row r="600" spans="1:8">
      <c r="A600" s="971" t="s">
        <v>2945</v>
      </c>
      <c r="B600" s="971" t="s">
        <v>2888</v>
      </c>
      <c r="C600" s="973"/>
      <c r="D600" s="973" t="s">
        <v>2889</v>
      </c>
      <c r="E600" s="1016"/>
      <c r="G600" s="955"/>
      <c r="H600" s="955"/>
    </row>
    <row r="601" spans="1:8">
      <c r="A601" s="971" t="s">
        <v>2945</v>
      </c>
      <c r="B601" s="971" t="s">
        <v>2890</v>
      </c>
      <c r="C601" s="973"/>
      <c r="D601" s="973" t="s">
        <v>2891</v>
      </c>
      <c r="E601" s="1016"/>
      <c r="G601" s="1768" t="s">
        <v>2894</v>
      </c>
      <c r="H601" s="1768"/>
    </row>
    <row r="602" spans="1:8" ht="13.5" thickBot="1">
      <c r="A602" s="971" t="s">
        <v>2945</v>
      </c>
      <c r="B602" s="971" t="s">
        <v>2892</v>
      </c>
      <c r="C602" s="973"/>
      <c r="D602" s="973" t="s">
        <v>2893</v>
      </c>
      <c r="E602" s="1016"/>
      <c r="H602" s="983">
        <f>SUM(E557:E603)</f>
        <v>-278209.51</v>
      </c>
    </row>
    <row r="603" spans="1:8" ht="13.5" thickTop="1">
      <c r="A603" s="971" t="s">
        <v>2945</v>
      </c>
      <c r="B603" s="971" t="s">
        <v>2895</v>
      </c>
      <c r="C603" s="973"/>
      <c r="D603" s="973" t="s">
        <v>2896</v>
      </c>
      <c r="E603" s="1016"/>
      <c r="G603" s="955"/>
      <c r="H603" s="955"/>
    </row>
    <row r="604" spans="1:8">
      <c r="A604" s="1775" t="s">
        <v>2969</v>
      </c>
      <c r="B604" s="1776"/>
      <c r="C604" s="1776"/>
      <c r="D604" s="1776"/>
      <c r="E604" s="1777"/>
      <c r="G604" s="955"/>
      <c r="H604" s="955"/>
    </row>
    <row r="605" spans="1:8">
      <c r="A605" s="971" t="s">
        <v>2945</v>
      </c>
      <c r="B605" s="971" t="s">
        <v>2970</v>
      </c>
      <c r="C605" s="984" t="s">
        <v>2899</v>
      </c>
      <c r="D605" s="973" t="s">
        <v>2971</v>
      </c>
      <c r="E605" s="1016">
        <f>'Ledger Load Template LGSvcs TEM'!AA512</f>
        <v>146186.55000000002</v>
      </c>
      <c r="G605" s="955"/>
      <c r="H605" s="955"/>
    </row>
    <row r="606" spans="1:8">
      <c r="A606" s="971" t="s">
        <v>2945</v>
      </c>
      <c r="B606" s="971" t="s">
        <v>2972</v>
      </c>
      <c r="C606" s="984" t="s">
        <v>2973</v>
      </c>
      <c r="D606" s="973" t="s">
        <v>2974</v>
      </c>
      <c r="E606" s="1016">
        <f>'Ledger Load Template LGSvcs TEM'!AA513</f>
        <v>26078.82</v>
      </c>
      <c r="G606" s="955"/>
      <c r="H606" s="955"/>
    </row>
    <row r="607" spans="1:8">
      <c r="A607" s="971" t="s">
        <v>2945</v>
      </c>
      <c r="B607" s="971" t="s">
        <v>2972</v>
      </c>
      <c r="C607" s="984" t="s">
        <v>2975</v>
      </c>
      <c r="D607" s="973" t="s">
        <v>2976</v>
      </c>
      <c r="E607" s="1016">
        <f>'Ledger Load Template LGSvcs TEM'!AA514</f>
        <v>34129.899999999994</v>
      </c>
      <c r="G607" s="955"/>
      <c r="H607" s="955"/>
    </row>
    <row r="608" spans="1:8">
      <c r="A608" s="971" t="s">
        <v>2945</v>
      </c>
      <c r="B608" s="971" t="s">
        <v>2972</v>
      </c>
      <c r="C608" s="984" t="s">
        <v>2977</v>
      </c>
      <c r="D608" s="973" t="s">
        <v>2978</v>
      </c>
      <c r="E608" s="1016">
        <f>'Ledger Load Template LGSvcs TEM'!AA515</f>
        <v>0</v>
      </c>
      <c r="G608" s="955"/>
      <c r="H608" s="955"/>
    </row>
    <row r="609" spans="1:8">
      <c r="A609" s="971" t="s">
        <v>2945</v>
      </c>
      <c r="B609" s="971" t="s">
        <v>2972</v>
      </c>
      <c r="C609" s="984" t="s">
        <v>2979</v>
      </c>
      <c r="D609" s="973" t="s">
        <v>2980</v>
      </c>
      <c r="E609" s="1016">
        <f>'Ledger Load Template LGSvcs TEM'!AA516</f>
        <v>0</v>
      </c>
      <c r="G609" s="955"/>
      <c r="H609" s="955"/>
    </row>
    <row r="610" spans="1:8">
      <c r="A610" s="971" t="s">
        <v>2945</v>
      </c>
      <c r="B610" s="971" t="s">
        <v>2972</v>
      </c>
      <c r="C610" s="984" t="s">
        <v>2902</v>
      </c>
      <c r="D610" s="973" t="s">
        <v>2981</v>
      </c>
      <c r="E610" s="1016"/>
      <c r="G610" s="955"/>
      <c r="H610" s="955"/>
    </row>
    <row r="611" spans="1:8">
      <c r="A611" s="971" t="s">
        <v>2945</v>
      </c>
      <c r="B611" s="971" t="s">
        <v>2972</v>
      </c>
      <c r="C611" s="984" t="s">
        <v>2903</v>
      </c>
      <c r="D611" s="973" t="s">
        <v>2982</v>
      </c>
      <c r="E611" s="1016">
        <f>'Ledger Load Template LGSvcs TEM'!AA517</f>
        <v>0</v>
      </c>
      <c r="G611" s="955"/>
      <c r="H611" s="955"/>
    </row>
    <row r="612" spans="1:8">
      <c r="A612" s="971" t="s">
        <v>2945</v>
      </c>
      <c r="B612" s="971" t="s">
        <v>2972</v>
      </c>
      <c r="C612" s="984" t="s">
        <v>2983</v>
      </c>
      <c r="D612" s="973" t="s">
        <v>2984</v>
      </c>
      <c r="E612" s="1016">
        <f>'Ledger Load Template LGSvcs TEM'!AA518</f>
        <v>0</v>
      </c>
      <c r="G612" s="1768" t="s">
        <v>2987</v>
      </c>
      <c r="H612" s="1768"/>
    </row>
    <row r="613" spans="1:8" ht="13.5" thickBot="1">
      <c r="A613" s="971" t="s">
        <v>2945</v>
      </c>
      <c r="B613" s="971" t="s">
        <v>2972</v>
      </c>
      <c r="C613" s="984" t="s">
        <v>2985</v>
      </c>
      <c r="D613" s="973" t="s">
        <v>2986</v>
      </c>
      <c r="E613" s="1016">
        <f>'Ledger Load Template LGSvcs TEM'!AA519+'Ledger Load Template LGSvcs TEM'!AA520</f>
        <v>10066.92</v>
      </c>
      <c r="H613" s="983">
        <f>SUM(E605:E614)</f>
        <v>216462.19000000003</v>
      </c>
    </row>
    <row r="614" spans="1:8" ht="13.5" thickTop="1">
      <c r="A614" s="971" t="s">
        <v>2945</v>
      </c>
      <c r="B614" s="971" t="s">
        <v>2972</v>
      </c>
      <c r="C614" s="984" t="s">
        <v>2904</v>
      </c>
      <c r="D614" s="973" t="s">
        <v>2988</v>
      </c>
      <c r="E614" s="1016"/>
      <c r="G614" s="955"/>
      <c r="H614" s="955"/>
    </row>
    <row r="615" spans="1:8">
      <c r="A615" s="1778"/>
      <c r="B615" s="1779"/>
      <c r="C615" s="1779"/>
      <c r="D615" s="1779"/>
      <c r="E615" s="1780"/>
      <c r="G615" s="955"/>
      <c r="H615" s="955"/>
    </row>
    <row r="616" spans="1:8" ht="15.75">
      <c r="A616" s="1769" t="s">
        <v>2989</v>
      </c>
      <c r="B616" s="1770"/>
      <c r="C616" s="1770"/>
      <c r="D616" s="1770"/>
      <c r="E616" s="1771"/>
      <c r="G616" s="955"/>
      <c r="H616" s="955"/>
    </row>
    <row r="617" spans="1:8">
      <c r="A617" s="1772" t="s">
        <v>2990</v>
      </c>
      <c r="B617" s="1773"/>
      <c r="C617" s="1773"/>
      <c r="D617" s="1773"/>
      <c r="E617" s="1774"/>
      <c r="G617" s="955"/>
      <c r="H617" s="955"/>
    </row>
    <row r="618" spans="1:8">
      <c r="A618" s="971" t="s">
        <v>2991</v>
      </c>
      <c r="B618" s="968" t="s">
        <v>2764</v>
      </c>
      <c r="C618" s="973"/>
      <c r="D618" s="970" t="s">
        <v>2765</v>
      </c>
      <c r="E618" s="1016">
        <f>'Ledger Load Template LGSvcs TEM'!AA521</f>
        <v>0</v>
      </c>
      <c r="G618" s="955"/>
      <c r="H618" s="955"/>
    </row>
    <row r="619" spans="1:8">
      <c r="A619" s="971" t="s">
        <v>2991</v>
      </c>
      <c r="B619" s="972" t="s">
        <v>2766</v>
      </c>
      <c r="C619" s="973"/>
      <c r="D619" s="973" t="s">
        <v>2767</v>
      </c>
      <c r="E619" s="1016">
        <f>'Ledger Load Template LGSvcs TEM'!AA522</f>
        <v>0</v>
      </c>
      <c r="G619" s="955"/>
      <c r="H619" s="955"/>
    </row>
    <row r="620" spans="1:8">
      <c r="A620" s="971" t="s">
        <v>2991</v>
      </c>
      <c r="B620" s="974" t="s">
        <v>2768</v>
      </c>
      <c r="C620" s="973"/>
      <c r="D620" s="973" t="s">
        <v>2769</v>
      </c>
      <c r="E620" s="1016">
        <f>'Ledger Load Template LGSvcs TEM'!AA523</f>
        <v>0</v>
      </c>
      <c r="G620" s="955"/>
      <c r="H620" s="955"/>
    </row>
    <row r="621" spans="1:8">
      <c r="A621" s="971" t="s">
        <v>2991</v>
      </c>
      <c r="B621" s="974" t="s">
        <v>2770</v>
      </c>
      <c r="C621" s="973"/>
      <c r="D621" s="973" t="s">
        <v>2771</v>
      </c>
      <c r="E621" s="1016">
        <f>'Ledger Load Template LGSvcs TEM'!AA524</f>
        <v>0</v>
      </c>
      <c r="G621" s="955"/>
      <c r="H621" s="955"/>
    </row>
    <row r="622" spans="1:8">
      <c r="A622" s="971" t="s">
        <v>2991</v>
      </c>
      <c r="B622" s="974" t="s">
        <v>2772</v>
      </c>
      <c r="C622" s="973"/>
      <c r="D622" s="973" t="s">
        <v>2773</v>
      </c>
      <c r="E622" s="1016">
        <f>'Ledger Load Template LGSvcs TEM'!AA525</f>
        <v>0</v>
      </c>
      <c r="G622" s="955"/>
      <c r="H622" s="955"/>
    </row>
    <row r="623" spans="1:8">
      <c r="A623" s="971" t="s">
        <v>2991</v>
      </c>
      <c r="B623" s="974" t="s">
        <v>2774</v>
      </c>
      <c r="C623" s="973"/>
      <c r="D623" s="973" t="s">
        <v>1065</v>
      </c>
      <c r="E623" s="1016">
        <f>'Ledger Load Template LGSvcs TEM'!AA526</f>
        <v>0</v>
      </c>
      <c r="G623" s="955"/>
      <c r="H623" s="955"/>
    </row>
    <row r="624" spans="1:8">
      <c r="A624" s="971" t="s">
        <v>2991</v>
      </c>
      <c r="B624" s="974" t="s">
        <v>2775</v>
      </c>
      <c r="C624" s="973"/>
      <c r="D624" s="973" t="s">
        <v>2776</v>
      </c>
      <c r="E624" s="1016">
        <f>'Ledger Load Template LGSvcs TEM'!AA527+'Ledger Load Template LGSvcs TEM'!AA528</f>
        <v>0</v>
      </c>
      <c r="G624" s="955"/>
      <c r="H624" s="955"/>
    </row>
    <row r="625" spans="1:8">
      <c r="A625" s="971" t="s">
        <v>2991</v>
      </c>
      <c r="B625" s="974" t="s">
        <v>2777</v>
      </c>
      <c r="C625" s="973"/>
      <c r="D625" s="973" t="s">
        <v>2778</v>
      </c>
      <c r="E625" s="1016">
        <f>'Ledger Load Template LGSvcs TEM'!AA529</f>
        <v>0</v>
      </c>
      <c r="G625" s="955"/>
      <c r="H625" s="955"/>
    </row>
    <row r="626" spans="1:8">
      <c r="A626" s="971" t="s">
        <v>2991</v>
      </c>
      <c r="B626" s="974" t="s">
        <v>2779</v>
      </c>
      <c r="C626" s="973"/>
      <c r="D626" s="973" t="s">
        <v>2780</v>
      </c>
      <c r="E626" s="1016">
        <f>'Ledger Load Template LGSvcs TEM'!AA530</f>
        <v>0</v>
      </c>
      <c r="G626" s="975" t="s">
        <v>2993</v>
      </c>
      <c r="H626" s="976"/>
    </row>
    <row r="627" spans="1:8">
      <c r="A627" s="1772" t="s">
        <v>2992</v>
      </c>
      <c r="B627" s="1773"/>
      <c r="C627" s="1773"/>
      <c r="D627" s="1773"/>
      <c r="E627" s="1774"/>
      <c r="G627" s="977" t="s">
        <v>522</v>
      </c>
      <c r="H627" s="978">
        <f>E618+E619+E620+E621+E622+E623+E624+E625</f>
        <v>0</v>
      </c>
    </row>
    <row r="628" spans="1:8">
      <c r="A628" s="971" t="s">
        <v>2991</v>
      </c>
      <c r="B628" s="971" t="s">
        <v>2783</v>
      </c>
      <c r="C628" s="973"/>
      <c r="D628" s="973" t="s">
        <v>2948</v>
      </c>
      <c r="E628" s="1016">
        <f>'Ledger Load Template LGSvcs TEM'!AA531</f>
        <v>0</v>
      </c>
      <c r="G628" s="977" t="s">
        <v>2788</v>
      </c>
      <c r="H628" s="978">
        <f>E626</f>
        <v>0</v>
      </c>
    </row>
    <row r="629" spans="1:8">
      <c r="A629" s="971" t="s">
        <v>2991</v>
      </c>
      <c r="B629" s="971" t="s">
        <v>2786</v>
      </c>
      <c r="C629" s="973"/>
      <c r="D629" s="973" t="s">
        <v>2787</v>
      </c>
      <c r="E629" s="1016">
        <f>'Ledger Load Template LGSvcs TEM'!AA532</f>
        <v>0</v>
      </c>
      <c r="G629" s="977"/>
      <c r="H629" s="978"/>
    </row>
    <row r="630" spans="1:8">
      <c r="A630" s="971" t="s">
        <v>2991</v>
      </c>
      <c r="B630" s="971" t="s">
        <v>2789</v>
      </c>
      <c r="C630" s="973"/>
      <c r="D630" s="973" t="s">
        <v>1908</v>
      </c>
      <c r="E630" s="1016">
        <f>'Ledger Load Template LGSvcs TEM'!AA534</f>
        <v>0</v>
      </c>
      <c r="G630" s="977" t="s">
        <v>1211</v>
      </c>
      <c r="H630" s="978">
        <f>E628+E629+E631+E632+E633</f>
        <v>0</v>
      </c>
    </row>
    <row r="631" spans="1:8">
      <c r="A631" s="971" t="s">
        <v>2991</v>
      </c>
      <c r="B631" s="971" t="s">
        <v>2790</v>
      </c>
      <c r="C631" s="973"/>
      <c r="D631" s="973" t="s">
        <v>2791</v>
      </c>
      <c r="E631" s="1016">
        <f>'Ledger Load Template LGSvcs TEM'!AA535</f>
        <v>0</v>
      </c>
      <c r="G631" s="977" t="s">
        <v>2793</v>
      </c>
      <c r="H631" s="978">
        <f>E630</f>
        <v>0</v>
      </c>
    </row>
    <row r="632" spans="1:8">
      <c r="A632" s="1004" t="s">
        <v>2991</v>
      </c>
      <c r="B632" s="1009">
        <v>237000</v>
      </c>
      <c r="C632" s="1011"/>
      <c r="D632" s="1011" t="s">
        <v>3029</v>
      </c>
      <c r="E632" s="1018">
        <f>'Ledger Load Template LGSvcs TEM'!AA536</f>
        <v>0</v>
      </c>
      <c r="G632" s="977"/>
      <c r="H632" s="978"/>
    </row>
    <row r="633" spans="1:8">
      <c r="A633" s="1004" t="s">
        <v>2991</v>
      </c>
      <c r="B633" s="1009">
        <v>238000</v>
      </c>
      <c r="C633" s="1011"/>
      <c r="D633" s="1011" t="s">
        <v>3030</v>
      </c>
      <c r="E633" s="1018">
        <f>'Ledger Load Template LGSvcs TEM'!AA537</f>
        <v>0</v>
      </c>
      <c r="G633" s="977" t="s">
        <v>2952</v>
      </c>
      <c r="H633" s="978">
        <f>E635+E636+E637+E638</f>
        <v>0</v>
      </c>
    </row>
    <row r="634" spans="1:8">
      <c r="A634" s="1772" t="s">
        <v>2994</v>
      </c>
      <c r="B634" s="1773"/>
      <c r="C634" s="1773"/>
      <c r="D634" s="1773"/>
      <c r="E634" s="1774"/>
      <c r="G634" s="979"/>
      <c r="H634" s="980"/>
    </row>
    <row r="635" spans="1:8" ht="13.5" thickBot="1">
      <c r="A635" s="971" t="s">
        <v>2991</v>
      </c>
      <c r="B635" s="971" t="s">
        <v>2794</v>
      </c>
      <c r="C635" s="973"/>
      <c r="D635" s="973" t="s">
        <v>2950</v>
      </c>
      <c r="E635" s="1016"/>
      <c r="G635" s="981" t="s">
        <v>2803</v>
      </c>
      <c r="H635" s="982">
        <f>H627+H628+H630+H631+H633</f>
        <v>0</v>
      </c>
    </row>
    <row r="636" spans="1:8" ht="13.5" thickTop="1">
      <c r="A636" s="971" t="s">
        <v>2991</v>
      </c>
      <c r="B636" s="971" t="s">
        <v>2796</v>
      </c>
      <c r="C636" s="973"/>
      <c r="D636" s="973" t="s">
        <v>2951</v>
      </c>
      <c r="E636" s="1016"/>
      <c r="G636" s="955"/>
      <c r="H636" s="955"/>
    </row>
    <row r="637" spans="1:8">
      <c r="A637" s="971" t="s">
        <v>2991</v>
      </c>
      <c r="B637" s="971" t="s">
        <v>2799</v>
      </c>
      <c r="C637" s="973"/>
      <c r="D637" s="973" t="s">
        <v>2953</v>
      </c>
      <c r="E637" s="1016">
        <f>'Ledger Load Template LGSvcs TEM'!AA541</f>
        <v>0</v>
      </c>
      <c r="G637" s="955"/>
      <c r="H637" s="955"/>
    </row>
    <row r="638" spans="1:8">
      <c r="A638" s="971" t="s">
        <v>2991</v>
      </c>
      <c r="B638" s="971" t="s">
        <v>2801</v>
      </c>
      <c r="C638" s="973"/>
      <c r="D638" s="973" t="s">
        <v>2954</v>
      </c>
      <c r="E638" s="1016"/>
      <c r="G638" s="955"/>
      <c r="H638" s="955"/>
    </row>
    <row r="639" spans="1:8">
      <c r="A639" s="1772" t="s">
        <v>2995</v>
      </c>
      <c r="B639" s="1773"/>
      <c r="C639" s="1773"/>
      <c r="D639" s="1773"/>
      <c r="E639" s="1774"/>
      <c r="G639" s="955"/>
      <c r="H639" s="955"/>
    </row>
    <row r="640" spans="1:8">
      <c r="A640" s="971" t="s">
        <v>2991</v>
      </c>
      <c r="B640" s="971" t="s">
        <v>2805</v>
      </c>
      <c r="C640" s="973"/>
      <c r="D640" s="973" t="s">
        <v>2956</v>
      </c>
      <c r="E640" s="1016">
        <f>'Ledger Load Template LGSvcs TEM'!AA543</f>
        <v>0</v>
      </c>
      <c r="G640" s="955"/>
      <c r="H640" s="955"/>
    </row>
    <row r="641" spans="1:8">
      <c r="A641" s="971" t="s">
        <v>2991</v>
      </c>
      <c r="B641" s="971" t="s">
        <v>2807</v>
      </c>
      <c r="C641" s="973"/>
      <c r="D641" s="973" t="s">
        <v>2957</v>
      </c>
      <c r="E641" s="1016"/>
      <c r="G641" s="955"/>
      <c r="H641" s="955"/>
    </row>
    <row r="642" spans="1:8">
      <c r="A642" s="971" t="s">
        <v>2991</v>
      </c>
      <c r="B642" s="971" t="s">
        <v>2809</v>
      </c>
      <c r="C642" s="973"/>
      <c r="D642" s="973" t="s">
        <v>2810</v>
      </c>
      <c r="E642" s="1016"/>
      <c r="G642" s="955"/>
      <c r="H642" s="955"/>
    </row>
    <row r="643" spans="1:8">
      <c r="A643" s="971" t="s">
        <v>2991</v>
      </c>
      <c r="B643" s="971" t="s">
        <v>2811</v>
      </c>
      <c r="C643" s="973"/>
      <c r="D643" s="973" t="s">
        <v>2958</v>
      </c>
      <c r="E643" s="1016"/>
      <c r="G643" s="955"/>
      <c r="H643" s="955"/>
    </row>
    <row r="644" spans="1:8">
      <c r="A644" s="971" t="s">
        <v>2991</v>
      </c>
      <c r="B644" s="971" t="s">
        <v>2813</v>
      </c>
      <c r="C644" s="973"/>
      <c r="D644" s="973" t="s">
        <v>2814</v>
      </c>
      <c r="E644" s="1016"/>
      <c r="G644" s="955"/>
      <c r="H644" s="955"/>
    </row>
    <row r="645" spans="1:8">
      <c r="A645" s="971" t="s">
        <v>2991</v>
      </c>
      <c r="B645" s="971" t="s">
        <v>2815</v>
      </c>
      <c r="C645" s="973"/>
      <c r="D645" s="973" t="s">
        <v>2816</v>
      </c>
      <c r="E645" s="1016"/>
      <c r="G645" s="955"/>
      <c r="H645" s="955"/>
    </row>
    <row r="646" spans="1:8">
      <c r="A646" s="971" t="s">
        <v>2991</v>
      </c>
      <c r="B646" s="971" t="s">
        <v>2817</v>
      </c>
      <c r="C646" s="973"/>
      <c r="D646" s="973" t="s">
        <v>2959</v>
      </c>
      <c r="E646" s="1016">
        <f>'Ledger Load Template LGSvcs TEM'!AA549</f>
        <v>0</v>
      </c>
      <c r="G646" s="955"/>
      <c r="H646" s="955"/>
    </row>
    <row r="647" spans="1:8">
      <c r="A647" s="971" t="s">
        <v>2991</v>
      </c>
      <c r="B647" s="971" t="s">
        <v>2819</v>
      </c>
      <c r="C647" s="973"/>
      <c r="D647" s="973" t="s">
        <v>2820</v>
      </c>
      <c r="E647" s="1016"/>
      <c r="G647" s="955"/>
      <c r="H647" s="955"/>
    </row>
    <row r="648" spans="1:8">
      <c r="A648" s="971" t="s">
        <v>2991</v>
      </c>
      <c r="B648" s="971" t="s">
        <v>2821</v>
      </c>
      <c r="C648" s="973"/>
      <c r="D648" s="973" t="s">
        <v>2960</v>
      </c>
      <c r="E648" s="1016"/>
      <c r="G648" s="955"/>
      <c r="H648" s="955"/>
    </row>
    <row r="649" spans="1:8">
      <c r="A649" s="971" t="s">
        <v>2991</v>
      </c>
      <c r="B649" s="971" t="s">
        <v>2823</v>
      </c>
      <c r="C649" s="973"/>
      <c r="D649" s="973" t="s">
        <v>2824</v>
      </c>
      <c r="E649" s="1016">
        <f>'Ledger Load Template LGSvcs TEM'!AA552</f>
        <v>0</v>
      </c>
      <c r="G649" s="955"/>
      <c r="H649" s="955"/>
    </row>
    <row r="650" spans="1:8">
      <c r="A650" s="971" t="s">
        <v>2991</v>
      </c>
      <c r="B650" s="971" t="s">
        <v>2825</v>
      </c>
      <c r="C650" s="973"/>
      <c r="D650" s="973" t="s">
        <v>2826</v>
      </c>
      <c r="E650" s="1016"/>
      <c r="G650" s="955"/>
      <c r="H650" s="955"/>
    </row>
    <row r="651" spans="1:8">
      <c r="A651" s="971" t="s">
        <v>2991</v>
      </c>
      <c r="B651" s="971" t="s">
        <v>2827</v>
      </c>
      <c r="C651" s="973"/>
      <c r="D651" s="973" t="s">
        <v>2961</v>
      </c>
      <c r="E651" s="1016"/>
      <c r="G651" s="955"/>
      <c r="H651" s="955"/>
    </row>
    <row r="652" spans="1:8">
      <c r="A652" s="971" t="s">
        <v>2991</v>
      </c>
      <c r="B652" s="971" t="s">
        <v>2829</v>
      </c>
      <c r="C652" s="973"/>
      <c r="D652" s="973" t="s">
        <v>2830</v>
      </c>
      <c r="E652" s="1016"/>
      <c r="G652" s="955"/>
      <c r="H652" s="955"/>
    </row>
    <row r="653" spans="1:8">
      <c r="A653" s="971" t="s">
        <v>2991</v>
      </c>
      <c r="B653" s="971" t="s">
        <v>2831</v>
      </c>
      <c r="C653" s="973"/>
      <c r="D653" s="973" t="s">
        <v>2962</v>
      </c>
      <c r="E653" s="1016"/>
      <c r="G653" s="955"/>
      <c r="H653" s="955"/>
    </row>
    <row r="654" spans="1:8">
      <c r="A654" s="971" t="s">
        <v>2991</v>
      </c>
      <c r="B654" s="971" t="s">
        <v>2833</v>
      </c>
      <c r="C654" s="973"/>
      <c r="D654" s="973" t="s">
        <v>2834</v>
      </c>
      <c r="E654" s="1016"/>
      <c r="G654" s="955"/>
      <c r="H654" s="955"/>
    </row>
    <row r="655" spans="1:8">
      <c r="A655" s="971" t="s">
        <v>2991</v>
      </c>
      <c r="B655" s="971" t="s">
        <v>2835</v>
      </c>
      <c r="C655" s="973"/>
      <c r="D655" s="973" t="s">
        <v>2836</v>
      </c>
      <c r="E655" s="1016"/>
      <c r="G655" s="955"/>
      <c r="H655" s="955"/>
    </row>
    <row r="656" spans="1:8">
      <c r="A656" s="971" t="s">
        <v>2991</v>
      </c>
      <c r="B656" s="971" t="s">
        <v>2837</v>
      </c>
      <c r="C656" s="973"/>
      <c r="D656" s="973" t="s">
        <v>2838</v>
      </c>
      <c r="E656" s="1016"/>
      <c r="G656" s="955"/>
      <c r="H656" s="955"/>
    </row>
    <row r="657" spans="1:8">
      <c r="A657" s="971" t="s">
        <v>2991</v>
      </c>
      <c r="B657" s="971" t="s">
        <v>2839</v>
      </c>
      <c r="C657" s="973"/>
      <c r="D657" s="973" t="s">
        <v>2963</v>
      </c>
      <c r="E657" s="1016"/>
      <c r="G657" s="955"/>
      <c r="H657" s="955"/>
    </row>
    <row r="658" spans="1:8">
      <c r="A658" s="971" t="s">
        <v>2991</v>
      </c>
      <c r="B658" s="971" t="s">
        <v>2841</v>
      </c>
      <c r="C658" s="973"/>
      <c r="D658" s="973" t="s">
        <v>2964</v>
      </c>
      <c r="E658" s="1016">
        <f>'Ledger Load Template LGSvcs TEM'!AA562</f>
        <v>0</v>
      </c>
      <c r="G658" s="955"/>
      <c r="H658" s="955"/>
    </row>
    <row r="659" spans="1:8">
      <c r="A659" s="971" t="s">
        <v>2991</v>
      </c>
      <c r="B659" s="971" t="s">
        <v>2843</v>
      </c>
      <c r="C659" s="973"/>
      <c r="D659" s="973" t="s">
        <v>1039</v>
      </c>
      <c r="E659" s="1016"/>
      <c r="G659" s="955"/>
      <c r="H659" s="955"/>
    </row>
    <row r="660" spans="1:8">
      <c r="A660" s="971" t="s">
        <v>2991</v>
      </c>
      <c r="B660" s="971" t="s">
        <v>2845</v>
      </c>
      <c r="C660" s="973"/>
      <c r="D660" s="973" t="s">
        <v>1040</v>
      </c>
      <c r="E660" s="1016"/>
      <c r="G660" s="955"/>
      <c r="H660" s="955"/>
    </row>
    <row r="661" spans="1:8">
      <c r="A661" s="971" t="s">
        <v>2991</v>
      </c>
      <c r="B661" s="971" t="s">
        <v>2847</v>
      </c>
      <c r="C661" s="973"/>
      <c r="D661" s="973" t="s">
        <v>1041</v>
      </c>
      <c r="E661" s="1016"/>
      <c r="G661" s="955"/>
      <c r="H661" s="955"/>
    </row>
    <row r="662" spans="1:8">
      <c r="A662" s="971" t="s">
        <v>2991</v>
      </c>
      <c r="B662" s="971" t="s">
        <v>2849</v>
      </c>
      <c r="C662" s="973"/>
      <c r="D662" s="973" t="s">
        <v>1042</v>
      </c>
      <c r="E662" s="1016"/>
      <c r="G662" s="955"/>
      <c r="H662" s="955"/>
    </row>
    <row r="663" spans="1:8">
      <c r="A663" s="971" t="s">
        <v>2991</v>
      </c>
      <c r="B663" s="971" t="s">
        <v>2850</v>
      </c>
      <c r="C663" s="973"/>
      <c r="D663" s="973" t="s">
        <v>1043</v>
      </c>
      <c r="E663" s="1016"/>
      <c r="G663" s="955"/>
      <c r="H663" s="955"/>
    </row>
    <row r="664" spans="1:8">
      <c r="A664" s="971" t="s">
        <v>2991</v>
      </c>
      <c r="B664" s="971" t="s">
        <v>2852</v>
      </c>
      <c r="C664" s="973"/>
      <c r="D664" s="973" t="s">
        <v>2965</v>
      </c>
      <c r="E664" s="1016"/>
      <c r="G664" s="955"/>
      <c r="H664" s="955"/>
    </row>
    <row r="665" spans="1:8">
      <c r="A665" s="971" t="s">
        <v>2991</v>
      </c>
      <c r="B665" s="971" t="s">
        <v>2854</v>
      </c>
      <c r="C665" s="973"/>
      <c r="D665" s="973" t="s">
        <v>2855</v>
      </c>
      <c r="E665" s="1016"/>
      <c r="G665" s="955"/>
      <c r="H665" s="955"/>
    </row>
    <row r="666" spans="1:8">
      <c r="A666" s="971" t="s">
        <v>2991</v>
      </c>
      <c r="B666" s="971" t="s">
        <v>2856</v>
      </c>
      <c r="C666" s="973"/>
      <c r="D666" s="973" t="s">
        <v>2857</v>
      </c>
      <c r="E666" s="1016">
        <f>'Ledger Load Template LGSvcs TEM'!AA571</f>
        <v>0</v>
      </c>
      <c r="G666" s="955"/>
      <c r="H666" s="955"/>
    </row>
    <row r="667" spans="1:8">
      <c r="A667" s="971" t="s">
        <v>2991</v>
      </c>
      <c r="B667" s="971" t="s">
        <v>2858</v>
      </c>
      <c r="C667" s="973"/>
      <c r="D667" s="973" t="s">
        <v>2859</v>
      </c>
      <c r="E667" s="1016">
        <f>'Ledger Load Template LGSvcs TEM'!AA574</f>
        <v>0</v>
      </c>
      <c r="G667" s="955"/>
      <c r="H667" s="955"/>
    </row>
    <row r="668" spans="1:8">
      <c r="A668" s="971" t="s">
        <v>2991</v>
      </c>
      <c r="B668" s="971" t="s">
        <v>2860</v>
      </c>
      <c r="C668" s="973"/>
      <c r="D668" s="973" t="s">
        <v>2861</v>
      </c>
      <c r="E668" s="1016"/>
      <c r="G668" s="955"/>
      <c r="H668" s="955"/>
    </row>
    <row r="669" spans="1:8">
      <c r="A669" s="971" t="s">
        <v>2991</v>
      </c>
      <c r="B669" s="971" t="s">
        <v>2862</v>
      </c>
      <c r="C669" s="973"/>
      <c r="D669" s="973" t="s">
        <v>2966</v>
      </c>
      <c r="E669" s="1016"/>
      <c r="G669" s="955"/>
      <c r="H669" s="955"/>
    </row>
    <row r="670" spans="1:8">
      <c r="A670" s="971" t="s">
        <v>2991</v>
      </c>
      <c r="B670" s="971" t="s">
        <v>2864</v>
      </c>
      <c r="C670" s="973"/>
      <c r="D670" s="973" t="s">
        <v>2865</v>
      </c>
      <c r="E670" s="1016"/>
      <c r="G670" s="955"/>
      <c r="H670" s="955"/>
    </row>
    <row r="671" spans="1:8">
      <c r="A671" s="971" t="s">
        <v>2991</v>
      </c>
      <c r="B671" s="971" t="s">
        <v>2866</v>
      </c>
      <c r="C671" s="973"/>
      <c r="D671" s="973" t="s">
        <v>1877</v>
      </c>
      <c r="E671" s="1016"/>
      <c r="G671" s="955"/>
      <c r="H671" s="955"/>
    </row>
    <row r="672" spans="1:8">
      <c r="A672" s="971" t="s">
        <v>2991</v>
      </c>
      <c r="B672" s="971" t="s">
        <v>2867</v>
      </c>
      <c r="C672" s="973"/>
      <c r="D672" s="973" t="s">
        <v>299</v>
      </c>
      <c r="E672" s="1016">
        <f>'Ledger Load Template LGSvcs TEM'!AA580</f>
        <v>0</v>
      </c>
      <c r="G672" s="955"/>
      <c r="H672" s="955"/>
    </row>
    <row r="673" spans="1:8">
      <c r="A673" s="971" t="s">
        <v>2991</v>
      </c>
      <c r="B673" s="971" t="s">
        <v>2868</v>
      </c>
      <c r="C673" s="973"/>
      <c r="D673" s="973" t="s">
        <v>2869</v>
      </c>
      <c r="E673" s="1016"/>
      <c r="G673" s="955"/>
      <c r="H673" s="955"/>
    </row>
    <row r="674" spans="1:8">
      <c r="A674" s="971" t="s">
        <v>2991</v>
      </c>
      <c r="B674" s="971" t="s">
        <v>2870</v>
      </c>
      <c r="C674" s="973"/>
      <c r="D674" s="973" t="s">
        <v>2871</v>
      </c>
      <c r="E674" s="1016"/>
      <c r="G674" s="955"/>
      <c r="H674" s="955"/>
    </row>
    <row r="675" spans="1:8">
      <c r="A675" s="971" t="s">
        <v>2991</v>
      </c>
      <c r="B675" s="971" t="s">
        <v>2872</v>
      </c>
      <c r="C675" s="973"/>
      <c r="D675" s="973" t="s">
        <v>2967</v>
      </c>
      <c r="E675" s="1016"/>
      <c r="G675" s="955"/>
      <c r="H675" s="955"/>
    </row>
    <row r="676" spans="1:8">
      <c r="A676" s="971" t="s">
        <v>2991</v>
      </c>
      <c r="B676" s="971" t="s">
        <v>2874</v>
      </c>
      <c r="C676" s="973"/>
      <c r="D676" s="973" t="s">
        <v>2968</v>
      </c>
      <c r="E676" s="1016">
        <f>'Ledger Load Template LGSvcs TEM'!AA585</f>
        <v>0</v>
      </c>
      <c r="G676" s="955"/>
      <c r="H676" s="955"/>
    </row>
    <row r="677" spans="1:8">
      <c r="A677" s="971" t="s">
        <v>2991</v>
      </c>
      <c r="B677" s="971" t="s">
        <v>2876</v>
      </c>
      <c r="C677" s="973"/>
      <c r="D677" s="973" t="s">
        <v>2877</v>
      </c>
      <c r="E677" s="1016">
        <f>'Ledger Load Template LGSvcs TEM'!AA586</f>
        <v>0</v>
      </c>
      <c r="G677" s="955"/>
      <c r="H677" s="955"/>
    </row>
    <row r="678" spans="1:8">
      <c r="A678" s="971" t="s">
        <v>2991</v>
      </c>
      <c r="B678" s="971" t="s">
        <v>2878</v>
      </c>
      <c r="C678" s="973"/>
      <c r="D678" s="973" t="s">
        <v>2879</v>
      </c>
      <c r="E678" s="1016">
        <f>'Ledger Load Template LGSvcs TEM'!AA587</f>
        <v>0</v>
      </c>
      <c r="G678" s="955"/>
      <c r="H678" s="955"/>
    </row>
    <row r="679" spans="1:8">
      <c r="A679" s="971" t="s">
        <v>2991</v>
      </c>
      <c r="B679" s="971" t="s">
        <v>2880</v>
      </c>
      <c r="C679" s="973"/>
      <c r="D679" s="973" t="s">
        <v>2881</v>
      </c>
      <c r="E679" s="1016">
        <f>'Ledger Load Template LGSvcs TEM'!AA588</f>
        <v>0</v>
      </c>
      <c r="G679" s="955"/>
      <c r="H679" s="955"/>
    </row>
    <row r="680" spans="1:8">
      <c r="A680" s="971" t="s">
        <v>2991</v>
      </c>
      <c r="B680" s="971" t="s">
        <v>2882</v>
      </c>
      <c r="C680" s="973"/>
      <c r="D680" s="973" t="s">
        <v>2883</v>
      </c>
      <c r="E680" s="1016"/>
      <c r="G680" s="955"/>
      <c r="H680" s="955"/>
    </row>
    <row r="681" spans="1:8">
      <c r="A681" s="971" t="s">
        <v>2991</v>
      </c>
      <c r="B681" s="971" t="s">
        <v>2884</v>
      </c>
      <c r="C681" s="973"/>
      <c r="D681" s="973" t="s">
        <v>2885</v>
      </c>
      <c r="E681" s="1016"/>
      <c r="G681" s="955"/>
      <c r="H681" s="955"/>
    </row>
    <row r="682" spans="1:8">
      <c r="A682" s="971" t="s">
        <v>2991</v>
      </c>
      <c r="B682" s="971" t="s">
        <v>2886</v>
      </c>
      <c r="C682" s="973"/>
      <c r="D682" s="973" t="s">
        <v>2887</v>
      </c>
      <c r="E682" s="1016"/>
      <c r="G682" s="1768" t="s">
        <v>2894</v>
      </c>
      <c r="H682" s="1768"/>
    </row>
    <row r="683" spans="1:8" ht="13.5" thickBot="1">
      <c r="A683" s="971" t="s">
        <v>2991</v>
      </c>
      <c r="B683" s="971" t="s">
        <v>2888</v>
      </c>
      <c r="C683" s="973"/>
      <c r="D683" s="973" t="s">
        <v>2889</v>
      </c>
      <c r="E683" s="1016"/>
      <c r="H683" s="983">
        <f>SUM(E640:E686)</f>
        <v>0</v>
      </c>
    </row>
    <row r="684" spans="1:8" ht="13.5" thickTop="1">
      <c r="A684" s="971" t="s">
        <v>2991</v>
      </c>
      <c r="B684" s="971" t="s">
        <v>2890</v>
      </c>
      <c r="C684" s="973"/>
      <c r="D684" s="973" t="s">
        <v>2891</v>
      </c>
      <c r="E684" s="1016"/>
      <c r="G684" s="955"/>
      <c r="H684" s="955"/>
    </row>
    <row r="685" spans="1:8">
      <c r="A685" s="971" t="s">
        <v>2991</v>
      </c>
      <c r="B685" s="971" t="s">
        <v>2892</v>
      </c>
      <c r="C685" s="973"/>
      <c r="D685" s="973" t="s">
        <v>2893</v>
      </c>
      <c r="E685" s="1016"/>
      <c r="G685" s="955"/>
      <c r="H685" s="955"/>
    </row>
    <row r="686" spans="1:8">
      <c r="A686" s="971" t="s">
        <v>2991</v>
      </c>
      <c r="B686" s="971" t="s">
        <v>2895</v>
      </c>
      <c r="C686" s="973"/>
      <c r="D686" s="973" t="s">
        <v>2896</v>
      </c>
      <c r="E686" s="1016"/>
      <c r="G686" s="955"/>
      <c r="H686" s="955"/>
    </row>
    <row r="687" spans="1:8">
      <c r="A687" s="1772" t="s">
        <v>2996</v>
      </c>
      <c r="B687" s="1773"/>
      <c r="C687" s="1773"/>
      <c r="D687" s="1773"/>
      <c r="E687" s="1774"/>
      <c r="G687" s="955"/>
      <c r="H687" s="955"/>
    </row>
    <row r="688" spans="1:8">
      <c r="A688" s="971" t="s">
        <v>2991</v>
      </c>
      <c r="B688" s="971" t="s">
        <v>2972</v>
      </c>
      <c r="C688" s="984" t="s">
        <v>2899</v>
      </c>
      <c r="D688" s="973" t="s">
        <v>2971</v>
      </c>
      <c r="E688" s="1016">
        <f>'Ledger Load Template LGSvcs TEM'!AA597</f>
        <v>0</v>
      </c>
      <c r="G688" s="955"/>
      <c r="H688" s="955"/>
    </row>
    <row r="689" spans="1:8">
      <c r="A689" s="971" t="s">
        <v>2991</v>
      </c>
      <c r="B689" s="971" t="s">
        <v>2972</v>
      </c>
      <c r="C689" s="984" t="s">
        <v>2973</v>
      </c>
      <c r="D689" s="973" t="s">
        <v>2974</v>
      </c>
      <c r="E689" s="1016">
        <f>'Ledger Load Template LGSvcs TEM'!AA598</f>
        <v>0</v>
      </c>
      <c r="G689" s="955"/>
      <c r="H689" s="955"/>
    </row>
    <row r="690" spans="1:8">
      <c r="A690" s="971" t="s">
        <v>2991</v>
      </c>
      <c r="B690" s="971" t="s">
        <v>2972</v>
      </c>
      <c r="C690" s="984" t="s">
        <v>2975</v>
      </c>
      <c r="D690" s="973" t="s">
        <v>2976</v>
      </c>
      <c r="E690" s="1016">
        <f>'Ledger Load Template LGSvcs TEM'!AA599</f>
        <v>0</v>
      </c>
      <c r="G690" s="955"/>
      <c r="H690" s="955"/>
    </row>
    <row r="691" spans="1:8">
      <c r="A691" s="971" t="s">
        <v>2991</v>
      </c>
      <c r="B691" s="971" t="s">
        <v>2972</v>
      </c>
      <c r="C691" s="984" t="s">
        <v>2977</v>
      </c>
      <c r="D691" s="973" t="s">
        <v>2978</v>
      </c>
      <c r="E691" s="1016">
        <f>'Ledger Load Template LGSvcs TEM'!AA600</f>
        <v>0</v>
      </c>
      <c r="G691" s="955"/>
      <c r="H691" s="955"/>
    </row>
    <row r="692" spans="1:8">
      <c r="A692" s="971" t="s">
        <v>2991</v>
      </c>
      <c r="B692" s="971" t="s">
        <v>2972</v>
      </c>
      <c r="C692" s="984" t="s">
        <v>2979</v>
      </c>
      <c r="D692" s="973" t="s">
        <v>2980</v>
      </c>
      <c r="E692" s="1016">
        <f>'Ledger Load Template LGSvcs TEM'!AA601</f>
        <v>0</v>
      </c>
      <c r="G692" s="955"/>
      <c r="H692" s="955"/>
    </row>
    <row r="693" spans="1:8">
      <c r="A693" s="971" t="s">
        <v>2991</v>
      </c>
      <c r="B693" s="971" t="s">
        <v>2972</v>
      </c>
      <c r="C693" s="984" t="s">
        <v>2902</v>
      </c>
      <c r="D693" s="973" t="s">
        <v>2981</v>
      </c>
      <c r="E693" s="1016"/>
      <c r="G693" s="1768" t="s">
        <v>2987</v>
      </c>
      <c r="H693" s="1768"/>
    </row>
    <row r="694" spans="1:8" ht="13.5" thickBot="1">
      <c r="A694" s="971" t="s">
        <v>2991</v>
      </c>
      <c r="B694" s="971" t="s">
        <v>2972</v>
      </c>
      <c r="C694" s="984" t="s">
        <v>2903</v>
      </c>
      <c r="D694" s="973" t="s">
        <v>2982</v>
      </c>
      <c r="E694" s="1016">
        <f>'Ledger Load Template LGSvcs TEM'!AA602</f>
        <v>0</v>
      </c>
      <c r="H694" s="983">
        <f>SUM(E688:E697)</f>
        <v>0</v>
      </c>
    </row>
    <row r="695" spans="1:8" ht="13.5" thickTop="1">
      <c r="A695" s="971" t="s">
        <v>2991</v>
      </c>
      <c r="B695" s="971" t="s">
        <v>2972</v>
      </c>
      <c r="C695" s="984" t="s">
        <v>2983</v>
      </c>
      <c r="D695" s="973" t="s">
        <v>2984</v>
      </c>
      <c r="E695" s="1016">
        <f>'Ledger Load Template LGSvcs TEM'!AA603</f>
        <v>0</v>
      </c>
      <c r="G695" s="955"/>
      <c r="H695" s="955"/>
    </row>
    <row r="696" spans="1:8">
      <c r="A696" s="971" t="s">
        <v>2991</v>
      </c>
      <c r="B696" s="971" t="s">
        <v>2972</v>
      </c>
      <c r="C696" s="984" t="s">
        <v>2985</v>
      </c>
      <c r="D696" s="973" t="s">
        <v>2986</v>
      </c>
      <c r="E696" s="1016">
        <f>'Ledger Load Template LGSvcs TEM'!AA604+'Ledger Load Template LGSvcs TEM'!AA605</f>
        <v>0</v>
      </c>
      <c r="G696" s="955"/>
      <c r="H696" s="955"/>
    </row>
    <row r="697" spans="1:8">
      <c r="A697" s="971" t="s">
        <v>2991</v>
      </c>
      <c r="B697" s="971" t="s">
        <v>2972</v>
      </c>
      <c r="C697" s="984" t="s">
        <v>2904</v>
      </c>
      <c r="D697" s="973" t="s">
        <v>2988</v>
      </c>
      <c r="E697" s="1016"/>
      <c r="G697" s="955"/>
      <c r="H697" s="955"/>
    </row>
    <row r="698" spans="1:8">
      <c r="A698" s="1778"/>
      <c r="B698" s="1779"/>
      <c r="C698" s="1779"/>
      <c r="D698" s="1779"/>
      <c r="E698" s="1780"/>
      <c r="G698" s="955"/>
      <c r="H698" s="955"/>
    </row>
    <row r="699" spans="1:8" ht="15.75">
      <c r="A699" s="1769" t="s">
        <v>2997</v>
      </c>
      <c r="B699" s="1770"/>
      <c r="C699" s="1770"/>
      <c r="D699" s="1770"/>
      <c r="E699" s="1771"/>
      <c r="G699" s="955"/>
      <c r="H699" s="955"/>
    </row>
    <row r="700" spans="1:8">
      <c r="A700" s="1772" t="s">
        <v>2998</v>
      </c>
      <c r="B700" s="1773"/>
      <c r="C700" s="1773"/>
      <c r="D700" s="1773"/>
      <c r="E700" s="1774"/>
      <c r="G700" s="955"/>
      <c r="H700" s="955"/>
    </row>
    <row r="701" spans="1:8">
      <c r="A701" s="971" t="s">
        <v>2999</v>
      </c>
      <c r="B701" s="968" t="s">
        <v>2764</v>
      </c>
      <c r="C701" s="973"/>
      <c r="D701" s="970" t="s">
        <v>2765</v>
      </c>
      <c r="E701" s="1016">
        <f>'Ledger Load Template LGSvcs TEM'!AA606</f>
        <v>0</v>
      </c>
      <c r="G701" s="955"/>
      <c r="H701" s="955"/>
    </row>
    <row r="702" spans="1:8">
      <c r="A702" s="971" t="s">
        <v>2999</v>
      </c>
      <c r="B702" s="972" t="s">
        <v>2766</v>
      </c>
      <c r="C702" s="973"/>
      <c r="D702" s="973" t="s">
        <v>2767</v>
      </c>
      <c r="E702" s="1016">
        <f>'Ledger Load Template LGSvcs TEM'!AA607</f>
        <v>0</v>
      </c>
      <c r="G702" s="955"/>
      <c r="H702" s="955"/>
    </row>
    <row r="703" spans="1:8">
      <c r="A703" s="971" t="s">
        <v>2999</v>
      </c>
      <c r="B703" s="974" t="s">
        <v>2768</v>
      </c>
      <c r="C703" s="973"/>
      <c r="D703" s="973" t="s">
        <v>2769</v>
      </c>
      <c r="E703" s="1016">
        <f>'Ledger Load Template LGSvcs TEM'!AA608</f>
        <v>0</v>
      </c>
      <c r="G703" s="955"/>
      <c r="H703" s="955"/>
    </row>
    <row r="704" spans="1:8">
      <c r="A704" s="971" t="s">
        <v>2999</v>
      </c>
      <c r="B704" s="974" t="s">
        <v>2770</v>
      </c>
      <c r="C704" s="973"/>
      <c r="D704" s="973" t="s">
        <v>2771</v>
      </c>
      <c r="E704" s="1016">
        <f>'Ledger Load Template LGSvcs TEM'!AA609</f>
        <v>0</v>
      </c>
      <c r="G704" s="955"/>
      <c r="H704" s="955"/>
    </row>
    <row r="705" spans="1:8">
      <c r="A705" s="971" t="s">
        <v>2999</v>
      </c>
      <c r="B705" s="974" t="s">
        <v>2772</v>
      </c>
      <c r="C705" s="973"/>
      <c r="D705" s="973" t="s">
        <v>2773</v>
      </c>
      <c r="E705" s="1016">
        <f>'Ledger Load Template LGSvcs TEM'!AA610</f>
        <v>0</v>
      </c>
      <c r="G705" s="955"/>
      <c r="H705" s="955"/>
    </row>
    <row r="706" spans="1:8">
      <c r="A706" s="971" t="s">
        <v>2999</v>
      </c>
      <c r="B706" s="974" t="s">
        <v>2774</v>
      </c>
      <c r="C706" s="973"/>
      <c r="D706" s="973" t="s">
        <v>1065</v>
      </c>
      <c r="E706" s="1016">
        <f>'Ledger Load Template LGSvcs TEM'!AA611</f>
        <v>0</v>
      </c>
      <c r="G706" s="955"/>
      <c r="H706" s="955"/>
    </row>
    <row r="707" spans="1:8">
      <c r="A707" s="971" t="s">
        <v>2999</v>
      </c>
      <c r="B707" s="974" t="s">
        <v>2775</v>
      </c>
      <c r="C707" s="973"/>
      <c r="D707" s="973" t="s">
        <v>2776</v>
      </c>
      <c r="E707" s="1016">
        <f>'Ledger Load Template LGSvcs TEM'!AA612</f>
        <v>0</v>
      </c>
      <c r="G707" s="975" t="s">
        <v>3001</v>
      </c>
      <c r="H707" s="976"/>
    </row>
    <row r="708" spans="1:8">
      <c r="A708" s="971" t="s">
        <v>2999</v>
      </c>
      <c r="B708" s="974" t="s">
        <v>2777</v>
      </c>
      <c r="C708" s="973"/>
      <c r="D708" s="973" t="s">
        <v>2778</v>
      </c>
      <c r="E708" s="1016"/>
      <c r="G708" s="977" t="s">
        <v>522</v>
      </c>
      <c r="H708" s="978">
        <f>E701+E702+E703+E704+E705+E706+E707+E708</f>
        <v>0</v>
      </c>
    </row>
    <row r="709" spans="1:8">
      <c r="A709" s="971" t="s">
        <v>2999</v>
      </c>
      <c r="B709" s="974" t="s">
        <v>2779</v>
      </c>
      <c r="C709" s="973"/>
      <c r="D709" s="973" t="s">
        <v>2780</v>
      </c>
      <c r="E709" s="1016">
        <f>'Ledger Load Template LGSvcs TEM'!AA615</f>
        <v>0</v>
      </c>
      <c r="G709" s="977" t="s">
        <v>2788</v>
      </c>
      <c r="H709" s="978">
        <f>E709</f>
        <v>0</v>
      </c>
    </row>
    <row r="710" spans="1:8">
      <c r="A710" s="1772" t="s">
        <v>3000</v>
      </c>
      <c r="B710" s="1773"/>
      <c r="C710" s="1773"/>
      <c r="D710" s="1773"/>
      <c r="E710" s="1774"/>
      <c r="G710" s="977"/>
      <c r="H710" s="978"/>
    </row>
    <row r="711" spans="1:8">
      <c r="A711" s="971" t="s">
        <v>2999</v>
      </c>
      <c r="B711" s="971" t="s">
        <v>2783</v>
      </c>
      <c r="C711" s="973"/>
      <c r="D711" s="973" t="s">
        <v>2948</v>
      </c>
      <c r="E711" s="1016">
        <f>'Ledger Load Template LGSvcs TEM'!AA616</f>
        <v>0</v>
      </c>
      <c r="G711" s="977" t="s">
        <v>1211</v>
      </c>
      <c r="H711" s="978">
        <f>E711+E712+E714</f>
        <v>0</v>
      </c>
    </row>
    <row r="712" spans="1:8">
      <c r="A712" s="971" t="s">
        <v>2999</v>
      </c>
      <c r="B712" s="971" t="s">
        <v>2786</v>
      </c>
      <c r="C712" s="973"/>
      <c r="D712" s="973" t="s">
        <v>2787</v>
      </c>
      <c r="E712" s="1016">
        <f>'Ledger Load Template LGSvcs TEM'!AA617</f>
        <v>0</v>
      </c>
      <c r="G712" s="977" t="s">
        <v>2793</v>
      </c>
      <c r="H712" s="978">
        <f>E713</f>
        <v>0</v>
      </c>
    </row>
    <row r="713" spans="1:8">
      <c r="A713" s="971" t="s">
        <v>2999</v>
      </c>
      <c r="B713" s="971" t="s">
        <v>2789</v>
      </c>
      <c r="C713" s="973"/>
      <c r="D713" s="973" t="s">
        <v>1908</v>
      </c>
      <c r="E713" s="1016">
        <f>'Ledger Load Template LGSvcs TEM'!AA619</f>
        <v>0</v>
      </c>
      <c r="G713" s="977"/>
      <c r="H713" s="978"/>
    </row>
    <row r="714" spans="1:8">
      <c r="A714" s="971" t="s">
        <v>2999</v>
      </c>
      <c r="B714" s="971" t="s">
        <v>2790</v>
      </c>
      <c r="C714" s="973"/>
      <c r="D714" s="973" t="s">
        <v>2791</v>
      </c>
      <c r="E714" s="1016"/>
      <c r="G714" s="977" t="s">
        <v>2952</v>
      </c>
      <c r="H714" s="978">
        <f>E716+E717+E718+E719</f>
        <v>0</v>
      </c>
    </row>
    <row r="715" spans="1:8">
      <c r="A715" s="1772" t="s">
        <v>3002</v>
      </c>
      <c r="B715" s="1773"/>
      <c r="C715" s="1773"/>
      <c r="D715" s="1773"/>
      <c r="E715" s="1774"/>
      <c r="G715" s="979"/>
      <c r="H715" s="980"/>
    </row>
    <row r="716" spans="1:8" ht="13.5" thickBot="1">
      <c r="A716" s="971" t="s">
        <v>2999</v>
      </c>
      <c r="B716" s="971" t="s">
        <v>2794</v>
      </c>
      <c r="C716" s="973"/>
      <c r="D716" s="973" t="s">
        <v>2950</v>
      </c>
      <c r="E716" s="1016"/>
      <c r="G716" s="981" t="s">
        <v>2803</v>
      </c>
      <c r="H716" s="982">
        <f>H708+H709+H711+H712+H714</f>
        <v>0</v>
      </c>
    </row>
    <row r="717" spans="1:8" ht="13.5" thickTop="1">
      <c r="A717" s="971" t="s">
        <v>2999</v>
      </c>
      <c r="B717" s="971" t="s">
        <v>2796</v>
      </c>
      <c r="C717" s="973"/>
      <c r="D717" s="973" t="s">
        <v>2951</v>
      </c>
      <c r="E717" s="1016"/>
      <c r="G717" s="955"/>
      <c r="H717" s="955"/>
    </row>
    <row r="718" spans="1:8">
      <c r="A718" s="971" t="s">
        <v>2999</v>
      </c>
      <c r="B718" s="971" t="s">
        <v>2799</v>
      </c>
      <c r="C718" s="973"/>
      <c r="D718" s="973" t="s">
        <v>3003</v>
      </c>
      <c r="E718" s="1016">
        <f>'Ledger Load Template LGSvcs TEM'!AA624</f>
        <v>0</v>
      </c>
      <c r="G718" s="955"/>
      <c r="H718" s="955"/>
    </row>
    <row r="719" spans="1:8">
      <c r="A719" s="971" t="s">
        <v>2999</v>
      </c>
      <c r="B719" s="971" t="s">
        <v>2801</v>
      </c>
      <c r="C719" s="973"/>
      <c r="D719" s="973" t="s">
        <v>2954</v>
      </c>
      <c r="E719" s="1016"/>
      <c r="G719" s="955"/>
      <c r="H719" s="955"/>
    </row>
    <row r="720" spans="1:8">
      <c r="A720" s="1772" t="s">
        <v>3004</v>
      </c>
      <c r="B720" s="1773"/>
      <c r="C720" s="1773"/>
      <c r="D720" s="1773"/>
      <c r="E720" s="1774"/>
      <c r="G720" s="955"/>
      <c r="H720" s="955"/>
    </row>
    <row r="721" spans="1:8">
      <c r="A721" s="971" t="s">
        <v>2999</v>
      </c>
      <c r="B721" s="971" t="s">
        <v>2805</v>
      </c>
      <c r="C721" s="973"/>
      <c r="D721" s="973" t="s">
        <v>2956</v>
      </c>
      <c r="E721" s="1016">
        <f>'Ledger Load Template LGSvcs TEM'!AA627</f>
        <v>0</v>
      </c>
      <c r="G721" s="955"/>
      <c r="H721" s="955"/>
    </row>
    <row r="722" spans="1:8">
      <c r="A722" s="971" t="s">
        <v>2999</v>
      </c>
      <c r="B722" s="971" t="s">
        <v>2807</v>
      </c>
      <c r="C722" s="973"/>
      <c r="D722" s="973" t="s">
        <v>2957</v>
      </c>
      <c r="E722" s="1016"/>
      <c r="G722" s="955"/>
      <c r="H722" s="955"/>
    </row>
    <row r="723" spans="1:8">
      <c r="A723" s="971" t="s">
        <v>2999</v>
      </c>
      <c r="B723" s="971" t="s">
        <v>2809</v>
      </c>
      <c r="C723" s="973"/>
      <c r="D723" s="973" t="s">
        <v>2810</v>
      </c>
      <c r="E723" s="1016"/>
      <c r="G723" s="955"/>
      <c r="H723" s="955"/>
    </row>
    <row r="724" spans="1:8">
      <c r="A724" s="971" t="s">
        <v>2999</v>
      </c>
      <c r="B724" s="971" t="s">
        <v>2811</v>
      </c>
      <c r="C724" s="973"/>
      <c r="D724" s="973" t="s">
        <v>2958</v>
      </c>
      <c r="E724" s="1016"/>
      <c r="G724" s="955"/>
      <c r="H724" s="955"/>
    </row>
    <row r="725" spans="1:8">
      <c r="A725" s="971" t="s">
        <v>2999</v>
      </c>
      <c r="B725" s="971" t="s">
        <v>2813</v>
      </c>
      <c r="C725" s="973"/>
      <c r="D725" s="973" t="s">
        <v>2814</v>
      </c>
      <c r="E725" s="1016"/>
      <c r="G725" s="955"/>
      <c r="H725" s="955"/>
    </row>
    <row r="726" spans="1:8">
      <c r="A726" s="971" t="s">
        <v>2999</v>
      </c>
      <c r="B726" s="971" t="s">
        <v>2815</v>
      </c>
      <c r="C726" s="973"/>
      <c r="D726" s="973" t="s">
        <v>2816</v>
      </c>
      <c r="E726" s="1016"/>
      <c r="G726" s="955"/>
      <c r="H726" s="955"/>
    </row>
    <row r="727" spans="1:8">
      <c r="A727" s="971" t="s">
        <v>2999</v>
      </c>
      <c r="B727" s="971" t="s">
        <v>2817</v>
      </c>
      <c r="C727" s="973"/>
      <c r="D727" s="973" t="s">
        <v>3005</v>
      </c>
      <c r="E727" s="1016"/>
      <c r="G727" s="955"/>
      <c r="H727" s="955"/>
    </row>
    <row r="728" spans="1:8">
      <c r="A728" s="971" t="s">
        <v>2999</v>
      </c>
      <c r="B728" s="971" t="s">
        <v>2819</v>
      </c>
      <c r="C728" s="973"/>
      <c r="D728" s="973" t="s">
        <v>2820</v>
      </c>
      <c r="E728" s="1016"/>
      <c r="G728" s="955"/>
      <c r="H728" s="955"/>
    </row>
    <row r="729" spans="1:8">
      <c r="A729" s="971" t="s">
        <v>2999</v>
      </c>
      <c r="B729" s="971" t="s">
        <v>2821</v>
      </c>
      <c r="C729" s="973"/>
      <c r="D729" s="973" t="s">
        <v>2960</v>
      </c>
      <c r="E729" s="1016"/>
      <c r="G729" s="955"/>
      <c r="H729" s="955"/>
    </row>
    <row r="730" spans="1:8">
      <c r="A730" s="971" t="s">
        <v>2999</v>
      </c>
      <c r="B730" s="971" t="s">
        <v>2823</v>
      </c>
      <c r="C730" s="973"/>
      <c r="D730" s="973" t="s">
        <v>2824</v>
      </c>
      <c r="E730" s="1016">
        <f>'Ledger Load Template LGSvcs TEM'!AA636</f>
        <v>0</v>
      </c>
      <c r="G730" s="955"/>
      <c r="H730" s="955"/>
    </row>
    <row r="731" spans="1:8">
      <c r="A731" s="971" t="s">
        <v>2999</v>
      </c>
      <c r="B731" s="971" t="s">
        <v>2825</v>
      </c>
      <c r="C731" s="973"/>
      <c r="D731" s="973" t="s">
        <v>2826</v>
      </c>
      <c r="E731" s="1016"/>
      <c r="G731" s="955"/>
      <c r="H731" s="955"/>
    </row>
    <row r="732" spans="1:8">
      <c r="A732" s="971" t="s">
        <v>2999</v>
      </c>
      <c r="B732" s="971" t="s">
        <v>2827</v>
      </c>
      <c r="C732" s="973"/>
      <c r="D732" s="973" t="s">
        <v>2828</v>
      </c>
      <c r="E732" s="1016"/>
      <c r="G732" s="955"/>
      <c r="H732" s="955"/>
    </row>
    <row r="733" spans="1:8">
      <c r="A733" s="971" t="s">
        <v>2999</v>
      </c>
      <c r="B733" s="971" t="s">
        <v>2829</v>
      </c>
      <c r="C733" s="973"/>
      <c r="D733" s="973" t="s">
        <v>2830</v>
      </c>
      <c r="E733" s="1016"/>
      <c r="G733" s="955"/>
      <c r="H733" s="955"/>
    </row>
    <row r="734" spans="1:8">
      <c r="A734" s="971" t="s">
        <v>2999</v>
      </c>
      <c r="B734" s="971" t="s">
        <v>2831</v>
      </c>
      <c r="C734" s="973"/>
      <c r="D734" s="973" t="s">
        <v>2962</v>
      </c>
      <c r="E734" s="1016"/>
      <c r="G734" s="955"/>
      <c r="H734" s="955"/>
    </row>
    <row r="735" spans="1:8">
      <c r="A735" s="971" t="s">
        <v>2999</v>
      </c>
      <c r="B735" s="971" t="s">
        <v>2833</v>
      </c>
      <c r="C735" s="973"/>
      <c r="D735" s="973" t="s">
        <v>2834</v>
      </c>
      <c r="E735" s="1016"/>
      <c r="G735" s="955"/>
      <c r="H735" s="955"/>
    </row>
    <row r="736" spans="1:8">
      <c r="A736" s="971" t="s">
        <v>2999</v>
      </c>
      <c r="B736" s="971" t="s">
        <v>2835</v>
      </c>
      <c r="C736" s="973"/>
      <c r="D736" s="973" t="s">
        <v>2836</v>
      </c>
      <c r="E736" s="1016"/>
      <c r="G736" s="955"/>
      <c r="H736" s="955"/>
    </row>
    <row r="737" spans="1:8">
      <c r="A737" s="971" t="s">
        <v>2999</v>
      </c>
      <c r="B737" s="971" t="s">
        <v>2837</v>
      </c>
      <c r="C737" s="973"/>
      <c r="D737" s="973" t="s">
        <v>2838</v>
      </c>
      <c r="E737" s="1016"/>
      <c r="G737" s="955"/>
      <c r="H737" s="955"/>
    </row>
    <row r="738" spans="1:8">
      <c r="A738" s="971" t="s">
        <v>2999</v>
      </c>
      <c r="B738" s="971" t="s">
        <v>2839</v>
      </c>
      <c r="C738" s="973"/>
      <c r="D738" s="973" t="s">
        <v>2840</v>
      </c>
      <c r="E738" s="1016"/>
      <c r="G738" s="955"/>
      <c r="H738" s="955"/>
    </row>
    <row r="739" spans="1:8">
      <c r="A739" s="971" t="s">
        <v>2999</v>
      </c>
      <c r="B739" s="971" t="s">
        <v>2841</v>
      </c>
      <c r="C739" s="973"/>
      <c r="D739" s="973" t="s">
        <v>2964</v>
      </c>
      <c r="E739" s="1016"/>
      <c r="G739" s="955"/>
      <c r="H739" s="955"/>
    </row>
    <row r="740" spans="1:8">
      <c r="A740" s="971" t="s">
        <v>2999</v>
      </c>
      <c r="B740" s="971" t="s">
        <v>2843</v>
      </c>
      <c r="C740" s="973"/>
      <c r="D740" s="973" t="s">
        <v>1039</v>
      </c>
      <c r="E740" s="1016"/>
      <c r="G740" s="955"/>
      <c r="H740" s="955"/>
    </row>
    <row r="741" spans="1:8">
      <c r="A741" s="971" t="s">
        <v>2999</v>
      </c>
      <c r="B741" s="971" t="s">
        <v>2845</v>
      </c>
      <c r="C741" s="973"/>
      <c r="D741" s="973" t="s">
        <v>1040</v>
      </c>
      <c r="E741" s="1016"/>
      <c r="G741" s="955"/>
      <c r="H741" s="955"/>
    </row>
    <row r="742" spans="1:8">
      <c r="A742" s="971" t="s">
        <v>2999</v>
      </c>
      <c r="B742" s="971" t="s">
        <v>2847</v>
      </c>
      <c r="C742" s="973"/>
      <c r="D742" s="973" t="s">
        <v>1041</v>
      </c>
      <c r="E742" s="1016"/>
      <c r="G742" s="955"/>
      <c r="H742" s="955"/>
    </row>
    <row r="743" spans="1:8">
      <c r="A743" s="971" t="s">
        <v>2999</v>
      </c>
      <c r="B743" s="971" t="s">
        <v>2849</v>
      </c>
      <c r="C743" s="973"/>
      <c r="D743" s="973" t="s">
        <v>1042</v>
      </c>
      <c r="E743" s="1016"/>
      <c r="G743" s="955"/>
      <c r="H743" s="955"/>
    </row>
    <row r="744" spans="1:8">
      <c r="A744" s="971" t="s">
        <v>2999</v>
      </c>
      <c r="B744" s="971" t="s">
        <v>2850</v>
      </c>
      <c r="C744" s="973"/>
      <c r="D744" s="973" t="s">
        <v>1043</v>
      </c>
      <c r="E744" s="1016"/>
      <c r="G744" s="955"/>
      <c r="H744" s="955"/>
    </row>
    <row r="745" spans="1:8">
      <c r="A745" s="971" t="s">
        <v>2999</v>
      </c>
      <c r="B745" s="971" t="s">
        <v>2852</v>
      </c>
      <c r="C745" s="973"/>
      <c r="D745" s="973" t="s">
        <v>2965</v>
      </c>
      <c r="E745" s="1016"/>
      <c r="G745" s="955"/>
      <c r="H745" s="955"/>
    </row>
    <row r="746" spans="1:8">
      <c r="A746" s="971" t="s">
        <v>2999</v>
      </c>
      <c r="B746" s="971" t="s">
        <v>2854</v>
      </c>
      <c r="C746" s="973"/>
      <c r="D746" s="973" t="s">
        <v>2855</v>
      </c>
      <c r="E746" s="1016"/>
      <c r="G746" s="955"/>
      <c r="H746" s="955"/>
    </row>
    <row r="747" spans="1:8">
      <c r="A747" s="971" t="s">
        <v>2999</v>
      </c>
      <c r="B747" s="971" t="s">
        <v>2856</v>
      </c>
      <c r="C747" s="973"/>
      <c r="D747" s="973" t="s">
        <v>2857</v>
      </c>
      <c r="E747" s="1016">
        <f>'Ledger Load Template LGSvcs TEM'!AA655</f>
        <v>0</v>
      </c>
      <c r="G747" s="955"/>
      <c r="H747" s="955"/>
    </row>
    <row r="748" spans="1:8">
      <c r="A748" s="971" t="s">
        <v>2999</v>
      </c>
      <c r="B748" s="971" t="s">
        <v>2858</v>
      </c>
      <c r="C748" s="973"/>
      <c r="D748" s="973" t="s">
        <v>2859</v>
      </c>
      <c r="E748" s="1016"/>
      <c r="G748" s="955"/>
      <c r="H748" s="955"/>
    </row>
    <row r="749" spans="1:8">
      <c r="A749" s="971" t="s">
        <v>2999</v>
      </c>
      <c r="B749" s="971" t="s">
        <v>2860</v>
      </c>
      <c r="C749" s="973"/>
      <c r="D749" s="973" t="s">
        <v>2861</v>
      </c>
      <c r="E749" s="1016"/>
      <c r="G749" s="955"/>
      <c r="H749" s="955"/>
    </row>
    <row r="750" spans="1:8">
      <c r="A750" s="971" t="s">
        <v>2999</v>
      </c>
      <c r="B750" s="971" t="s">
        <v>2862</v>
      </c>
      <c r="C750" s="973"/>
      <c r="D750" s="973" t="s">
        <v>2863</v>
      </c>
      <c r="E750" s="1016">
        <f>'Ledger Load Template LGSvcs TEM'!AA660</f>
        <v>0</v>
      </c>
      <c r="G750" s="955"/>
      <c r="H750" s="955"/>
    </row>
    <row r="751" spans="1:8">
      <c r="A751" s="971" t="s">
        <v>2999</v>
      </c>
      <c r="B751" s="971" t="s">
        <v>2864</v>
      </c>
      <c r="C751" s="973"/>
      <c r="D751" s="973" t="s">
        <v>2865</v>
      </c>
      <c r="E751" s="1016"/>
      <c r="G751" s="955"/>
      <c r="H751" s="955"/>
    </row>
    <row r="752" spans="1:8">
      <c r="A752" s="971" t="s">
        <v>2999</v>
      </c>
      <c r="B752" s="971" t="s">
        <v>2866</v>
      </c>
      <c r="C752" s="973"/>
      <c r="D752" s="973" t="s">
        <v>1877</v>
      </c>
      <c r="E752" s="1016"/>
      <c r="G752" s="955"/>
      <c r="H752" s="955"/>
    </row>
    <row r="753" spans="1:8">
      <c r="A753" s="971" t="s">
        <v>2999</v>
      </c>
      <c r="B753" s="971" t="s">
        <v>2867</v>
      </c>
      <c r="C753" s="973"/>
      <c r="D753" s="973" t="s">
        <v>299</v>
      </c>
      <c r="E753" s="1016">
        <f>'Ledger Load Template LGSvcs TEM'!AA664</f>
        <v>0</v>
      </c>
      <c r="G753" s="955"/>
      <c r="H753" s="955"/>
    </row>
    <row r="754" spans="1:8">
      <c r="A754" s="971" t="s">
        <v>2999</v>
      </c>
      <c r="B754" s="971" t="s">
        <v>2868</v>
      </c>
      <c r="C754" s="973"/>
      <c r="D754" s="973" t="s">
        <v>2869</v>
      </c>
      <c r="E754" s="1016"/>
      <c r="G754" s="955"/>
      <c r="H754" s="955"/>
    </row>
    <row r="755" spans="1:8">
      <c r="A755" s="971" t="s">
        <v>2999</v>
      </c>
      <c r="B755" s="971" t="s">
        <v>2870</v>
      </c>
      <c r="C755" s="973"/>
      <c r="D755" s="973" t="s">
        <v>2871</v>
      </c>
      <c r="E755" s="1016"/>
      <c r="G755" s="955"/>
      <c r="H755" s="955"/>
    </row>
    <row r="756" spans="1:8">
      <c r="A756" s="971" t="s">
        <v>2999</v>
      </c>
      <c r="B756" s="971" t="s">
        <v>2872</v>
      </c>
      <c r="C756" s="973"/>
      <c r="D756" s="973" t="s">
        <v>2873</v>
      </c>
      <c r="E756" s="1016"/>
      <c r="G756" s="955"/>
      <c r="H756" s="955"/>
    </row>
    <row r="757" spans="1:8">
      <c r="A757" s="971" t="s">
        <v>2999</v>
      </c>
      <c r="B757" s="971" t="s">
        <v>2874</v>
      </c>
      <c r="C757" s="973"/>
      <c r="D757" s="973" t="s">
        <v>2875</v>
      </c>
      <c r="E757" s="1016"/>
      <c r="G757" s="955"/>
      <c r="H757" s="955"/>
    </row>
    <row r="758" spans="1:8">
      <c r="A758" s="971" t="s">
        <v>2999</v>
      </c>
      <c r="B758" s="971" t="s">
        <v>2876</v>
      </c>
      <c r="C758" s="973"/>
      <c r="D758" s="973" t="s">
        <v>2877</v>
      </c>
      <c r="E758" s="1016"/>
      <c r="G758" s="955"/>
      <c r="H758" s="955"/>
    </row>
    <row r="759" spans="1:8">
      <c r="A759" s="971" t="s">
        <v>2999</v>
      </c>
      <c r="B759" s="971" t="s">
        <v>2878</v>
      </c>
      <c r="C759" s="973"/>
      <c r="D759" s="973" t="s">
        <v>2879</v>
      </c>
      <c r="E759" s="1016"/>
      <c r="G759" s="955"/>
      <c r="H759" s="955"/>
    </row>
    <row r="760" spans="1:8">
      <c r="A760" s="971" t="s">
        <v>2999</v>
      </c>
      <c r="B760" s="971" t="s">
        <v>2880</v>
      </c>
      <c r="C760" s="973"/>
      <c r="D760" s="973" t="s">
        <v>2881</v>
      </c>
      <c r="E760" s="1016"/>
      <c r="G760" s="955"/>
      <c r="H760" s="955"/>
    </row>
    <row r="761" spans="1:8">
      <c r="A761" s="971" t="s">
        <v>2999</v>
      </c>
      <c r="B761" s="971" t="s">
        <v>2882</v>
      </c>
      <c r="C761" s="973"/>
      <c r="D761" s="973" t="s">
        <v>2883</v>
      </c>
      <c r="E761" s="1016"/>
      <c r="G761" s="955"/>
      <c r="H761" s="955"/>
    </row>
    <row r="762" spans="1:8">
      <c r="A762" s="971" t="s">
        <v>2999</v>
      </c>
      <c r="B762" s="971" t="s">
        <v>2884</v>
      </c>
      <c r="C762" s="973"/>
      <c r="D762" s="973" t="s">
        <v>2885</v>
      </c>
      <c r="E762" s="1016"/>
      <c r="G762" s="955"/>
      <c r="H762" s="955"/>
    </row>
    <row r="763" spans="1:8">
      <c r="A763" s="971" t="s">
        <v>2999</v>
      </c>
      <c r="B763" s="971" t="s">
        <v>2886</v>
      </c>
      <c r="C763" s="973"/>
      <c r="D763" s="973" t="s">
        <v>2887</v>
      </c>
      <c r="E763" s="1016"/>
      <c r="G763" s="1768" t="s">
        <v>2894</v>
      </c>
      <c r="H763" s="1768"/>
    </row>
    <row r="764" spans="1:8" ht="13.5" thickBot="1">
      <c r="A764" s="971" t="s">
        <v>2999</v>
      </c>
      <c r="B764" s="971" t="s">
        <v>2888</v>
      </c>
      <c r="C764" s="973"/>
      <c r="D764" s="973" t="s">
        <v>2889</v>
      </c>
      <c r="E764" s="1016"/>
      <c r="G764" s="988"/>
      <c r="H764" s="989">
        <f>SUM(E721:E767)</f>
        <v>0</v>
      </c>
    </row>
    <row r="765" spans="1:8" ht="13.5" thickTop="1">
      <c r="A765" s="971" t="s">
        <v>2999</v>
      </c>
      <c r="B765" s="971" t="s">
        <v>2890</v>
      </c>
      <c r="C765" s="973"/>
      <c r="D765" s="973" t="s">
        <v>2891</v>
      </c>
      <c r="E765" s="1016"/>
      <c r="G765" s="990"/>
      <c r="H765" s="990"/>
    </row>
    <row r="766" spans="1:8">
      <c r="A766" s="971" t="s">
        <v>2999</v>
      </c>
      <c r="B766" s="971" t="s">
        <v>2892</v>
      </c>
      <c r="C766" s="973"/>
      <c r="D766" s="973" t="s">
        <v>2893</v>
      </c>
      <c r="E766" s="1016"/>
      <c r="G766" s="990"/>
      <c r="H766" s="990"/>
    </row>
    <row r="767" spans="1:8">
      <c r="A767" s="971" t="s">
        <v>2999</v>
      </c>
      <c r="B767" s="971" t="s">
        <v>2895</v>
      </c>
      <c r="C767" s="973"/>
      <c r="D767" s="973" t="s">
        <v>2896</v>
      </c>
      <c r="E767" s="1016"/>
      <c r="G767" s="990"/>
      <c r="H767" s="990"/>
    </row>
    <row r="768" spans="1:8">
      <c r="A768" s="1772" t="s">
        <v>3006</v>
      </c>
      <c r="B768" s="1773"/>
      <c r="C768" s="1773"/>
      <c r="D768" s="1773"/>
      <c r="E768" s="1774"/>
      <c r="G768" s="990"/>
      <c r="H768" s="990"/>
    </row>
    <row r="769" spans="1:8">
      <c r="A769" s="971" t="s">
        <v>2999</v>
      </c>
      <c r="B769" s="971" t="s">
        <v>2972</v>
      </c>
      <c r="C769" s="984" t="s">
        <v>2899</v>
      </c>
      <c r="D769" s="973"/>
      <c r="E769" s="1016"/>
      <c r="G769" s="990"/>
      <c r="H769" s="990"/>
    </row>
    <row r="770" spans="1:8">
      <c r="A770" s="971" t="s">
        <v>2999</v>
      </c>
      <c r="B770" s="971" t="s">
        <v>2972</v>
      </c>
      <c r="C770" s="984" t="s">
        <v>2973</v>
      </c>
      <c r="D770" s="973"/>
      <c r="E770" s="1016"/>
      <c r="G770" s="1768" t="s">
        <v>2987</v>
      </c>
      <c r="H770" s="1768"/>
    </row>
    <row r="771" spans="1:8" ht="13.5" thickBot="1">
      <c r="A771" s="971" t="s">
        <v>2999</v>
      </c>
      <c r="B771" s="971" t="s">
        <v>2972</v>
      </c>
      <c r="C771" s="984" t="s">
        <v>2902</v>
      </c>
      <c r="D771" s="973"/>
      <c r="E771" s="1016"/>
      <c r="G771" s="988"/>
      <c r="H771" s="989">
        <f>SUM(E769:E774)</f>
        <v>0</v>
      </c>
    </row>
    <row r="772" spans="1:8" ht="13.5" thickTop="1">
      <c r="A772" s="971" t="s">
        <v>2999</v>
      </c>
      <c r="B772" s="971" t="s">
        <v>2972</v>
      </c>
      <c r="C772" s="984" t="s">
        <v>2903</v>
      </c>
      <c r="D772" s="973"/>
      <c r="E772" s="1016"/>
      <c r="G772" s="955"/>
      <c r="H772" s="955"/>
    </row>
    <row r="773" spans="1:8">
      <c r="A773" s="971" t="s">
        <v>2999</v>
      </c>
      <c r="B773" s="971" t="s">
        <v>2972</v>
      </c>
      <c r="C773" s="984" t="s">
        <v>2904</v>
      </c>
      <c r="D773" s="973"/>
      <c r="E773" s="1016"/>
      <c r="G773" s="955"/>
      <c r="H773" s="955"/>
    </row>
    <row r="774" spans="1:8">
      <c r="A774" s="971" t="s">
        <v>2999</v>
      </c>
      <c r="B774" s="971" t="s">
        <v>2972</v>
      </c>
      <c r="C774" s="984" t="s">
        <v>2606</v>
      </c>
      <c r="D774" s="973"/>
      <c r="E774" s="1016">
        <f>'Ledger Load Template LGSvcs TEM'!AA732</f>
        <v>0</v>
      </c>
      <c r="G774" s="955"/>
      <c r="H774" s="955"/>
    </row>
    <row r="775" spans="1:8">
      <c r="A775" s="1778"/>
      <c r="B775" s="1779"/>
      <c r="C775" s="1779"/>
      <c r="D775" s="1779"/>
      <c r="E775" s="1780"/>
      <c r="G775" s="955"/>
      <c r="H775" s="955"/>
    </row>
    <row r="776" spans="1:8" ht="15.75">
      <c r="A776" s="1769" t="s">
        <v>3007</v>
      </c>
      <c r="B776" s="1770"/>
      <c r="C776" s="1770"/>
      <c r="D776" s="1770"/>
      <c r="E776" s="1771"/>
      <c r="G776" s="955"/>
      <c r="H776" s="955"/>
    </row>
    <row r="777" spans="1:8">
      <c r="A777" s="1772" t="s">
        <v>3008</v>
      </c>
      <c r="B777" s="1773"/>
      <c r="C777" s="1773"/>
      <c r="D777" s="1773"/>
      <c r="E777" s="1774"/>
      <c r="G777" s="955"/>
      <c r="H777" s="955"/>
    </row>
    <row r="778" spans="1:8">
      <c r="A778" s="971" t="s">
        <v>3009</v>
      </c>
      <c r="B778" s="968" t="s">
        <v>2764</v>
      </c>
      <c r="C778" s="973"/>
      <c r="D778" s="970" t="s">
        <v>2765</v>
      </c>
      <c r="E778" s="1016">
        <f>'Ledger Load Template LGSvcs TEM'!AA741</f>
        <v>35153.99</v>
      </c>
      <c r="G778" s="955"/>
      <c r="H778" s="955"/>
    </row>
    <row r="779" spans="1:8">
      <c r="A779" s="971" t="s">
        <v>3009</v>
      </c>
      <c r="B779" s="972" t="s">
        <v>2766</v>
      </c>
      <c r="C779" s="973"/>
      <c r="D779" s="973" t="s">
        <v>2767</v>
      </c>
      <c r="E779" s="1016">
        <f>'Ledger Load Template LGSvcs TEM'!AA742</f>
        <v>0</v>
      </c>
      <c r="G779" s="955"/>
      <c r="H779" s="955"/>
    </row>
    <row r="780" spans="1:8">
      <c r="A780" s="971" t="s">
        <v>3009</v>
      </c>
      <c r="B780" s="974" t="s">
        <v>2768</v>
      </c>
      <c r="C780" s="973"/>
      <c r="D780" s="973" t="s">
        <v>2769</v>
      </c>
      <c r="E780" s="1016">
        <f>'Ledger Load Template LGSvcs TEM'!AA743</f>
        <v>0</v>
      </c>
      <c r="G780" s="955"/>
      <c r="H780" s="955"/>
    </row>
    <row r="781" spans="1:8">
      <c r="A781" s="971" t="s">
        <v>3009</v>
      </c>
      <c r="B781" s="974" t="s">
        <v>2770</v>
      </c>
      <c r="C781" s="973"/>
      <c r="D781" s="973" t="s">
        <v>2771</v>
      </c>
      <c r="E781" s="1016"/>
      <c r="G781" s="955"/>
      <c r="H781" s="955"/>
    </row>
    <row r="782" spans="1:8">
      <c r="A782" s="971" t="s">
        <v>3009</v>
      </c>
      <c r="B782" s="974" t="s">
        <v>2772</v>
      </c>
      <c r="C782" s="973"/>
      <c r="D782" s="973" t="s">
        <v>2773</v>
      </c>
      <c r="E782" s="1016"/>
      <c r="G782" s="955"/>
      <c r="H782" s="955"/>
    </row>
    <row r="783" spans="1:8">
      <c r="A783" s="971" t="s">
        <v>3009</v>
      </c>
      <c r="B783" s="974" t="s">
        <v>2774</v>
      </c>
      <c r="C783" s="973"/>
      <c r="D783" s="973" t="s">
        <v>1065</v>
      </c>
      <c r="E783" s="1016"/>
      <c r="G783" s="955"/>
      <c r="H783" s="955"/>
    </row>
    <row r="784" spans="1:8">
      <c r="A784" s="971" t="s">
        <v>3009</v>
      </c>
      <c r="B784" s="974" t="s">
        <v>2775</v>
      </c>
      <c r="C784" s="973"/>
      <c r="D784" s="973" t="s">
        <v>2776</v>
      </c>
      <c r="E784" s="1016"/>
      <c r="G784" s="975" t="s">
        <v>3011</v>
      </c>
      <c r="H784" s="976"/>
    </row>
    <row r="785" spans="1:8">
      <c r="A785" s="971" t="s">
        <v>3009</v>
      </c>
      <c r="B785" s="974" t="s">
        <v>2777</v>
      </c>
      <c r="C785" s="973"/>
      <c r="D785" s="973" t="s">
        <v>2778</v>
      </c>
      <c r="E785" s="1016"/>
      <c r="G785" s="977" t="s">
        <v>522</v>
      </c>
      <c r="H785" s="978">
        <f>E778+E779+E780+E781+E782+E783+E784+E785</f>
        <v>35153.99</v>
      </c>
    </row>
    <row r="786" spans="1:8">
      <c r="A786" s="971" t="s">
        <v>3009</v>
      </c>
      <c r="B786" s="974" t="s">
        <v>2779</v>
      </c>
      <c r="C786" s="973"/>
      <c r="D786" s="973" t="s">
        <v>2780</v>
      </c>
      <c r="E786" s="1016">
        <f>'Ledger Load Template LGSvcs TEM'!AA750</f>
        <v>0</v>
      </c>
      <c r="G786" s="977" t="s">
        <v>2788</v>
      </c>
      <c r="H786" s="978">
        <f>E786</f>
        <v>0</v>
      </c>
    </row>
    <row r="787" spans="1:8">
      <c r="A787" s="1772" t="s">
        <v>3010</v>
      </c>
      <c r="B787" s="1773"/>
      <c r="C787" s="1773"/>
      <c r="D787" s="1773"/>
      <c r="E787" s="1774"/>
      <c r="G787" s="977"/>
      <c r="H787" s="978"/>
    </row>
    <row r="788" spans="1:8">
      <c r="A788" s="971" t="s">
        <v>3009</v>
      </c>
      <c r="B788" s="971" t="s">
        <v>2783</v>
      </c>
      <c r="C788" s="973"/>
      <c r="D788" s="973" t="s">
        <v>2948</v>
      </c>
      <c r="E788" s="1016">
        <f>'Ledger Load Template LGSvcs TEM'!AA751</f>
        <v>-34475.99</v>
      </c>
      <c r="G788" s="977" t="s">
        <v>1211</v>
      </c>
      <c r="H788" s="978">
        <f>E788+E789+E791</f>
        <v>-35153.99</v>
      </c>
    </row>
    <row r="789" spans="1:8">
      <c r="A789" s="971" t="s">
        <v>3009</v>
      </c>
      <c r="B789" s="971" t="s">
        <v>2786</v>
      </c>
      <c r="C789" s="973"/>
      <c r="D789" s="973" t="s">
        <v>2787</v>
      </c>
      <c r="E789" s="1016">
        <f>'Ledger Load Template LGSvcs TEM'!AA752</f>
        <v>-678</v>
      </c>
      <c r="G789" s="977" t="s">
        <v>2793</v>
      </c>
      <c r="H789" s="978">
        <f>E790</f>
        <v>0</v>
      </c>
    </row>
    <row r="790" spans="1:8">
      <c r="A790" s="971" t="s">
        <v>3009</v>
      </c>
      <c r="B790" s="971" t="s">
        <v>2789</v>
      </c>
      <c r="C790" s="973"/>
      <c r="D790" s="973" t="s">
        <v>1908</v>
      </c>
      <c r="E790" s="1016">
        <f>'Ledger Load Template LGSvcs TEM'!AA754</f>
        <v>0</v>
      </c>
      <c r="G790" s="977"/>
      <c r="H790" s="978"/>
    </row>
    <row r="791" spans="1:8">
      <c r="A791" s="971" t="s">
        <v>3009</v>
      </c>
      <c r="B791" s="971" t="s">
        <v>2790</v>
      </c>
      <c r="C791" s="973"/>
      <c r="D791" s="973" t="s">
        <v>2791</v>
      </c>
      <c r="E791" s="1016"/>
      <c r="G791" s="977" t="s">
        <v>2952</v>
      </c>
      <c r="H791" s="978">
        <f>E793+E794+E795+E796</f>
        <v>0</v>
      </c>
    </row>
    <row r="792" spans="1:8">
      <c r="A792" s="1772" t="s">
        <v>3012</v>
      </c>
      <c r="B792" s="1773"/>
      <c r="C792" s="1773"/>
      <c r="D792" s="1773"/>
      <c r="E792" s="1774"/>
      <c r="G792" s="979"/>
      <c r="H792" s="980"/>
    </row>
    <row r="793" spans="1:8" ht="13.5" thickBot="1">
      <c r="A793" s="971" t="s">
        <v>3009</v>
      </c>
      <c r="B793" s="971" t="s">
        <v>2794</v>
      </c>
      <c r="C793" s="973"/>
      <c r="D793" s="973" t="s">
        <v>2950</v>
      </c>
      <c r="E793" s="1016"/>
      <c r="G793" s="981" t="s">
        <v>2803</v>
      </c>
      <c r="H793" s="982">
        <f>H785+H786+H788+H789+H791</f>
        <v>0</v>
      </c>
    </row>
    <row r="794" spans="1:8" ht="13.5" thickTop="1">
      <c r="A794" s="971" t="s">
        <v>3009</v>
      </c>
      <c r="B794" s="971" t="s">
        <v>2796</v>
      </c>
      <c r="C794" s="973"/>
      <c r="D794" s="973" t="s">
        <v>2951</v>
      </c>
      <c r="E794" s="1016"/>
      <c r="G794" s="991"/>
      <c r="H794" s="992"/>
    </row>
    <row r="795" spans="1:8">
      <c r="A795" s="971" t="s">
        <v>3009</v>
      </c>
      <c r="B795" s="971" t="s">
        <v>2799</v>
      </c>
      <c r="C795" s="973"/>
      <c r="D795" s="973" t="s">
        <v>3003</v>
      </c>
      <c r="E795" s="1016"/>
      <c r="G795" s="955"/>
      <c r="H795" s="955"/>
    </row>
    <row r="796" spans="1:8">
      <c r="A796" s="971" t="s">
        <v>3009</v>
      </c>
      <c r="B796" s="971" t="s">
        <v>2801</v>
      </c>
      <c r="C796" s="973"/>
      <c r="D796" s="973" t="s">
        <v>2954</v>
      </c>
      <c r="E796" s="1016"/>
      <c r="G796" s="955"/>
      <c r="H796" s="955"/>
    </row>
    <row r="797" spans="1:8">
      <c r="A797" s="1778"/>
      <c r="B797" s="1779"/>
      <c r="C797" s="1779"/>
      <c r="D797" s="1779"/>
      <c r="E797" s="1780"/>
      <c r="G797" s="955"/>
      <c r="H797" s="955"/>
    </row>
    <row r="798" spans="1:8" ht="15.75">
      <c r="A798" s="1769" t="s">
        <v>3013</v>
      </c>
      <c r="B798" s="1770"/>
      <c r="C798" s="1770"/>
      <c r="D798" s="1770"/>
      <c r="E798" s="1771"/>
      <c r="G798" s="955"/>
      <c r="H798" s="955"/>
    </row>
    <row r="799" spans="1:8">
      <c r="A799" s="1772" t="s">
        <v>3014</v>
      </c>
      <c r="B799" s="1773"/>
      <c r="C799" s="1773"/>
      <c r="D799" s="1773"/>
      <c r="E799" s="1774"/>
      <c r="G799" s="955"/>
      <c r="H799" s="955"/>
    </row>
    <row r="800" spans="1:8">
      <c r="A800" s="971" t="s">
        <v>3015</v>
      </c>
      <c r="B800" s="968" t="s">
        <v>2764</v>
      </c>
      <c r="C800" s="973"/>
      <c r="D800" s="970" t="s">
        <v>2765</v>
      </c>
      <c r="E800" s="1014">
        <f>'Ledger Load Template LGSvcs TEM'!AA755</f>
        <v>0</v>
      </c>
      <c r="G800" s="955"/>
      <c r="H800" s="955"/>
    </row>
    <row r="801" spans="1:8">
      <c r="A801" s="971" t="s">
        <v>3015</v>
      </c>
      <c r="B801" s="972" t="s">
        <v>2766</v>
      </c>
      <c r="C801" s="973"/>
      <c r="D801" s="973" t="s">
        <v>2767</v>
      </c>
      <c r="E801" s="1014">
        <f>'Ledger Load Template LGSvcs TEM'!AA756</f>
        <v>0</v>
      </c>
      <c r="G801" s="955"/>
      <c r="H801" s="955"/>
    </row>
    <row r="802" spans="1:8">
      <c r="A802" s="971" t="s">
        <v>3015</v>
      </c>
      <c r="B802" s="974" t="s">
        <v>2768</v>
      </c>
      <c r="C802" s="973"/>
      <c r="D802" s="973" t="s">
        <v>2769</v>
      </c>
      <c r="E802" s="1014">
        <f>'Ledger Load Template LGSvcs TEM'!AA757</f>
        <v>0</v>
      </c>
      <c r="G802" s="955"/>
      <c r="H802" s="955"/>
    </row>
    <row r="803" spans="1:8">
      <c r="A803" s="971" t="s">
        <v>3015</v>
      </c>
      <c r="B803" s="974" t="s">
        <v>2770</v>
      </c>
      <c r="C803" s="973"/>
      <c r="D803" s="973" t="s">
        <v>2771</v>
      </c>
      <c r="E803" s="1014">
        <f>'Ledger Load Template LGSvcs TEM'!AA758</f>
        <v>0</v>
      </c>
      <c r="G803" s="955"/>
      <c r="H803" s="955"/>
    </row>
    <row r="804" spans="1:8">
      <c r="A804" s="971" t="s">
        <v>3015</v>
      </c>
      <c r="B804" s="974" t="s">
        <v>2772</v>
      </c>
      <c r="C804" s="973"/>
      <c r="D804" s="973" t="s">
        <v>2773</v>
      </c>
      <c r="E804" s="1014">
        <f>'Ledger Load Template LGSvcs TEM'!AA759</f>
        <v>0</v>
      </c>
      <c r="G804" s="955"/>
      <c r="H804" s="955"/>
    </row>
    <row r="805" spans="1:8">
      <c r="A805" s="971" t="s">
        <v>3015</v>
      </c>
      <c r="B805" s="974" t="s">
        <v>2774</v>
      </c>
      <c r="C805" s="973"/>
      <c r="D805" s="973" t="s">
        <v>1065</v>
      </c>
      <c r="E805" s="1014">
        <f>'Ledger Load Template LGSvcs TEM'!AA760</f>
        <v>0</v>
      </c>
      <c r="G805" s="955"/>
      <c r="H805" s="955"/>
    </row>
    <row r="806" spans="1:8">
      <c r="A806" s="971" t="s">
        <v>3015</v>
      </c>
      <c r="B806" s="974" t="s">
        <v>2775</v>
      </c>
      <c r="C806" s="973"/>
      <c r="D806" s="973" t="s">
        <v>2776</v>
      </c>
      <c r="E806" s="1014">
        <f>'Ledger Load Template LGSvcs TEM'!AA761+'Ledger Load Template LGSvcs TEM'!AA762</f>
        <v>0</v>
      </c>
      <c r="G806" s="975" t="s">
        <v>3017</v>
      </c>
      <c r="H806" s="976"/>
    </row>
    <row r="807" spans="1:8">
      <c r="A807" s="971" t="s">
        <v>3015</v>
      </c>
      <c r="B807" s="974" t="s">
        <v>2777</v>
      </c>
      <c r="C807" s="973"/>
      <c r="D807" s="973" t="s">
        <v>2778</v>
      </c>
      <c r="E807" s="1016"/>
      <c r="G807" s="977" t="s">
        <v>522</v>
      </c>
      <c r="H807" s="978">
        <f>E800+E801+E802+E803+E804+E805+E806+E807</f>
        <v>0</v>
      </c>
    </row>
    <row r="808" spans="1:8">
      <c r="A808" s="971" t="s">
        <v>3015</v>
      </c>
      <c r="B808" s="974" t="s">
        <v>2779</v>
      </c>
      <c r="C808" s="973"/>
      <c r="D808" s="973" t="s">
        <v>2780</v>
      </c>
      <c r="E808" s="1016">
        <f>'Ledger Load Template LGSvcs TEM'!AA764</f>
        <v>0</v>
      </c>
      <c r="G808" s="977" t="s">
        <v>2788</v>
      </c>
      <c r="H808" s="978">
        <f>E808</f>
        <v>0</v>
      </c>
    </row>
    <row r="809" spans="1:8">
      <c r="A809" s="1772" t="s">
        <v>3016</v>
      </c>
      <c r="B809" s="1773"/>
      <c r="C809" s="1773"/>
      <c r="D809" s="1773"/>
      <c r="E809" s="1774"/>
      <c r="G809" s="977"/>
      <c r="H809" s="978"/>
    </row>
    <row r="810" spans="1:8">
      <c r="A810" s="971" t="s">
        <v>3015</v>
      </c>
      <c r="B810" s="971" t="s">
        <v>2783</v>
      </c>
      <c r="C810" s="973"/>
      <c r="D810" s="973" t="s">
        <v>2784</v>
      </c>
      <c r="E810" s="1016">
        <f>'Ledger Load Template LGSvcs TEM'!AA765</f>
        <v>0</v>
      </c>
      <c r="G810" s="977" t="s">
        <v>1211</v>
      </c>
      <c r="H810" s="978">
        <f>E810+E811+E813</f>
        <v>0</v>
      </c>
    </row>
    <row r="811" spans="1:8">
      <c r="A811" s="971" t="s">
        <v>3015</v>
      </c>
      <c r="B811" s="971" t="s">
        <v>2786</v>
      </c>
      <c r="C811" s="973"/>
      <c r="D811" s="973" t="s">
        <v>2787</v>
      </c>
      <c r="E811" s="1016">
        <f>'Ledger Load Template LGSvcs TEM'!AA766</f>
        <v>0</v>
      </c>
      <c r="G811" s="977" t="s">
        <v>2793</v>
      </c>
      <c r="H811" s="978">
        <f>E812</f>
        <v>0</v>
      </c>
    </row>
    <row r="812" spans="1:8">
      <c r="A812" s="971" t="s">
        <v>3015</v>
      </c>
      <c r="B812" s="971" t="s">
        <v>2789</v>
      </c>
      <c r="C812" s="973"/>
      <c r="D812" s="973" t="s">
        <v>1908</v>
      </c>
      <c r="E812" s="1016">
        <f>'Ledger Load Template LGSvcs TEM'!AA768</f>
        <v>0</v>
      </c>
      <c r="G812" s="977"/>
      <c r="H812" s="978"/>
    </row>
    <row r="813" spans="1:8">
      <c r="A813" s="971" t="s">
        <v>3015</v>
      </c>
      <c r="B813" s="971" t="s">
        <v>2790</v>
      </c>
      <c r="C813" s="973"/>
      <c r="D813" s="973" t="s">
        <v>2791</v>
      </c>
      <c r="E813" s="1016">
        <f>'Ledger Load Template LGSvcs TEM'!AA769</f>
        <v>0</v>
      </c>
      <c r="G813" s="977" t="s">
        <v>2798</v>
      </c>
      <c r="H813" s="978">
        <f>E815+E816+E817+E818</f>
        <v>0</v>
      </c>
    </row>
    <row r="814" spans="1:8">
      <c r="A814" s="1772" t="s">
        <v>3018</v>
      </c>
      <c r="B814" s="1773"/>
      <c r="C814" s="1773"/>
      <c r="D814" s="1773"/>
      <c r="E814" s="1774"/>
      <c r="G814" s="979"/>
      <c r="H814" s="980"/>
    </row>
    <row r="815" spans="1:8" ht="13.5" thickBot="1">
      <c r="A815" s="971" t="s">
        <v>3015</v>
      </c>
      <c r="B815" s="971" t="s">
        <v>2794</v>
      </c>
      <c r="C815" s="973"/>
      <c r="D815" s="973" t="s">
        <v>2795</v>
      </c>
      <c r="E815" s="1016"/>
      <c r="G815" s="981" t="s">
        <v>2803</v>
      </c>
      <c r="H815" s="982">
        <f>H807+H808+H810+H811+H813</f>
        <v>0</v>
      </c>
    </row>
    <row r="816" spans="1:8" ht="13.5" thickTop="1">
      <c r="A816" s="971" t="s">
        <v>3015</v>
      </c>
      <c r="B816" s="971" t="s">
        <v>2796</v>
      </c>
      <c r="C816" s="973"/>
      <c r="D816" s="973" t="s">
        <v>2797</v>
      </c>
      <c r="E816" s="1016"/>
      <c r="G816" s="955"/>
      <c r="H816" s="955"/>
    </row>
    <row r="817" spans="1:8">
      <c r="A817" s="971" t="s">
        <v>3015</v>
      </c>
      <c r="B817" s="971" t="s">
        <v>2799</v>
      </c>
      <c r="C817" s="973"/>
      <c r="D817" s="973" t="s">
        <v>2800</v>
      </c>
      <c r="E817" s="1016">
        <f>'Ledger Load Template LGSvcs TEM'!AA773</f>
        <v>0</v>
      </c>
      <c r="G817" s="955"/>
      <c r="H817" s="955"/>
    </row>
    <row r="818" spans="1:8">
      <c r="A818" s="971" t="s">
        <v>3015</v>
      </c>
      <c r="B818" s="971" t="s">
        <v>2801</v>
      </c>
      <c r="C818" s="973"/>
      <c r="D818" s="973" t="s">
        <v>2802</v>
      </c>
      <c r="E818" s="1016"/>
      <c r="G818" s="955"/>
      <c r="H818" s="955"/>
    </row>
    <row r="819" spans="1:8">
      <c r="A819" s="1772" t="s">
        <v>3019</v>
      </c>
      <c r="B819" s="1773"/>
      <c r="C819" s="1773"/>
      <c r="D819" s="1773"/>
      <c r="E819" s="1774"/>
      <c r="G819" s="955"/>
      <c r="H819" s="955"/>
    </row>
    <row r="820" spans="1:8">
      <c r="A820" s="971" t="s">
        <v>3015</v>
      </c>
      <c r="B820" s="971" t="s">
        <v>2805</v>
      </c>
      <c r="C820" s="973"/>
      <c r="D820" s="973" t="s">
        <v>2806</v>
      </c>
      <c r="E820" s="1016">
        <f>'Ledger Load Template LGSvcs TEM'!AA775+'Ledger Load Template LGSvcs TEM'!AA776</f>
        <v>0</v>
      </c>
      <c r="G820" s="955"/>
      <c r="H820" s="955"/>
    </row>
    <row r="821" spans="1:8">
      <c r="A821" s="971" t="s">
        <v>3015</v>
      </c>
      <c r="B821" s="971" t="s">
        <v>2807</v>
      </c>
      <c r="C821" s="973"/>
      <c r="D821" s="973" t="s">
        <v>2808</v>
      </c>
      <c r="E821" s="1016">
        <f>'Ledger Load Template LGSvcs TEM'!AA777</f>
        <v>0</v>
      </c>
      <c r="G821" s="955"/>
      <c r="H821" s="955"/>
    </row>
    <row r="822" spans="1:8">
      <c r="A822" s="971" t="s">
        <v>3015</v>
      </c>
      <c r="B822" s="971" t="s">
        <v>2809</v>
      </c>
      <c r="C822" s="973"/>
      <c r="D822" s="973" t="s">
        <v>2810</v>
      </c>
      <c r="E822" s="1016">
        <f>'Ledger Load Template LGSvcs TEM'!AA778</f>
        <v>0</v>
      </c>
      <c r="G822" s="955"/>
      <c r="H822" s="955"/>
    </row>
    <row r="823" spans="1:8">
      <c r="A823" s="971" t="s">
        <v>3015</v>
      </c>
      <c r="B823" s="971" t="s">
        <v>2811</v>
      </c>
      <c r="C823" s="973"/>
      <c r="D823" s="973" t="s">
        <v>2812</v>
      </c>
      <c r="E823" s="1016">
        <f>'Ledger Load Template LGSvcs TEM'!AA779</f>
        <v>0</v>
      </c>
      <c r="G823" s="955"/>
      <c r="H823" s="955"/>
    </row>
    <row r="824" spans="1:8">
      <c r="A824" s="971" t="s">
        <v>3015</v>
      </c>
      <c r="B824" s="971" t="s">
        <v>2813</v>
      </c>
      <c r="C824" s="973"/>
      <c r="D824" s="973" t="s">
        <v>2814</v>
      </c>
      <c r="E824" s="1016">
        <f>'Ledger Load Template LGSvcs TEM'!AA780</f>
        <v>0</v>
      </c>
      <c r="G824" s="955"/>
      <c r="H824" s="955"/>
    </row>
    <row r="825" spans="1:8">
      <c r="A825" s="971" t="s">
        <v>3015</v>
      </c>
      <c r="B825" s="971" t="s">
        <v>2815</v>
      </c>
      <c r="C825" s="973"/>
      <c r="D825" s="973" t="s">
        <v>2816</v>
      </c>
      <c r="E825" s="1016">
        <f>'Ledger Load Template LGSvcs TEM'!AA781</f>
        <v>0</v>
      </c>
      <c r="G825" s="955"/>
      <c r="H825" s="955"/>
    </row>
    <row r="826" spans="1:8">
      <c r="A826" s="971" t="s">
        <v>3015</v>
      </c>
      <c r="B826" s="971" t="s">
        <v>2817</v>
      </c>
      <c r="C826" s="973"/>
      <c r="D826" s="973" t="s">
        <v>2818</v>
      </c>
      <c r="E826" s="1016">
        <f>'Ledger Load Template LGSvcs TEM'!AA782</f>
        <v>0</v>
      </c>
      <c r="G826" s="955"/>
      <c r="H826" s="955"/>
    </row>
    <row r="827" spans="1:8">
      <c r="A827" s="971" t="s">
        <v>3015</v>
      </c>
      <c r="B827" s="971" t="s">
        <v>2819</v>
      </c>
      <c r="C827" s="973"/>
      <c r="D827" s="973" t="s">
        <v>2820</v>
      </c>
      <c r="E827" s="1016">
        <f>'Ledger Load Template LGSvcs TEM'!AA783</f>
        <v>0</v>
      </c>
      <c r="G827" s="955"/>
      <c r="H827" s="955"/>
    </row>
    <row r="828" spans="1:8">
      <c r="A828" s="971" t="s">
        <v>3015</v>
      </c>
      <c r="B828" s="971" t="s">
        <v>2821</v>
      </c>
      <c r="C828" s="973"/>
      <c r="D828" s="973" t="s">
        <v>2822</v>
      </c>
      <c r="E828" s="1016">
        <f>'Ledger Load Template LGSvcs TEM'!AA784</f>
        <v>0</v>
      </c>
      <c r="G828" s="955"/>
      <c r="H828" s="955"/>
    </row>
    <row r="829" spans="1:8">
      <c r="A829" s="971" t="s">
        <v>3015</v>
      </c>
      <c r="B829" s="971" t="s">
        <v>2823</v>
      </c>
      <c r="C829" s="973"/>
      <c r="D829" s="973" t="s">
        <v>2824</v>
      </c>
      <c r="E829" s="1016">
        <f>'Ledger Load Template LGSvcs TEM'!AA785+'Ledger Load Template LGSvcs TEM'!AA786</f>
        <v>0</v>
      </c>
      <c r="G829" s="955"/>
      <c r="H829" s="955"/>
    </row>
    <row r="830" spans="1:8">
      <c r="A830" s="971" t="s">
        <v>3015</v>
      </c>
      <c r="B830" s="971" t="s">
        <v>2825</v>
      </c>
      <c r="C830" s="973"/>
      <c r="D830" s="973" t="s">
        <v>2826</v>
      </c>
      <c r="E830" s="1016">
        <f>'Ledger Load Template LGSvcs TEM'!AA787</f>
        <v>0</v>
      </c>
      <c r="G830" s="955"/>
      <c r="H830" s="955"/>
    </row>
    <row r="831" spans="1:8">
      <c r="A831" s="971" t="s">
        <v>3015</v>
      </c>
      <c r="B831" s="971" t="s">
        <v>2827</v>
      </c>
      <c r="C831" s="973"/>
      <c r="D831" s="973" t="s">
        <v>2828</v>
      </c>
      <c r="E831" s="1016">
        <f>'Ledger Load Template LGSvcs TEM'!AA788</f>
        <v>0</v>
      </c>
      <c r="G831" s="955"/>
      <c r="H831" s="955"/>
    </row>
    <row r="832" spans="1:8">
      <c r="A832" s="971" t="s">
        <v>3015</v>
      </c>
      <c r="B832" s="971" t="s">
        <v>2829</v>
      </c>
      <c r="C832" s="973"/>
      <c r="D832" s="973" t="s">
        <v>2830</v>
      </c>
      <c r="E832" s="1016">
        <f>'Ledger Load Template LGSvcs TEM'!AA789</f>
        <v>0</v>
      </c>
      <c r="G832" s="955"/>
      <c r="H832" s="955"/>
    </row>
    <row r="833" spans="1:8">
      <c r="A833" s="971" t="s">
        <v>3015</v>
      </c>
      <c r="B833" s="971" t="s">
        <v>2831</v>
      </c>
      <c r="C833" s="973"/>
      <c r="D833" s="973" t="s">
        <v>2832</v>
      </c>
      <c r="E833" s="1016">
        <f>'Ledger Load Template LGSvcs TEM'!AA790</f>
        <v>0</v>
      </c>
      <c r="G833" s="955"/>
      <c r="H833" s="955"/>
    </row>
    <row r="834" spans="1:8">
      <c r="A834" s="971" t="s">
        <v>3015</v>
      </c>
      <c r="B834" s="971" t="s">
        <v>2833</v>
      </c>
      <c r="C834" s="973"/>
      <c r="D834" s="973" t="s">
        <v>2834</v>
      </c>
      <c r="E834" s="1016">
        <f>'Ledger Load Template LGSvcs TEM'!AA791</f>
        <v>0</v>
      </c>
      <c r="G834" s="955"/>
      <c r="H834" s="955"/>
    </row>
    <row r="835" spans="1:8">
      <c r="A835" s="971" t="s">
        <v>3015</v>
      </c>
      <c r="B835" s="971" t="s">
        <v>2835</v>
      </c>
      <c r="C835" s="973"/>
      <c r="D835" s="973" t="s">
        <v>2836</v>
      </c>
      <c r="E835" s="1016">
        <f>'Ledger Load Template LGSvcs TEM'!AA792</f>
        <v>0</v>
      </c>
      <c r="G835" s="955"/>
      <c r="H835" s="955"/>
    </row>
    <row r="836" spans="1:8">
      <c r="A836" s="971" t="s">
        <v>3015</v>
      </c>
      <c r="B836" s="971" t="s">
        <v>2837</v>
      </c>
      <c r="C836" s="973"/>
      <c r="D836" s="973" t="s">
        <v>2838</v>
      </c>
      <c r="E836" s="1016">
        <f>'Ledger Load Template LGSvcs TEM'!AA793</f>
        <v>0</v>
      </c>
      <c r="G836" s="955"/>
      <c r="H836" s="955"/>
    </row>
    <row r="837" spans="1:8">
      <c r="A837" s="971" t="s">
        <v>3015</v>
      </c>
      <c r="B837" s="971" t="s">
        <v>2839</v>
      </c>
      <c r="C837" s="973"/>
      <c r="D837" s="973" t="s">
        <v>2840</v>
      </c>
      <c r="E837" s="1016">
        <f>'Ledger Load Template LGSvcs TEM'!AA794</f>
        <v>0</v>
      </c>
      <c r="G837" s="955"/>
      <c r="H837" s="955"/>
    </row>
    <row r="838" spans="1:8">
      <c r="A838" s="971" t="s">
        <v>3015</v>
      </c>
      <c r="B838" s="971" t="s">
        <v>2841</v>
      </c>
      <c r="C838" s="973"/>
      <c r="D838" s="973" t="s">
        <v>2842</v>
      </c>
      <c r="E838" s="1016">
        <f>'Ledger Load Template LGSvcs TEM'!AA795+'Ledger Load Template LGSvcs TEM'!AA796</f>
        <v>0</v>
      </c>
      <c r="G838" s="955"/>
      <c r="H838" s="955"/>
    </row>
    <row r="839" spans="1:8">
      <c r="A839" s="971" t="s">
        <v>3015</v>
      </c>
      <c r="B839" s="971" t="s">
        <v>2843</v>
      </c>
      <c r="C839" s="973"/>
      <c r="D839" s="973" t="s">
        <v>2844</v>
      </c>
      <c r="E839" s="1016">
        <f>'Ledger Load Template LGSvcs TEM'!AA797</f>
        <v>0</v>
      </c>
      <c r="G839" s="955"/>
      <c r="H839" s="955"/>
    </row>
    <row r="840" spans="1:8">
      <c r="A840" s="971" t="s">
        <v>3015</v>
      </c>
      <c r="B840" s="971" t="s">
        <v>2845</v>
      </c>
      <c r="C840" s="973"/>
      <c r="D840" s="973" t="s">
        <v>2846</v>
      </c>
      <c r="E840" s="1016">
        <f>'Ledger Load Template LGSvcs TEM'!AA798</f>
        <v>0</v>
      </c>
      <c r="G840" s="955"/>
      <c r="H840" s="955"/>
    </row>
    <row r="841" spans="1:8">
      <c r="A841" s="971" t="s">
        <v>3015</v>
      </c>
      <c r="B841" s="971" t="s">
        <v>2847</v>
      </c>
      <c r="C841" s="973"/>
      <c r="D841" s="973" t="s">
        <v>2848</v>
      </c>
      <c r="E841" s="1016">
        <f>'Ledger Load Template LGSvcs TEM'!AA799</f>
        <v>0</v>
      </c>
      <c r="G841" s="955"/>
      <c r="H841" s="955"/>
    </row>
    <row r="842" spans="1:8">
      <c r="A842" s="971" t="s">
        <v>3015</v>
      </c>
      <c r="B842" s="971" t="s">
        <v>2849</v>
      </c>
      <c r="C842" s="973"/>
      <c r="D842" s="973" t="s">
        <v>1042</v>
      </c>
      <c r="E842" s="1016">
        <f>'Ledger Load Template LGSvcs TEM'!AA800</f>
        <v>0</v>
      </c>
      <c r="G842" s="955"/>
      <c r="H842" s="955"/>
    </row>
    <row r="843" spans="1:8">
      <c r="A843" s="971" t="s">
        <v>3015</v>
      </c>
      <c r="B843" s="971" t="s">
        <v>2850</v>
      </c>
      <c r="C843" s="973"/>
      <c r="D843" s="973" t="s">
        <v>2851</v>
      </c>
      <c r="E843" s="1016">
        <f>'Ledger Load Template LGSvcs TEM'!AA801</f>
        <v>0</v>
      </c>
      <c r="G843" s="955"/>
      <c r="H843" s="955"/>
    </row>
    <row r="844" spans="1:8">
      <c r="A844" s="971" t="s">
        <v>3015</v>
      </c>
      <c r="B844" s="971" t="s">
        <v>2852</v>
      </c>
      <c r="C844" s="973"/>
      <c r="D844" s="973" t="s">
        <v>2853</v>
      </c>
      <c r="E844" s="1016">
        <f>'Ledger Load Template LGSvcs TEM'!AA802+'Ledger Load Template LGSvcs TEM'!AA803</f>
        <v>0</v>
      </c>
      <c r="G844" s="955"/>
      <c r="H844" s="955"/>
    </row>
    <row r="845" spans="1:8">
      <c r="A845" s="971" t="s">
        <v>3015</v>
      </c>
      <c r="B845" s="971" t="s">
        <v>2854</v>
      </c>
      <c r="C845" s="973"/>
      <c r="D845" s="973" t="s">
        <v>2855</v>
      </c>
      <c r="E845" s="1016">
        <f>'Ledger Load Template LGSvcs TEM'!AA805</f>
        <v>0</v>
      </c>
      <c r="G845" s="955"/>
      <c r="H845" s="955"/>
    </row>
    <row r="846" spans="1:8">
      <c r="A846" s="971" t="s">
        <v>3015</v>
      </c>
      <c r="B846" s="971" t="s">
        <v>2856</v>
      </c>
      <c r="C846" s="973"/>
      <c r="D846" s="973" t="s">
        <v>2857</v>
      </c>
      <c r="E846" s="1016">
        <f>'Ledger Load Template LGSvcs TEM'!AA806</f>
        <v>0</v>
      </c>
      <c r="G846" s="955"/>
      <c r="H846" s="955"/>
    </row>
    <row r="847" spans="1:8">
      <c r="A847" s="971" t="s">
        <v>3015</v>
      </c>
      <c r="B847" s="971" t="s">
        <v>2858</v>
      </c>
      <c r="C847" s="973"/>
      <c r="D847" s="973" t="s">
        <v>2859</v>
      </c>
      <c r="E847" s="1016">
        <f>'Ledger Load Template LGSvcs TEM'!AA807</f>
        <v>0</v>
      </c>
      <c r="G847" s="955"/>
      <c r="H847" s="955"/>
    </row>
    <row r="848" spans="1:8">
      <c r="A848" s="971" t="s">
        <v>3015</v>
      </c>
      <c r="B848" s="971" t="s">
        <v>2860</v>
      </c>
      <c r="C848" s="973"/>
      <c r="D848" s="973" t="s">
        <v>2861</v>
      </c>
      <c r="E848" s="1016">
        <f>'Ledger Load Template LGSvcs TEM'!AA808</f>
        <v>0</v>
      </c>
      <c r="G848" s="955"/>
      <c r="H848" s="955"/>
    </row>
    <row r="849" spans="1:8">
      <c r="A849" s="971" t="s">
        <v>3015</v>
      </c>
      <c r="B849" s="971" t="s">
        <v>2862</v>
      </c>
      <c r="C849" s="973"/>
      <c r="D849" s="973" t="s">
        <v>2863</v>
      </c>
      <c r="E849" s="1016">
        <f>'Ledger Load Template LGSvcs TEM'!AA809</f>
        <v>0</v>
      </c>
      <c r="G849" s="955"/>
      <c r="H849" s="955"/>
    </row>
    <row r="850" spans="1:8">
      <c r="A850" s="971" t="s">
        <v>3015</v>
      </c>
      <c r="B850" s="971" t="s">
        <v>2864</v>
      </c>
      <c r="C850" s="973"/>
      <c r="D850" s="973" t="s">
        <v>2865</v>
      </c>
      <c r="E850" s="1016">
        <f>'Ledger Load Template LGSvcs TEM'!AA810</f>
        <v>0</v>
      </c>
      <c r="G850" s="955"/>
      <c r="H850" s="955"/>
    </row>
    <row r="851" spans="1:8">
      <c r="A851" s="971" t="s">
        <v>3015</v>
      </c>
      <c r="B851" s="971" t="s">
        <v>2866</v>
      </c>
      <c r="C851" s="973"/>
      <c r="D851" s="973" t="s">
        <v>1877</v>
      </c>
      <c r="E851" s="1016">
        <f>'Ledger Load Template LGSvcs TEM'!AA811</f>
        <v>0</v>
      </c>
      <c r="G851" s="955"/>
      <c r="H851" s="955"/>
    </row>
    <row r="852" spans="1:8">
      <c r="A852" s="971" t="s">
        <v>3015</v>
      </c>
      <c r="B852" s="971" t="s">
        <v>2867</v>
      </c>
      <c r="C852" s="973"/>
      <c r="D852" s="973" t="s">
        <v>299</v>
      </c>
      <c r="E852" s="1016">
        <f>'Ledger Load Template LGSvcs TEM'!AA812+'Ledger Load Template LGSvcs TEM'!AA813</f>
        <v>0</v>
      </c>
      <c r="G852" s="955"/>
      <c r="H852" s="955"/>
    </row>
    <row r="853" spans="1:8">
      <c r="A853" s="971" t="s">
        <v>3015</v>
      </c>
      <c r="B853" s="971" t="s">
        <v>2868</v>
      </c>
      <c r="C853" s="973"/>
      <c r="D853" s="973" t="s">
        <v>2869</v>
      </c>
      <c r="E853" s="1016">
        <f>'Ledger Load Template LGSvcs TEM'!AA814</f>
        <v>0</v>
      </c>
      <c r="G853" s="955"/>
      <c r="H853" s="955"/>
    </row>
    <row r="854" spans="1:8">
      <c r="A854" s="971" t="s">
        <v>3015</v>
      </c>
      <c r="B854" s="971" t="s">
        <v>2870</v>
      </c>
      <c r="C854" s="973"/>
      <c r="D854" s="973" t="s">
        <v>2871</v>
      </c>
      <c r="E854" s="1016">
        <f>'Ledger Load Template LGSvcs TEM'!AA815</f>
        <v>0</v>
      </c>
      <c r="G854" s="955"/>
      <c r="H854" s="955"/>
    </row>
    <row r="855" spans="1:8">
      <c r="A855" s="971" t="s">
        <v>3015</v>
      </c>
      <c r="B855" s="971" t="s">
        <v>2872</v>
      </c>
      <c r="C855" s="973"/>
      <c r="D855" s="973" t="s">
        <v>2873</v>
      </c>
      <c r="E855" s="1016">
        <f>'Ledger Load Template LGSvcs TEM'!AA817</f>
        <v>0</v>
      </c>
      <c r="G855" s="955"/>
      <c r="H855" s="955"/>
    </row>
    <row r="856" spans="1:8">
      <c r="A856" s="971" t="s">
        <v>3015</v>
      </c>
      <c r="B856" s="971" t="s">
        <v>2874</v>
      </c>
      <c r="C856" s="973"/>
      <c r="D856" s="973" t="s">
        <v>2875</v>
      </c>
      <c r="E856" s="1016">
        <f>'Ledger Load Template LGSvcs TEM'!AA818</f>
        <v>0</v>
      </c>
      <c r="G856" s="955"/>
      <c r="H856" s="955"/>
    </row>
    <row r="857" spans="1:8">
      <c r="A857" s="971" t="s">
        <v>3015</v>
      </c>
      <c r="B857" s="971" t="s">
        <v>2876</v>
      </c>
      <c r="C857" s="973"/>
      <c r="D857" s="973" t="s">
        <v>2877</v>
      </c>
      <c r="E857" s="1016">
        <f>'Ledger Load Template LGSvcs TEM'!AA819</f>
        <v>0</v>
      </c>
      <c r="G857" s="955"/>
      <c r="H857" s="955"/>
    </row>
    <row r="858" spans="1:8">
      <c r="A858" s="971" t="s">
        <v>3015</v>
      </c>
      <c r="B858" s="971" t="s">
        <v>2878</v>
      </c>
      <c r="C858" s="973"/>
      <c r="D858" s="973" t="s">
        <v>2879</v>
      </c>
      <c r="E858" s="1016">
        <f>'Ledger Load Template LGSvcs TEM'!AA820</f>
        <v>0</v>
      </c>
      <c r="G858" s="955"/>
      <c r="H858" s="955"/>
    </row>
    <row r="859" spans="1:8">
      <c r="A859" s="971" t="s">
        <v>3015</v>
      </c>
      <c r="B859" s="971" t="s">
        <v>2880</v>
      </c>
      <c r="C859" s="973"/>
      <c r="D859" s="973" t="s">
        <v>2881</v>
      </c>
      <c r="E859" s="1016">
        <f>'Ledger Load Template LGSvcs TEM'!AA821</f>
        <v>0</v>
      </c>
      <c r="G859" s="955"/>
      <c r="H859" s="955"/>
    </row>
    <row r="860" spans="1:8">
      <c r="A860" s="971" t="s">
        <v>3015</v>
      </c>
      <c r="B860" s="971" t="s">
        <v>2882</v>
      </c>
      <c r="C860" s="973"/>
      <c r="D860" s="973" t="s">
        <v>2883</v>
      </c>
      <c r="E860" s="1016">
        <f>'Ledger Load Template LGSvcs TEM'!AA823</f>
        <v>0</v>
      </c>
      <c r="G860" s="955"/>
      <c r="H860" s="955"/>
    </row>
    <row r="861" spans="1:8">
      <c r="A861" s="971" t="s">
        <v>3015</v>
      </c>
      <c r="B861" s="971" t="s">
        <v>2884</v>
      </c>
      <c r="C861" s="973"/>
      <c r="D861" s="973" t="s">
        <v>2885</v>
      </c>
      <c r="E861" s="1016">
        <f>'Ledger Load Template LGSvcs TEM'!AA824</f>
        <v>0</v>
      </c>
      <c r="G861" s="955"/>
      <c r="H861" s="955"/>
    </row>
    <row r="862" spans="1:8">
      <c r="A862" s="971" t="s">
        <v>3015</v>
      </c>
      <c r="B862" s="971" t="s">
        <v>2886</v>
      </c>
      <c r="C862" s="973"/>
      <c r="D862" s="973" t="s">
        <v>2887</v>
      </c>
      <c r="E862" s="1016">
        <f>'Ledger Load Template LGSvcs TEM'!AA825</f>
        <v>0</v>
      </c>
      <c r="G862" s="1768" t="s">
        <v>2894</v>
      </c>
      <c r="H862" s="1768"/>
    </row>
    <row r="863" spans="1:8" ht="13.5" thickBot="1">
      <c r="A863" s="971" t="s">
        <v>3015</v>
      </c>
      <c r="B863" s="971" t="s">
        <v>2888</v>
      </c>
      <c r="C863" s="973"/>
      <c r="D863" s="973" t="s">
        <v>2889</v>
      </c>
      <c r="E863" s="1016">
        <f>'Ledger Load Template LGSvcs TEM'!AA826</f>
        <v>0</v>
      </c>
      <c r="G863" s="988"/>
      <c r="H863" s="989">
        <f>SUM(E820:E866)</f>
        <v>0</v>
      </c>
    </row>
    <row r="864" spans="1:8" ht="13.5" thickTop="1">
      <c r="A864" s="971" t="s">
        <v>3015</v>
      </c>
      <c r="B864" s="971" t="s">
        <v>2890</v>
      </c>
      <c r="C864" s="973"/>
      <c r="D864" s="973" t="s">
        <v>2891</v>
      </c>
      <c r="E864" s="1016">
        <f>'Ledger Load Template LGSvcs TEM'!AA827</f>
        <v>0</v>
      </c>
      <c r="G864" s="955"/>
      <c r="H864" s="955"/>
    </row>
    <row r="865" spans="1:8">
      <c r="A865" s="971" t="s">
        <v>3015</v>
      </c>
      <c r="B865" s="971" t="s">
        <v>2892</v>
      </c>
      <c r="C865" s="973"/>
      <c r="D865" s="973" t="s">
        <v>2893</v>
      </c>
      <c r="E865" s="1016">
        <f>'Ledger Load Template LGSvcs TEM'!AA828</f>
        <v>0</v>
      </c>
      <c r="G865" s="955"/>
      <c r="H865" s="955"/>
    </row>
    <row r="866" spans="1:8">
      <c r="A866" s="971" t="s">
        <v>3015</v>
      </c>
      <c r="B866" s="971" t="s">
        <v>2895</v>
      </c>
      <c r="C866" s="973"/>
      <c r="D866" s="973" t="s">
        <v>2896</v>
      </c>
      <c r="E866" s="1016">
        <f>'Ledger Load Template LGSvcs TEM'!AA829</f>
        <v>0</v>
      </c>
      <c r="G866" s="955"/>
      <c r="H866" s="955"/>
    </row>
    <row r="867" spans="1:8">
      <c r="A867" s="1772" t="s">
        <v>3020</v>
      </c>
      <c r="B867" s="1773"/>
      <c r="C867" s="1773"/>
      <c r="D867" s="1773"/>
      <c r="E867" s="1774"/>
      <c r="G867" s="955"/>
      <c r="H867" s="955"/>
    </row>
    <row r="868" spans="1:8">
      <c r="A868" s="971" t="s">
        <v>3015</v>
      </c>
      <c r="B868" s="974" t="s">
        <v>2898</v>
      </c>
      <c r="C868" s="984" t="s">
        <v>2899</v>
      </c>
      <c r="D868" s="973" t="s">
        <v>2900</v>
      </c>
      <c r="E868" s="1016">
        <f>'Ledger Load Template LGSvcs TEM'!AA830</f>
        <v>0</v>
      </c>
      <c r="G868" s="955"/>
      <c r="H868" s="955"/>
    </row>
    <row r="869" spans="1:8">
      <c r="A869" s="971" t="s">
        <v>3015</v>
      </c>
      <c r="B869" s="974" t="s">
        <v>2898</v>
      </c>
      <c r="C869" s="984" t="s">
        <v>2901</v>
      </c>
      <c r="D869" s="973" t="s">
        <v>2900</v>
      </c>
      <c r="E869" s="1016">
        <f>'Ledger Load Template LGSvcs TEM'!AA831</f>
        <v>0</v>
      </c>
      <c r="G869" s="955"/>
      <c r="H869" s="955"/>
    </row>
    <row r="870" spans="1:8">
      <c r="A870" s="971" t="s">
        <v>3015</v>
      </c>
      <c r="B870" s="974" t="s">
        <v>2898</v>
      </c>
      <c r="C870" s="984" t="s">
        <v>2902</v>
      </c>
      <c r="D870" s="973" t="s">
        <v>302</v>
      </c>
      <c r="E870" s="1016">
        <f>'Ledger Load Template LGSvcs TEM'!AA832</f>
        <v>0</v>
      </c>
      <c r="G870" s="955"/>
      <c r="H870" s="955"/>
    </row>
    <row r="871" spans="1:8">
      <c r="A871" s="971" t="s">
        <v>3015</v>
      </c>
      <c r="B871" s="974" t="s">
        <v>2898</v>
      </c>
      <c r="C871" s="984" t="s">
        <v>2903</v>
      </c>
      <c r="D871" s="973" t="s">
        <v>302</v>
      </c>
      <c r="E871" s="1016">
        <f>'Ledger Load Template LGSvcs TEM'!AA833</f>
        <v>0</v>
      </c>
      <c r="G871" s="955"/>
      <c r="H871" s="955"/>
    </row>
    <row r="872" spans="1:8">
      <c r="A872" s="971" t="s">
        <v>3015</v>
      </c>
      <c r="B872" s="974" t="s">
        <v>2898</v>
      </c>
      <c r="C872" s="984" t="s">
        <v>2904</v>
      </c>
      <c r="D872" s="973" t="s">
        <v>302</v>
      </c>
      <c r="E872" s="1016">
        <f>'Ledger Load Template LGSvcs TEM'!AA834</f>
        <v>0</v>
      </c>
      <c r="G872" s="955"/>
      <c r="H872" s="955"/>
    </row>
    <row r="873" spans="1:8">
      <c r="A873" s="971" t="s">
        <v>3015</v>
      </c>
      <c r="B873" s="974" t="s">
        <v>2905</v>
      </c>
      <c r="C873" s="984" t="s">
        <v>2899</v>
      </c>
      <c r="D873" s="973" t="s">
        <v>1039</v>
      </c>
      <c r="E873" s="1016">
        <f>'Ledger Load Template LGSvcs TEM'!AA835</f>
        <v>0</v>
      </c>
      <c r="G873" s="955"/>
      <c r="H873" s="955"/>
    </row>
    <row r="874" spans="1:8">
      <c r="A874" s="971" t="s">
        <v>3015</v>
      </c>
      <c r="B874" s="974" t="s">
        <v>2905</v>
      </c>
      <c r="C874" s="984" t="s">
        <v>2901</v>
      </c>
      <c r="D874" s="973" t="s">
        <v>1039</v>
      </c>
      <c r="E874" s="1016">
        <f>'Ledger Load Template LGSvcs TEM'!AA836</f>
        <v>0</v>
      </c>
      <c r="G874" s="955"/>
      <c r="H874" s="955"/>
    </row>
    <row r="875" spans="1:8">
      <c r="A875" s="971" t="s">
        <v>3015</v>
      </c>
      <c r="B875" s="974" t="s">
        <v>2905</v>
      </c>
      <c r="C875" s="984" t="s">
        <v>2902</v>
      </c>
      <c r="D875" s="973" t="s">
        <v>1039</v>
      </c>
      <c r="E875" s="1016">
        <f>'Ledger Load Template LGSvcs TEM'!AA837</f>
        <v>0</v>
      </c>
      <c r="G875" s="955"/>
      <c r="H875" s="955"/>
    </row>
    <row r="876" spans="1:8">
      <c r="A876" s="971" t="s">
        <v>3015</v>
      </c>
      <c r="B876" s="974" t="s">
        <v>2905</v>
      </c>
      <c r="C876" s="984" t="s">
        <v>2903</v>
      </c>
      <c r="D876" s="973" t="s">
        <v>1039</v>
      </c>
      <c r="E876" s="1016">
        <f>'Ledger Load Template LGSvcs TEM'!AA838</f>
        <v>0</v>
      </c>
      <c r="G876" s="955"/>
      <c r="H876" s="955"/>
    </row>
    <row r="877" spans="1:8">
      <c r="A877" s="971" t="s">
        <v>3015</v>
      </c>
      <c r="B877" s="974" t="s">
        <v>2905</v>
      </c>
      <c r="C877" s="984" t="s">
        <v>2904</v>
      </c>
      <c r="D877" s="973" t="s">
        <v>1039</v>
      </c>
      <c r="E877" s="1016">
        <f>'Ledger Load Template LGSvcs TEM'!AA839</f>
        <v>0</v>
      </c>
      <c r="G877" s="955"/>
      <c r="H877" s="955"/>
    </row>
    <row r="878" spans="1:8">
      <c r="A878" s="971" t="s">
        <v>3015</v>
      </c>
      <c r="B878" s="974" t="s">
        <v>2906</v>
      </c>
      <c r="C878" s="984" t="s">
        <v>2899</v>
      </c>
      <c r="D878" s="973" t="s">
        <v>1040</v>
      </c>
      <c r="E878" s="1016">
        <f>'Ledger Load Template LGSvcs TEM'!AA840</f>
        <v>0</v>
      </c>
      <c r="G878" s="955"/>
      <c r="H878" s="955"/>
    </row>
    <row r="879" spans="1:8">
      <c r="A879" s="971" t="s">
        <v>3015</v>
      </c>
      <c r="B879" s="974" t="s">
        <v>2906</v>
      </c>
      <c r="C879" s="984" t="s">
        <v>2901</v>
      </c>
      <c r="D879" s="973" t="s">
        <v>1040</v>
      </c>
      <c r="E879" s="1016">
        <f>'Ledger Load Template LGSvcs TEM'!AA841</f>
        <v>0</v>
      </c>
      <c r="G879" s="955"/>
      <c r="H879" s="955"/>
    </row>
    <row r="880" spans="1:8">
      <c r="A880" s="971" t="s">
        <v>3015</v>
      </c>
      <c r="B880" s="974" t="s">
        <v>2906</v>
      </c>
      <c r="C880" s="984" t="s">
        <v>2902</v>
      </c>
      <c r="D880" s="973" t="s">
        <v>1040</v>
      </c>
      <c r="E880" s="1016">
        <f>'Ledger Load Template LGSvcs TEM'!AA842</f>
        <v>0</v>
      </c>
      <c r="G880" s="955"/>
      <c r="H880" s="955"/>
    </row>
    <row r="881" spans="1:8">
      <c r="A881" s="971" t="s">
        <v>3015</v>
      </c>
      <c r="B881" s="974" t="s">
        <v>2906</v>
      </c>
      <c r="C881" s="984" t="s">
        <v>2903</v>
      </c>
      <c r="D881" s="973" t="s">
        <v>1040</v>
      </c>
      <c r="E881" s="1016">
        <f>'Ledger Load Template LGSvcs TEM'!AA843</f>
        <v>0</v>
      </c>
      <c r="G881" s="955"/>
      <c r="H881" s="955"/>
    </row>
    <row r="882" spans="1:8">
      <c r="A882" s="971" t="s">
        <v>3015</v>
      </c>
      <c r="B882" s="974" t="s">
        <v>2906</v>
      </c>
      <c r="C882" s="984" t="s">
        <v>2904</v>
      </c>
      <c r="D882" s="973" t="s">
        <v>1040</v>
      </c>
      <c r="E882" s="1016">
        <f>'Ledger Load Template LGSvcs TEM'!AA844</f>
        <v>0</v>
      </c>
      <c r="G882" s="955"/>
      <c r="H882" s="955"/>
    </row>
    <row r="883" spans="1:8">
      <c r="A883" s="971" t="s">
        <v>3015</v>
      </c>
      <c r="B883" s="974" t="s">
        <v>2907</v>
      </c>
      <c r="C883" s="984" t="s">
        <v>2899</v>
      </c>
      <c r="D883" s="973" t="s">
        <v>1041</v>
      </c>
      <c r="E883" s="1016">
        <f>'Ledger Load Template LGSvcs TEM'!AA845</f>
        <v>0</v>
      </c>
      <c r="G883" s="955"/>
      <c r="H883" s="955"/>
    </row>
    <row r="884" spans="1:8">
      <c r="A884" s="971" t="s">
        <v>3015</v>
      </c>
      <c r="B884" s="974" t="s">
        <v>2907</v>
      </c>
      <c r="C884" s="984" t="s">
        <v>2901</v>
      </c>
      <c r="D884" s="973" t="s">
        <v>1041</v>
      </c>
      <c r="E884" s="1016">
        <f>'Ledger Load Template LGSvcs TEM'!AA846</f>
        <v>0</v>
      </c>
      <c r="G884" s="955"/>
      <c r="H884" s="955"/>
    </row>
    <row r="885" spans="1:8">
      <c r="A885" s="971" t="s">
        <v>3015</v>
      </c>
      <c r="B885" s="974" t="s">
        <v>2907</v>
      </c>
      <c r="C885" s="984" t="s">
        <v>2902</v>
      </c>
      <c r="D885" s="973" t="s">
        <v>1041</v>
      </c>
      <c r="E885" s="1016">
        <f>'Ledger Load Template LGSvcs TEM'!AA847</f>
        <v>0</v>
      </c>
      <c r="G885" s="955"/>
      <c r="H885" s="955"/>
    </row>
    <row r="886" spans="1:8">
      <c r="A886" s="971" t="s">
        <v>3015</v>
      </c>
      <c r="B886" s="974" t="s">
        <v>2907</v>
      </c>
      <c r="C886" s="984" t="s">
        <v>2903</v>
      </c>
      <c r="D886" s="973" t="s">
        <v>1041</v>
      </c>
      <c r="E886" s="1016">
        <f>'Ledger Load Template LGSvcs TEM'!AA848</f>
        <v>0</v>
      </c>
      <c r="G886" s="955"/>
      <c r="H886" s="955"/>
    </row>
    <row r="887" spans="1:8">
      <c r="A887" s="971" t="s">
        <v>3015</v>
      </c>
      <c r="B887" s="974" t="s">
        <v>2907</v>
      </c>
      <c r="C887" s="984" t="s">
        <v>2904</v>
      </c>
      <c r="D887" s="973" t="s">
        <v>1041</v>
      </c>
      <c r="E887" s="1016">
        <f>'Ledger Load Template LGSvcs TEM'!AA849</f>
        <v>0</v>
      </c>
      <c r="G887" s="955"/>
      <c r="H887" s="955"/>
    </row>
    <row r="888" spans="1:8">
      <c r="A888" s="971" t="s">
        <v>3015</v>
      </c>
      <c r="B888" s="974" t="s">
        <v>2908</v>
      </c>
      <c r="C888" s="984" t="s">
        <v>2899</v>
      </c>
      <c r="D888" s="973" t="s">
        <v>1042</v>
      </c>
      <c r="E888" s="1016">
        <f>'Ledger Load Template LGSvcs TEM'!AA850</f>
        <v>0</v>
      </c>
      <c r="G888" s="955"/>
      <c r="H888" s="955"/>
    </row>
    <row r="889" spans="1:8">
      <c r="A889" s="971" t="s">
        <v>3015</v>
      </c>
      <c r="B889" s="974" t="s">
        <v>2908</v>
      </c>
      <c r="C889" s="984" t="s">
        <v>2901</v>
      </c>
      <c r="D889" s="973" t="s">
        <v>1042</v>
      </c>
      <c r="E889" s="1016">
        <f>'Ledger Load Template LGSvcs TEM'!AA851</f>
        <v>0</v>
      </c>
      <c r="G889" s="955"/>
      <c r="H889" s="955"/>
    </row>
    <row r="890" spans="1:8">
      <c r="A890" s="971" t="s">
        <v>3015</v>
      </c>
      <c r="B890" s="974" t="s">
        <v>2908</v>
      </c>
      <c r="C890" s="984" t="s">
        <v>2902</v>
      </c>
      <c r="D890" s="973" t="s">
        <v>1042</v>
      </c>
      <c r="E890" s="1016">
        <f>'Ledger Load Template LGSvcs TEM'!AA852</f>
        <v>0</v>
      </c>
      <c r="G890" s="955"/>
      <c r="H890" s="955"/>
    </row>
    <row r="891" spans="1:8">
      <c r="A891" s="971" t="s">
        <v>3015</v>
      </c>
      <c r="B891" s="974" t="s">
        <v>2908</v>
      </c>
      <c r="C891" s="984" t="s">
        <v>2903</v>
      </c>
      <c r="D891" s="973" t="s">
        <v>1042</v>
      </c>
      <c r="E891" s="1016">
        <f>'Ledger Load Template LGSvcs TEM'!AA853</f>
        <v>0</v>
      </c>
      <c r="G891" s="955"/>
      <c r="H891" s="955"/>
    </row>
    <row r="892" spans="1:8">
      <c r="A892" s="971" t="s">
        <v>3015</v>
      </c>
      <c r="B892" s="974" t="s">
        <v>2908</v>
      </c>
      <c r="C892" s="984" t="s">
        <v>2904</v>
      </c>
      <c r="D892" s="973" t="s">
        <v>1042</v>
      </c>
      <c r="E892" s="1016">
        <f>'Ledger Load Template LGSvcs TEM'!AA854</f>
        <v>0</v>
      </c>
      <c r="G892" s="955"/>
      <c r="H892" s="955"/>
    </row>
    <row r="893" spans="1:8">
      <c r="A893" s="971" t="s">
        <v>3015</v>
      </c>
      <c r="B893" s="974" t="s">
        <v>2909</v>
      </c>
      <c r="C893" s="984" t="s">
        <v>2899</v>
      </c>
      <c r="D893" s="973" t="s">
        <v>1043</v>
      </c>
      <c r="E893" s="1016">
        <f>'Ledger Load Template LGSvcs TEM'!AA855</f>
        <v>0</v>
      </c>
      <c r="G893" s="955"/>
      <c r="H893" s="955"/>
    </row>
    <row r="894" spans="1:8">
      <c r="A894" s="971" t="s">
        <v>3015</v>
      </c>
      <c r="B894" s="974" t="s">
        <v>2909</v>
      </c>
      <c r="C894" s="984" t="s">
        <v>2901</v>
      </c>
      <c r="D894" s="973" t="s">
        <v>1043</v>
      </c>
      <c r="E894" s="1016">
        <f>'Ledger Load Template LGSvcs TEM'!AA856</f>
        <v>0</v>
      </c>
      <c r="G894" s="955"/>
      <c r="H894" s="955"/>
    </row>
    <row r="895" spans="1:8">
      <c r="A895" s="971" t="s">
        <v>3015</v>
      </c>
      <c r="B895" s="974" t="s">
        <v>2909</v>
      </c>
      <c r="C895" s="984" t="s">
        <v>2902</v>
      </c>
      <c r="D895" s="973" t="s">
        <v>1043</v>
      </c>
      <c r="E895" s="1016">
        <f>'Ledger Load Template LGSvcs TEM'!AA857</f>
        <v>0</v>
      </c>
      <c r="G895" s="955"/>
      <c r="H895" s="955"/>
    </row>
    <row r="896" spans="1:8">
      <c r="A896" s="971" t="s">
        <v>3015</v>
      </c>
      <c r="B896" s="974" t="s">
        <v>2909</v>
      </c>
      <c r="C896" s="984" t="s">
        <v>2903</v>
      </c>
      <c r="D896" s="973" t="s">
        <v>1043</v>
      </c>
      <c r="E896" s="1016">
        <f>'Ledger Load Template LGSvcs TEM'!AA858</f>
        <v>0</v>
      </c>
      <c r="G896" s="955"/>
      <c r="H896" s="955"/>
    </row>
    <row r="897" spans="1:8">
      <c r="A897" s="971" t="s">
        <v>3015</v>
      </c>
      <c r="B897" s="974" t="s">
        <v>2909</v>
      </c>
      <c r="C897" s="984" t="s">
        <v>2904</v>
      </c>
      <c r="D897" s="973" t="s">
        <v>1043</v>
      </c>
      <c r="E897" s="1016">
        <f>'Ledger Load Template LGSvcs TEM'!AA859</f>
        <v>0</v>
      </c>
      <c r="G897" s="955"/>
      <c r="H897" s="955"/>
    </row>
    <row r="898" spans="1:8">
      <c r="A898" s="971" t="s">
        <v>3015</v>
      </c>
      <c r="B898" s="974" t="s">
        <v>2910</v>
      </c>
      <c r="C898" s="984" t="s">
        <v>2899</v>
      </c>
      <c r="D898" s="973" t="s">
        <v>1044</v>
      </c>
      <c r="E898" s="1016">
        <f>'Ledger Load Template LGSvcs TEM'!AA860</f>
        <v>0</v>
      </c>
      <c r="G898" s="955"/>
      <c r="H898" s="955"/>
    </row>
    <row r="899" spans="1:8">
      <c r="A899" s="971" t="s">
        <v>3015</v>
      </c>
      <c r="B899" s="974" t="s">
        <v>2910</v>
      </c>
      <c r="C899" s="984" t="s">
        <v>2901</v>
      </c>
      <c r="D899" s="973" t="s">
        <v>1044</v>
      </c>
      <c r="E899" s="1016">
        <f>'Ledger Load Template LGSvcs TEM'!AA861</f>
        <v>0</v>
      </c>
      <c r="G899" s="955"/>
      <c r="H899" s="955"/>
    </row>
    <row r="900" spans="1:8">
      <c r="A900" s="971" t="s">
        <v>3015</v>
      </c>
      <c r="B900" s="974" t="s">
        <v>2910</v>
      </c>
      <c r="C900" s="984" t="s">
        <v>2902</v>
      </c>
      <c r="D900" s="973" t="s">
        <v>1044</v>
      </c>
      <c r="E900" s="1016">
        <f>'Ledger Load Template LGSvcs TEM'!AA862</f>
        <v>0</v>
      </c>
      <c r="G900" s="955"/>
      <c r="H900" s="955"/>
    </row>
    <row r="901" spans="1:8">
      <c r="A901" s="971" t="s">
        <v>3015</v>
      </c>
      <c r="B901" s="971" t="s">
        <v>2910</v>
      </c>
      <c r="C901" s="984" t="s">
        <v>2903</v>
      </c>
      <c r="D901" s="973" t="s">
        <v>1044</v>
      </c>
      <c r="E901" s="1016">
        <f>'Ledger Load Template LGSvcs TEM'!AA863</f>
        <v>0</v>
      </c>
      <c r="G901" s="955"/>
      <c r="H901" s="955"/>
    </row>
    <row r="902" spans="1:8">
      <c r="A902" s="971" t="s">
        <v>3015</v>
      </c>
      <c r="B902" s="971" t="s">
        <v>2910</v>
      </c>
      <c r="C902" s="984" t="s">
        <v>2904</v>
      </c>
      <c r="D902" s="973" t="s">
        <v>1044</v>
      </c>
      <c r="E902" s="1016">
        <f>'Ledger Load Template LGSvcs TEM'!AA864</f>
        <v>0</v>
      </c>
      <c r="G902" s="955"/>
      <c r="H902" s="955"/>
    </row>
    <row r="903" spans="1:8">
      <c r="A903" s="971" t="s">
        <v>3015</v>
      </c>
      <c r="B903" s="971" t="s">
        <v>2911</v>
      </c>
      <c r="C903" s="984" t="s">
        <v>2899</v>
      </c>
      <c r="D903" s="973" t="s">
        <v>1088</v>
      </c>
      <c r="E903" s="1016">
        <f>'Ledger Load Template LGSvcs TEM'!AA865</f>
        <v>0</v>
      </c>
      <c r="G903" s="955"/>
      <c r="H903" s="955"/>
    </row>
    <row r="904" spans="1:8">
      <c r="A904" s="971" t="s">
        <v>3015</v>
      </c>
      <c r="B904" s="971" t="s">
        <v>2911</v>
      </c>
      <c r="C904" s="984" t="s">
        <v>2901</v>
      </c>
      <c r="D904" s="973" t="s">
        <v>1088</v>
      </c>
      <c r="E904" s="1016">
        <f>'Ledger Load Template LGSvcs TEM'!AA866</f>
        <v>0</v>
      </c>
      <c r="G904" s="955"/>
      <c r="H904" s="955"/>
    </row>
    <row r="905" spans="1:8">
      <c r="A905" s="971" t="s">
        <v>3015</v>
      </c>
      <c r="B905" s="971" t="s">
        <v>2911</v>
      </c>
      <c r="C905" s="984" t="s">
        <v>2902</v>
      </c>
      <c r="D905" s="973" t="s">
        <v>1088</v>
      </c>
      <c r="E905" s="1016">
        <f>'Ledger Load Template LGSvcs TEM'!AA867</f>
        <v>0</v>
      </c>
      <c r="G905" s="955"/>
      <c r="H905" s="955"/>
    </row>
    <row r="906" spans="1:8">
      <c r="A906" s="971" t="s">
        <v>3015</v>
      </c>
      <c r="B906" s="971" t="s">
        <v>2911</v>
      </c>
      <c r="C906" s="984" t="s">
        <v>2903</v>
      </c>
      <c r="D906" s="973" t="s">
        <v>1088</v>
      </c>
      <c r="E906" s="1016">
        <f>'Ledger Load Template LGSvcs TEM'!AA868</f>
        <v>0</v>
      </c>
      <c r="G906" s="955"/>
      <c r="H906" s="955"/>
    </row>
    <row r="907" spans="1:8">
      <c r="A907" s="971" t="s">
        <v>3015</v>
      </c>
      <c r="B907" s="971" t="s">
        <v>2911</v>
      </c>
      <c r="C907" s="984" t="s">
        <v>2904</v>
      </c>
      <c r="D907" s="973" t="s">
        <v>1088</v>
      </c>
      <c r="E907" s="1016">
        <f>'Ledger Load Template LGSvcs TEM'!AA869</f>
        <v>0</v>
      </c>
      <c r="G907" s="955"/>
      <c r="H907" s="955"/>
    </row>
    <row r="908" spans="1:8">
      <c r="A908" s="971" t="s">
        <v>3015</v>
      </c>
      <c r="B908" s="971" t="s">
        <v>2912</v>
      </c>
      <c r="C908" s="984" t="s">
        <v>2899</v>
      </c>
      <c r="D908" s="973" t="s">
        <v>1089</v>
      </c>
      <c r="E908" s="1016">
        <f>'Ledger Load Template LGSvcs TEM'!AA870</f>
        <v>0</v>
      </c>
      <c r="G908" s="955"/>
      <c r="H908" s="955"/>
    </row>
    <row r="909" spans="1:8">
      <c r="A909" s="971" t="s">
        <v>3015</v>
      </c>
      <c r="B909" s="971" t="s">
        <v>2912</v>
      </c>
      <c r="C909" s="984" t="s">
        <v>2901</v>
      </c>
      <c r="D909" s="973" t="s">
        <v>1089</v>
      </c>
      <c r="E909" s="1016">
        <f>'Ledger Load Template LGSvcs TEM'!AA871</f>
        <v>0</v>
      </c>
      <c r="G909" s="955"/>
      <c r="H909" s="955"/>
    </row>
    <row r="910" spans="1:8">
      <c r="A910" s="971" t="s">
        <v>3015</v>
      </c>
      <c r="B910" s="971" t="s">
        <v>2912</v>
      </c>
      <c r="C910" s="984" t="s">
        <v>2902</v>
      </c>
      <c r="D910" s="973" t="s">
        <v>1089</v>
      </c>
      <c r="E910" s="1016">
        <f>'Ledger Load Template LGSvcs TEM'!AA872</f>
        <v>0</v>
      </c>
      <c r="G910" s="955"/>
      <c r="H910" s="955"/>
    </row>
    <row r="911" spans="1:8">
      <c r="A911" s="971" t="s">
        <v>3015</v>
      </c>
      <c r="B911" s="971" t="s">
        <v>2912</v>
      </c>
      <c r="C911" s="984" t="s">
        <v>2903</v>
      </c>
      <c r="D911" s="973" t="s">
        <v>1089</v>
      </c>
      <c r="E911" s="1016">
        <f>'Ledger Load Template LGSvcs TEM'!AA873</f>
        <v>0</v>
      </c>
      <c r="G911" s="955"/>
      <c r="H911" s="955"/>
    </row>
    <row r="912" spans="1:8">
      <c r="A912" s="971" t="s">
        <v>3015</v>
      </c>
      <c r="B912" s="971" t="s">
        <v>2912</v>
      </c>
      <c r="C912" s="984" t="s">
        <v>2904</v>
      </c>
      <c r="D912" s="973" t="s">
        <v>1089</v>
      </c>
      <c r="E912" s="1016">
        <f>'Ledger Load Template LGSvcs TEM'!AA874</f>
        <v>0</v>
      </c>
      <c r="G912" s="955"/>
      <c r="H912" s="955"/>
    </row>
    <row r="913" spans="1:8" s="993" customFormat="1">
      <c r="A913" s="971" t="s">
        <v>3015</v>
      </c>
      <c r="B913" s="971" t="s">
        <v>2913</v>
      </c>
      <c r="C913" s="984" t="s">
        <v>2899</v>
      </c>
      <c r="D913" s="973" t="s">
        <v>2914</v>
      </c>
      <c r="E913" s="1016">
        <f>'Ledger Load Template LGSvcs TEM'!AA875</f>
        <v>0</v>
      </c>
      <c r="G913" s="955"/>
      <c r="H913" s="955"/>
    </row>
    <row r="914" spans="1:8">
      <c r="A914" s="971" t="s">
        <v>3015</v>
      </c>
      <c r="B914" s="971" t="s">
        <v>2913</v>
      </c>
      <c r="C914" s="984" t="s">
        <v>2901</v>
      </c>
      <c r="D914" s="973" t="s">
        <v>2914</v>
      </c>
      <c r="E914" s="1016">
        <f>'Ledger Load Template LGSvcs TEM'!AA876</f>
        <v>0</v>
      </c>
      <c r="G914" s="955"/>
      <c r="H914" s="955"/>
    </row>
    <row r="915" spans="1:8">
      <c r="A915" s="971" t="s">
        <v>3015</v>
      </c>
      <c r="B915" s="971" t="s">
        <v>2913</v>
      </c>
      <c r="C915" s="984" t="s">
        <v>2902</v>
      </c>
      <c r="D915" s="973" t="s">
        <v>2914</v>
      </c>
      <c r="E915" s="1016">
        <f>'Ledger Load Template LGSvcs TEM'!AA877</f>
        <v>0</v>
      </c>
      <c r="G915" s="955"/>
      <c r="H915" s="955"/>
    </row>
    <row r="916" spans="1:8">
      <c r="A916" s="971" t="s">
        <v>3015</v>
      </c>
      <c r="B916" s="971" t="s">
        <v>2913</v>
      </c>
      <c r="C916" s="984" t="s">
        <v>2903</v>
      </c>
      <c r="D916" s="973" t="s">
        <v>2914</v>
      </c>
      <c r="E916" s="1016">
        <f>'Ledger Load Template LGSvcs TEM'!AA878</f>
        <v>0</v>
      </c>
      <c r="G916" s="955"/>
      <c r="H916" s="955"/>
    </row>
    <row r="917" spans="1:8">
      <c r="A917" s="971" t="s">
        <v>3015</v>
      </c>
      <c r="B917" s="971" t="s">
        <v>2913</v>
      </c>
      <c r="C917" s="984" t="s">
        <v>2904</v>
      </c>
      <c r="D917" s="973" t="s">
        <v>2914</v>
      </c>
      <c r="E917" s="1016">
        <f>'Ledger Load Template LGSvcs TEM'!AA879</f>
        <v>0</v>
      </c>
      <c r="G917" s="955"/>
      <c r="H917" s="955"/>
    </row>
    <row r="918" spans="1:8">
      <c r="A918" s="971" t="s">
        <v>3015</v>
      </c>
      <c r="B918" s="971" t="s">
        <v>2915</v>
      </c>
      <c r="C918" s="984" t="s">
        <v>2899</v>
      </c>
      <c r="D918" s="973" t="s">
        <v>214</v>
      </c>
      <c r="E918" s="1016">
        <f>'Ledger Load Template LGSvcs TEM'!AA880</f>
        <v>0</v>
      </c>
      <c r="G918" s="955"/>
      <c r="H918" s="955"/>
    </row>
    <row r="919" spans="1:8">
      <c r="A919" s="971" t="s">
        <v>3015</v>
      </c>
      <c r="B919" s="971" t="s">
        <v>2915</v>
      </c>
      <c r="C919" s="984" t="s">
        <v>2901</v>
      </c>
      <c r="D919" s="973" t="s">
        <v>214</v>
      </c>
      <c r="E919" s="1016">
        <f>'Ledger Load Template LGSvcs TEM'!AA881</f>
        <v>0</v>
      </c>
      <c r="G919" s="955"/>
      <c r="H919" s="955"/>
    </row>
    <row r="920" spans="1:8">
      <c r="A920" s="971" t="s">
        <v>3015</v>
      </c>
      <c r="B920" s="971" t="s">
        <v>2915</v>
      </c>
      <c r="C920" s="984" t="s">
        <v>2902</v>
      </c>
      <c r="D920" s="973" t="s">
        <v>214</v>
      </c>
      <c r="E920" s="1016">
        <f>'Ledger Load Template LGSvcs TEM'!AA882</f>
        <v>0</v>
      </c>
      <c r="G920" s="955"/>
      <c r="H920" s="955"/>
    </row>
    <row r="921" spans="1:8">
      <c r="A921" s="971" t="s">
        <v>3015</v>
      </c>
      <c r="B921" s="971" t="s">
        <v>2915</v>
      </c>
      <c r="C921" s="984" t="s">
        <v>2903</v>
      </c>
      <c r="D921" s="973" t="s">
        <v>214</v>
      </c>
      <c r="E921" s="1016">
        <f>'Ledger Load Template LGSvcs TEM'!AA883</f>
        <v>0</v>
      </c>
      <c r="G921" s="955"/>
      <c r="H921" s="955"/>
    </row>
    <row r="922" spans="1:8">
      <c r="A922" s="971" t="s">
        <v>3015</v>
      </c>
      <c r="B922" s="971" t="s">
        <v>2915</v>
      </c>
      <c r="C922" s="984" t="s">
        <v>2904</v>
      </c>
      <c r="D922" s="973" t="s">
        <v>214</v>
      </c>
      <c r="E922" s="1016">
        <f>'Ledger Load Template LGSvcs TEM'!AA884</f>
        <v>0</v>
      </c>
      <c r="G922" s="955"/>
      <c r="H922" s="955"/>
    </row>
    <row r="923" spans="1:8">
      <c r="A923" s="971" t="s">
        <v>3015</v>
      </c>
      <c r="B923" s="971" t="s">
        <v>2916</v>
      </c>
      <c r="C923" s="984" t="s">
        <v>2899</v>
      </c>
      <c r="D923" s="973" t="s">
        <v>2917</v>
      </c>
      <c r="E923" s="1016"/>
      <c r="G923" s="1768" t="s">
        <v>2918</v>
      </c>
      <c r="H923" s="1768"/>
    </row>
    <row r="924" spans="1:8" ht="13.5" thickBot="1">
      <c r="A924" s="971" t="s">
        <v>3015</v>
      </c>
      <c r="B924" s="971" t="s">
        <v>2916</v>
      </c>
      <c r="C924" s="984" t="s">
        <v>2901</v>
      </c>
      <c r="D924" s="973" t="s">
        <v>2917</v>
      </c>
      <c r="E924" s="1016">
        <f>'Ledger Load Template LGSvcs TEM'!AA885</f>
        <v>0</v>
      </c>
      <c r="G924" s="988"/>
      <c r="H924" s="989">
        <f>SUM(E868:E927)</f>
        <v>0</v>
      </c>
    </row>
    <row r="925" spans="1:8" ht="13.5" thickTop="1">
      <c r="A925" s="971" t="s">
        <v>3015</v>
      </c>
      <c r="B925" s="971" t="s">
        <v>2916</v>
      </c>
      <c r="C925" s="984" t="s">
        <v>2902</v>
      </c>
      <c r="D925" s="973" t="s">
        <v>2917</v>
      </c>
      <c r="E925" s="1016"/>
    </row>
    <row r="926" spans="1:8">
      <c r="A926" s="971" t="s">
        <v>3015</v>
      </c>
      <c r="B926" s="971" t="s">
        <v>2916</v>
      </c>
      <c r="C926" s="984" t="s">
        <v>2903</v>
      </c>
      <c r="D926" s="973" t="s">
        <v>2917</v>
      </c>
      <c r="E926" s="1016"/>
    </row>
    <row r="927" spans="1:8">
      <c r="A927" s="971" t="s">
        <v>3015</v>
      </c>
      <c r="B927" s="971" t="s">
        <v>2916</v>
      </c>
      <c r="C927" s="984" t="s">
        <v>2904</v>
      </c>
      <c r="D927" s="973" t="s">
        <v>2917</v>
      </c>
      <c r="E927" s="1016"/>
    </row>
    <row r="932" spans="7:8">
      <c r="G932" s="993"/>
      <c r="H932" s="993"/>
    </row>
    <row r="1064" spans="1:1">
      <c r="A1064" s="995" t="s">
        <v>3021</v>
      </c>
    </row>
  </sheetData>
  <sheetProtection password="D950" sheet="1" objects="1" scenarios="1"/>
  <mergeCells count="81">
    <mergeCell ref="G862:H862"/>
    <mergeCell ref="A867:E867"/>
    <mergeCell ref="G923:H923"/>
    <mergeCell ref="A797:E797"/>
    <mergeCell ref="A798:E798"/>
    <mergeCell ref="A799:E799"/>
    <mergeCell ref="A809:E809"/>
    <mergeCell ref="A814:E814"/>
    <mergeCell ref="A819:E819"/>
    <mergeCell ref="G770:H770"/>
    <mergeCell ref="A775:E775"/>
    <mergeCell ref="A776:E776"/>
    <mergeCell ref="A777:E777"/>
    <mergeCell ref="A787:E787"/>
    <mergeCell ref="A792:E792"/>
    <mergeCell ref="A700:E700"/>
    <mergeCell ref="A710:E710"/>
    <mergeCell ref="A715:E715"/>
    <mergeCell ref="A720:E720"/>
    <mergeCell ref="G763:H763"/>
    <mergeCell ref="A768:E768"/>
    <mergeCell ref="A639:E639"/>
    <mergeCell ref="G682:H682"/>
    <mergeCell ref="A687:E687"/>
    <mergeCell ref="G693:H693"/>
    <mergeCell ref="A698:E698"/>
    <mergeCell ref="A699:E699"/>
    <mergeCell ref="G612:H612"/>
    <mergeCell ref="A615:E615"/>
    <mergeCell ref="A616:E616"/>
    <mergeCell ref="A617:E617"/>
    <mergeCell ref="A627:E627"/>
    <mergeCell ref="A634:E634"/>
    <mergeCell ref="A534:E534"/>
    <mergeCell ref="A544:E544"/>
    <mergeCell ref="A551:E551"/>
    <mergeCell ref="A556:E556"/>
    <mergeCell ref="G338:H338"/>
    <mergeCell ref="G601:H601"/>
    <mergeCell ref="A604:E604"/>
    <mergeCell ref="A423:E423"/>
    <mergeCell ref="G469:H469"/>
    <mergeCell ref="A471:E471"/>
    <mergeCell ref="G530:H530"/>
    <mergeCell ref="A532:E532"/>
    <mergeCell ref="A533:E533"/>
    <mergeCell ref="G399:H399"/>
    <mergeCell ref="A401:E401"/>
    <mergeCell ref="A402:E402"/>
    <mergeCell ref="A403:E403"/>
    <mergeCell ref="A413:E413"/>
    <mergeCell ref="A418:E418"/>
    <mergeCell ref="A272:E272"/>
    <mergeCell ref="A282:E282"/>
    <mergeCell ref="A287:E287"/>
    <mergeCell ref="A292:E292"/>
    <mergeCell ref="A340:E340"/>
    <mergeCell ref="A9:E9"/>
    <mergeCell ref="A10:E10"/>
    <mergeCell ref="A20:E20"/>
    <mergeCell ref="A25:E25"/>
    <mergeCell ref="A30:E30"/>
    <mergeCell ref="G76:H76"/>
    <mergeCell ref="A271:E271"/>
    <mergeCell ref="G137:H137"/>
    <mergeCell ref="A140:E140"/>
    <mergeCell ref="A141:E141"/>
    <mergeCell ref="A151:E151"/>
    <mergeCell ref="A161:E161"/>
    <mergeCell ref="G207:H207"/>
    <mergeCell ref="A156:E156"/>
    <mergeCell ref="A78:E78"/>
    <mergeCell ref="A209:E209"/>
    <mergeCell ref="G268:H268"/>
    <mergeCell ref="A270:E270"/>
    <mergeCell ref="G3:H3"/>
    <mergeCell ref="A4:C4"/>
    <mergeCell ref="A5:C5"/>
    <mergeCell ref="F5:G5"/>
    <mergeCell ref="A6:C6"/>
    <mergeCell ref="F6:G6"/>
  </mergeCells>
  <pageMargins left="0.25" right="0.25" top="0.5" bottom="0.25" header="0" footer="0"/>
  <pageSetup orientation="landscape" r:id="rId1"/>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O96"/>
  <sheetViews>
    <sheetView workbookViewId="0">
      <selection activeCell="M19" sqref="M19"/>
    </sheetView>
  </sheetViews>
  <sheetFormatPr defaultRowHeight="12.75"/>
  <cols>
    <col min="1" max="1" width="14.140625" customWidth="1"/>
  </cols>
  <sheetData>
    <row r="1" spans="1:15" ht="18">
      <c r="A1" s="939" t="s">
        <v>3407</v>
      </c>
      <c r="B1" s="786"/>
      <c r="C1" s="786"/>
      <c r="D1" s="786"/>
      <c r="E1" s="786"/>
      <c r="F1" s="786"/>
      <c r="G1" s="786"/>
      <c r="H1" s="786"/>
      <c r="I1" s="786"/>
      <c r="J1" s="786"/>
      <c r="K1" s="786"/>
      <c r="L1" s="786"/>
      <c r="M1" s="786"/>
      <c r="N1" s="786"/>
      <c r="O1" s="786"/>
    </row>
    <row r="2" spans="1:15" s="784" customFormat="1" ht="18">
      <c r="A2" s="1027"/>
      <c r="B2" s="1012"/>
      <c r="C2" s="1012"/>
      <c r="D2" s="1012"/>
      <c r="E2" s="1012"/>
      <c r="F2" s="1012"/>
      <c r="G2" s="1012"/>
      <c r="H2" s="1012"/>
      <c r="I2" s="1012"/>
      <c r="J2" s="1012"/>
      <c r="K2" s="1012"/>
      <c r="L2" s="1012"/>
      <c r="M2" s="1012"/>
      <c r="N2" s="1012"/>
      <c r="O2" s="1012"/>
    </row>
    <row r="3" spans="1:15" s="784" customFormat="1" ht="18">
      <c r="A3" s="1027"/>
      <c r="B3" s="1012"/>
      <c r="C3" s="1012"/>
      <c r="D3" s="1012"/>
      <c r="E3" s="1012"/>
      <c r="F3" s="1012"/>
      <c r="G3" s="1012"/>
      <c r="H3" s="1012"/>
      <c r="I3" s="1012"/>
      <c r="J3" s="1012"/>
      <c r="K3" s="1012"/>
      <c r="L3" s="1012"/>
      <c r="M3" s="1012"/>
      <c r="N3" s="1012"/>
      <c r="O3" s="1012"/>
    </row>
    <row r="4" spans="1:15">
      <c r="A4" s="940" t="s">
        <v>3410</v>
      </c>
      <c r="B4" s="672"/>
      <c r="C4" s="672"/>
      <c r="D4" s="672"/>
      <c r="E4" s="672"/>
      <c r="F4" s="672"/>
      <c r="G4" s="672"/>
      <c r="H4" s="672"/>
      <c r="I4" s="672"/>
      <c r="J4" s="672"/>
      <c r="K4" s="672"/>
      <c r="L4" s="672"/>
      <c r="M4" s="672"/>
      <c r="N4" s="672"/>
      <c r="O4" s="672"/>
    </row>
    <row r="5" spans="1:15">
      <c r="A5" s="998"/>
      <c r="B5" s="998"/>
      <c r="C5" s="999"/>
      <c r="D5" s="999"/>
      <c r="E5" s="999"/>
      <c r="F5" s="999"/>
      <c r="G5" s="999"/>
      <c r="H5" s="999"/>
      <c r="I5" s="999"/>
    </row>
    <row r="6" spans="1:15">
      <c r="A6" s="19" t="s">
        <v>3406</v>
      </c>
    </row>
    <row r="7" spans="1:15" s="784" customFormat="1">
      <c r="A7" s="787" t="s">
        <v>3408</v>
      </c>
      <c r="B7" s="787" t="s">
        <v>3409</v>
      </c>
    </row>
    <row r="8" spans="1:15" s="1248" customFormat="1">
      <c r="A8" s="787"/>
      <c r="B8" s="787" t="s">
        <v>3654</v>
      </c>
    </row>
    <row r="9" spans="1:15">
      <c r="A9" s="787"/>
      <c r="B9" s="787"/>
    </row>
    <row r="10" spans="1:15">
      <c r="A10" s="787" t="s">
        <v>3215</v>
      </c>
      <c r="B10" s="787" t="s">
        <v>3411</v>
      </c>
    </row>
    <row r="11" spans="1:15">
      <c r="B11" s="787" t="s">
        <v>3412</v>
      </c>
    </row>
    <row r="12" spans="1:15">
      <c r="A12" s="787"/>
      <c r="B12" s="787" t="s">
        <v>3413</v>
      </c>
    </row>
    <row r="13" spans="1:15">
      <c r="A13" s="787"/>
      <c r="B13" s="787"/>
    </row>
    <row r="14" spans="1:15">
      <c r="A14" s="787" t="s">
        <v>3414</v>
      </c>
      <c r="B14" s="787" t="s">
        <v>3415</v>
      </c>
    </row>
    <row r="15" spans="1:15" s="784" customFormat="1">
      <c r="B15" s="787"/>
    </row>
    <row r="16" spans="1:15">
      <c r="A16" s="787" t="s">
        <v>3476</v>
      </c>
      <c r="B16" s="787" t="s">
        <v>3477</v>
      </c>
    </row>
    <row r="17" spans="1:15">
      <c r="B17" s="787" t="s">
        <v>3478</v>
      </c>
    </row>
    <row r="18" spans="1:15">
      <c r="A18" s="787"/>
    </row>
    <row r="19" spans="1:15">
      <c r="A19" t="s">
        <v>3479</v>
      </c>
      <c r="B19" t="s">
        <v>3480</v>
      </c>
    </row>
    <row r="20" spans="1:15" s="1248" customFormat="1"/>
    <row r="22" spans="1:15">
      <c r="A22" t="s">
        <v>3651</v>
      </c>
      <c r="B22" t="s">
        <v>3652</v>
      </c>
    </row>
    <row r="23" spans="1:15" s="1248" customFormat="1">
      <c r="B23" s="1248" t="s">
        <v>3653</v>
      </c>
    </row>
    <row r="25" spans="1:15">
      <c r="A25" s="787"/>
    </row>
    <row r="26" spans="1:15" ht="18">
      <c r="A26" s="1027" t="s">
        <v>3073</v>
      </c>
      <c r="B26" s="1012"/>
      <c r="C26" s="1012"/>
      <c r="D26" s="1012"/>
      <c r="E26" s="1012"/>
      <c r="F26" s="1012"/>
      <c r="G26" s="1012"/>
      <c r="H26" s="1012"/>
      <c r="I26" s="1012"/>
      <c r="J26" s="1012"/>
      <c r="K26" s="1012"/>
      <c r="L26" s="1012"/>
      <c r="M26" s="1012"/>
      <c r="N26" s="1012"/>
      <c r="O26" s="1012"/>
    </row>
    <row r="28" spans="1:15">
      <c r="A28" s="19" t="s">
        <v>3075</v>
      </c>
    </row>
    <row r="29" spans="1:15">
      <c r="A29" s="787" t="s">
        <v>3076</v>
      </c>
      <c r="B29" s="787" t="s">
        <v>3077</v>
      </c>
    </row>
    <row r="30" spans="1:15">
      <c r="B30" s="787" t="s">
        <v>3078</v>
      </c>
    </row>
    <row r="32" spans="1:15" s="784" customFormat="1">
      <c r="A32" s="787" t="s">
        <v>3217</v>
      </c>
    </row>
    <row r="33" spans="1:2" s="784" customFormat="1"/>
    <row r="34" spans="1:2">
      <c r="A34" s="787" t="s">
        <v>3215</v>
      </c>
      <c r="B34" s="787" t="s">
        <v>3216</v>
      </c>
    </row>
    <row r="36" spans="1:2">
      <c r="A36" s="787" t="s">
        <v>3198</v>
      </c>
      <c r="B36" s="787" t="s">
        <v>2739</v>
      </c>
    </row>
    <row r="37" spans="1:2">
      <c r="B37" s="787" t="s">
        <v>3043</v>
      </c>
    </row>
    <row r="39" spans="1:2">
      <c r="B39" t="s">
        <v>2741</v>
      </c>
    </row>
    <row r="42" spans="1:2">
      <c r="B42" t="s">
        <v>2742</v>
      </c>
    </row>
    <row r="45" spans="1:2">
      <c r="B45" t="s">
        <v>2743</v>
      </c>
    </row>
    <row r="48" spans="1:2">
      <c r="B48" s="787" t="s">
        <v>3033</v>
      </c>
    </row>
    <row r="50" spans="1:2">
      <c r="B50" t="s">
        <v>2744</v>
      </c>
    </row>
    <row r="51" spans="1:2">
      <c r="B51" t="s">
        <v>2745</v>
      </c>
    </row>
    <row r="53" spans="1:2">
      <c r="A53" s="787"/>
      <c r="B53" s="787" t="s">
        <v>3034</v>
      </c>
    </row>
    <row r="56" spans="1:2">
      <c r="A56" s="787" t="s">
        <v>3044</v>
      </c>
      <c r="B56" s="787" t="s">
        <v>3068</v>
      </c>
    </row>
    <row r="57" spans="1:2">
      <c r="B57" s="787" t="s">
        <v>3045</v>
      </c>
    </row>
    <row r="60" spans="1:2">
      <c r="A60" t="s">
        <v>3232</v>
      </c>
    </row>
    <row r="62" spans="1:2">
      <c r="B62" t="s">
        <v>3233</v>
      </c>
    </row>
    <row r="65" spans="1:15">
      <c r="A65" t="s">
        <v>3234</v>
      </c>
      <c r="B65" t="s">
        <v>3235</v>
      </c>
    </row>
    <row r="66" spans="1:15">
      <c r="B66" t="s">
        <v>3237</v>
      </c>
    </row>
    <row r="67" spans="1:15" s="1115" customFormat="1"/>
    <row r="69" spans="1:15">
      <c r="A69" t="s">
        <v>3236</v>
      </c>
      <c r="B69" t="s">
        <v>3238</v>
      </c>
    </row>
    <row r="71" spans="1:15">
      <c r="B71" t="s">
        <v>3239</v>
      </c>
    </row>
    <row r="74" spans="1:15">
      <c r="A74" s="940" t="s">
        <v>2735</v>
      </c>
      <c r="B74" s="672"/>
      <c r="C74" s="672"/>
      <c r="D74" s="672"/>
      <c r="E74" s="672"/>
      <c r="F74" s="672"/>
      <c r="G74" s="672"/>
      <c r="H74" s="672"/>
      <c r="I74" s="672"/>
      <c r="J74" s="672"/>
      <c r="K74" s="672"/>
      <c r="L74" s="672"/>
      <c r="M74" s="672"/>
      <c r="N74" s="672"/>
      <c r="O74" s="672"/>
    </row>
    <row r="75" spans="1:15">
      <c r="A75" s="998" t="s">
        <v>2736</v>
      </c>
      <c r="B75" s="998" t="s">
        <v>3026</v>
      </c>
      <c r="C75" s="999"/>
      <c r="D75" s="999"/>
      <c r="E75" s="999"/>
      <c r="F75" s="999"/>
      <c r="G75" s="999"/>
      <c r="H75" s="999"/>
      <c r="I75" s="999"/>
      <c r="J75" s="1160"/>
      <c r="K75" s="1160"/>
      <c r="L75" s="1160"/>
      <c r="M75" s="1160"/>
      <c r="N75" s="1160"/>
      <c r="O75" s="1160"/>
    </row>
    <row r="76" spans="1:15">
      <c r="A76" s="1160" t="s">
        <v>3027</v>
      </c>
      <c r="B76" s="1160" t="s">
        <v>3028</v>
      </c>
      <c r="C76" s="1160"/>
      <c r="D76" s="1160"/>
      <c r="E76" s="1160"/>
      <c r="F76" s="1160"/>
      <c r="G76" s="1160"/>
      <c r="H76" s="1160"/>
      <c r="I76" s="1160"/>
      <c r="J76" s="1160"/>
      <c r="K76" s="1160"/>
      <c r="L76" s="1160"/>
      <c r="M76" s="1160"/>
      <c r="N76" s="1160"/>
      <c r="O76" s="1160"/>
    </row>
    <row r="77" spans="1:15">
      <c r="A77" s="1160"/>
      <c r="B77" s="1160"/>
      <c r="C77" s="1160"/>
      <c r="D77" s="1160"/>
      <c r="E77" s="1160"/>
      <c r="F77" s="1160"/>
      <c r="G77" s="1160"/>
      <c r="H77" s="1160"/>
      <c r="I77" s="1160"/>
      <c r="J77" s="1160"/>
      <c r="K77" s="1160"/>
      <c r="L77" s="1160"/>
      <c r="M77" s="1160"/>
      <c r="N77" s="1160"/>
      <c r="O77" s="1160"/>
    </row>
    <row r="78" spans="1:15">
      <c r="A78" s="787" t="s">
        <v>2726</v>
      </c>
      <c r="B78" s="787" t="s">
        <v>3069</v>
      </c>
      <c r="C78" s="1160"/>
      <c r="D78" s="1160"/>
      <c r="E78" s="1160"/>
      <c r="F78" s="1160"/>
      <c r="G78" s="1160"/>
      <c r="H78" s="1160"/>
      <c r="I78" s="1160"/>
      <c r="J78" s="1160"/>
      <c r="K78" s="1160"/>
      <c r="L78" s="1160"/>
      <c r="M78" s="1160"/>
      <c r="N78" s="1160"/>
      <c r="O78" s="1160"/>
    </row>
    <row r="79" spans="1:15">
      <c r="A79" s="1160"/>
      <c r="B79" s="1160"/>
      <c r="C79" s="1160"/>
      <c r="D79" s="1160"/>
      <c r="E79" s="1160"/>
      <c r="F79" s="1160"/>
      <c r="G79" s="1160"/>
      <c r="H79" s="1160"/>
      <c r="I79" s="1160"/>
      <c r="J79" s="1160"/>
      <c r="K79" s="1160"/>
      <c r="L79" s="1160"/>
      <c r="M79" s="1160"/>
      <c r="N79" s="1160"/>
      <c r="O79" s="1160"/>
    </row>
    <row r="80" spans="1:15">
      <c r="A80" s="1160"/>
      <c r="B80" s="1160"/>
      <c r="C80" s="1160"/>
      <c r="D80" s="1160"/>
      <c r="E80" s="1160"/>
      <c r="F80" s="1160"/>
      <c r="G80" s="1160"/>
      <c r="H80" s="1160"/>
      <c r="I80" s="1160"/>
      <c r="J80" s="1160"/>
      <c r="K80" s="1160"/>
      <c r="L80" s="1160"/>
      <c r="M80" s="1160"/>
      <c r="N80" s="1160"/>
      <c r="O80" s="1160"/>
    </row>
    <row r="81" spans="1:15">
      <c r="A81" s="787" t="s">
        <v>2727</v>
      </c>
      <c r="B81" s="1160"/>
      <c r="C81" s="1160"/>
      <c r="D81" s="1160"/>
      <c r="E81" s="1160"/>
      <c r="F81" s="1160"/>
      <c r="G81" s="1160"/>
      <c r="H81" s="1160"/>
      <c r="I81" s="1160"/>
      <c r="J81" s="1160"/>
      <c r="K81" s="1160"/>
      <c r="L81" s="1160"/>
      <c r="M81" s="1160"/>
      <c r="N81" s="1160"/>
      <c r="O81" s="1160"/>
    </row>
    <row r="82" spans="1:15">
      <c r="A82" s="1160"/>
      <c r="B82" s="1160"/>
      <c r="C82" s="1160"/>
      <c r="D82" s="1160"/>
      <c r="E82" s="1160"/>
      <c r="F82" s="1160"/>
      <c r="G82" s="1160"/>
      <c r="H82" s="1160"/>
      <c r="I82" s="1160"/>
      <c r="J82" s="1160"/>
      <c r="K82" s="1160"/>
      <c r="L82" s="1160"/>
      <c r="M82" s="1160"/>
      <c r="N82" s="1160"/>
      <c r="O82" s="1160"/>
    </row>
    <row r="83" spans="1:15">
      <c r="A83" s="1160"/>
      <c r="B83" s="1160"/>
      <c r="C83" s="1160"/>
      <c r="D83" s="1160"/>
      <c r="E83" s="1160"/>
      <c r="F83" s="1160"/>
      <c r="G83" s="1160"/>
      <c r="H83" s="1160"/>
      <c r="I83" s="1160"/>
      <c r="J83" s="1160"/>
      <c r="K83" s="1160"/>
      <c r="L83" s="1160"/>
      <c r="M83" s="1160"/>
      <c r="N83" s="1160"/>
      <c r="O83" s="1160"/>
    </row>
    <row r="84" spans="1:15">
      <c r="A84" s="787" t="s">
        <v>2728</v>
      </c>
      <c r="B84" s="787" t="s">
        <v>2729</v>
      </c>
      <c r="C84" s="1160"/>
      <c r="D84" s="1160"/>
      <c r="E84" s="1160"/>
      <c r="F84" s="1160"/>
      <c r="G84" s="1160"/>
      <c r="H84" s="1160"/>
      <c r="I84" s="1160"/>
      <c r="J84" s="1160"/>
      <c r="K84" s="1160"/>
      <c r="L84" s="1160"/>
      <c r="M84" s="1160"/>
      <c r="N84" s="1160"/>
      <c r="O84" s="1160"/>
    </row>
    <row r="85" spans="1:15">
      <c r="A85" s="1160"/>
      <c r="B85" s="787" t="s">
        <v>2730</v>
      </c>
      <c r="C85" s="1160"/>
      <c r="D85" s="1160"/>
      <c r="E85" s="1160"/>
      <c r="F85" s="1160"/>
      <c r="G85" s="1160"/>
      <c r="H85" s="1160"/>
      <c r="I85" s="1160"/>
      <c r="J85" s="1160"/>
      <c r="K85" s="1160"/>
      <c r="L85" s="1160"/>
      <c r="M85" s="1160"/>
      <c r="N85" s="1160"/>
      <c r="O85" s="1160"/>
    </row>
    <row r="86" spans="1:15">
      <c r="A86" s="1160"/>
      <c r="B86" s="787"/>
      <c r="C86" s="1160"/>
      <c r="D86" s="1160"/>
      <c r="E86" s="1160"/>
      <c r="F86" s="1160"/>
      <c r="G86" s="1160"/>
      <c r="H86" s="1160"/>
      <c r="I86" s="1160"/>
      <c r="J86" s="1160"/>
      <c r="K86" s="1160"/>
      <c r="L86" s="1160"/>
      <c r="M86" s="1160"/>
      <c r="N86" s="1160"/>
      <c r="O86" s="1160"/>
    </row>
    <row r="87" spans="1:15">
      <c r="A87" s="1160"/>
      <c r="B87" s="1160"/>
      <c r="C87" s="1160"/>
      <c r="D87" s="1160"/>
      <c r="E87" s="1160"/>
      <c r="F87" s="1160"/>
      <c r="G87" s="1160"/>
      <c r="H87" s="1160"/>
      <c r="I87" s="1160"/>
      <c r="J87" s="1160"/>
      <c r="K87" s="1160"/>
      <c r="L87" s="1160"/>
      <c r="M87" s="1160"/>
      <c r="N87" s="1160"/>
      <c r="O87" s="1160"/>
    </row>
    <row r="88" spans="1:15">
      <c r="A88" s="1160"/>
      <c r="B88" s="1160"/>
      <c r="C88" s="1160"/>
      <c r="D88" s="1160"/>
      <c r="E88" s="1160"/>
      <c r="F88" s="1160"/>
      <c r="G88" s="1160"/>
      <c r="H88" s="1160"/>
      <c r="I88" s="1160"/>
      <c r="J88" s="1160"/>
      <c r="K88" s="1160"/>
      <c r="L88" s="1160"/>
      <c r="M88" s="1160"/>
      <c r="N88" s="1160"/>
      <c r="O88" s="1160"/>
    </row>
    <row r="89" spans="1:15">
      <c r="A89" s="787" t="s">
        <v>2731</v>
      </c>
      <c r="B89" s="1160"/>
      <c r="C89" s="1160"/>
      <c r="D89" s="1160"/>
      <c r="E89" s="1160"/>
      <c r="F89" s="1160"/>
      <c r="G89" s="1160"/>
      <c r="H89" s="1160"/>
      <c r="I89" s="1160"/>
      <c r="J89" s="1160"/>
      <c r="K89" s="1160"/>
      <c r="L89" s="1160"/>
      <c r="M89" s="1160"/>
      <c r="N89" s="1160"/>
      <c r="O89" s="1160"/>
    </row>
    <row r="90" spans="1:15">
      <c r="A90" s="1160"/>
      <c r="B90" s="1160"/>
      <c r="C90" s="1160"/>
      <c r="D90" s="1160"/>
      <c r="E90" s="1160"/>
      <c r="F90" s="1160"/>
      <c r="G90" s="1160"/>
      <c r="H90" s="1160"/>
      <c r="I90" s="1160"/>
      <c r="J90" s="1160"/>
      <c r="K90" s="1160"/>
      <c r="L90" s="1160"/>
      <c r="M90" s="1160"/>
      <c r="N90" s="1160"/>
      <c r="O90" s="1160"/>
    </row>
    <row r="91" spans="1:15">
      <c r="A91" s="1160"/>
      <c r="B91" s="1160"/>
      <c r="C91" s="1160"/>
      <c r="D91" s="1160"/>
      <c r="E91" s="1160"/>
      <c r="F91" s="1160"/>
      <c r="G91" s="1160"/>
      <c r="H91" s="1160"/>
      <c r="I91" s="1160"/>
      <c r="J91" s="1160"/>
      <c r="K91" s="1160"/>
      <c r="L91" s="1160"/>
      <c r="M91" s="1160"/>
      <c r="N91" s="1160"/>
      <c r="O91" s="1160"/>
    </row>
    <row r="92" spans="1:15">
      <c r="A92" s="787" t="s">
        <v>2732</v>
      </c>
      <c r="B92" s="787" t="s">
        <v>2733</v>
      </c>
      <c r="C92" s="1160"/>
      <c r="D92" s="1160"/>
      <c r="E92" s="1160"/>
      <c r="F92" s="1160"/>
      <c r="G92" s="1160"/>
      <c r="H92" s="1160"/>
      <c r="I92" s="1160"/>
      <c r="J92" s="1160"/>
      <c r="K92" s="1160"/>
      <c r="L92" s="1160"/>
      <c r="M92" s="1160"/>
      <c r="N92" s="1160"/>
      <c r="O92" s="1160"/>
    </row>
    <row r="93" spans="1:15">
      <c r="A93" s="1160"/>
      <c r="B93" s="787" t="s">
        <v>2734</v>
      </c>
      <c r="C93" s="1160"/>
      <c r="D93" s="1160"/>
      <c r="E93" s="1160"/>
      <c r="F93" s="1160"/>
      <c r="G93" s="1160"/>
      <c r="H93" s="1160"/>
      <c r="I93" s="1160"/>
      <c r="J93" s="1160"/>
      <c r="K93" s="1160"/>
      <c r="L93" s="1160"/>
      <c r="M93" s="1160"/>
      <c r="N93" s="1160"/>
      <c r="O93" s="1160"/>
    </row>
    <row r="94" spans="1:15">
      <c r="A94" s="1160"/>
      <c r="B94" s="1160"/>
      <c r="C94" s="1160"/>
      <c r="D94" s="1160"/>
      <c r="E94" s="1160"/>
      <c r="F94" s="1160"/>
      <c r="G94" s="1160"/>
      <c r="H94" s="1160"/>
      <c r="I94" s="1160"/>
      <c r="J94" s="1160"/>
      <c r="K94" s="1160"/>
      <c r="L94" s="1160"/>
      <c r="M94" s="1160"/>
      <c r="N94" s="1160"/>
      <c r="O94" s="1160"/>
    </row>
    <row r="95" spans="1:15">
      <c r="A95" s="1160"/>
      <c r="B95" s="1160"/>
      <c r="C95" s="1160"/>
      <c r="D95" s="1160"/>
      <c r="E95" s="1160"/>
      <c r="F95" s="1160"/>
      <c r="G95" s="1160"/>
      <c r="H95" s="1160"/>
      <c r="I95" s="1160"/>
      <c r="J95" s="1160"/>
      <c r="K95" s="1160"/>
      <c r="L95" s="1160"/>
      <c r="M95" s="1160"/>
      <c r="N95" s="1160"/>
      <c r="O95" s="1160"/>
    </row>
    <row r="96" spans="1:15">
      <c r="A96" s="787" t="s">
        <v>3035</v>
      </c>
      <c r="B96" s="1160"/>
      <c r="C96" s="1160"/>
      <c r="D96" s="1160"/>
      <c r="E96" s="1160"/>
      <c r="F96" s="1160"/>
      <c r="G96" s="1160"/>
      <c r="H96" s="1160"/>
      <c r="I96" s="1160"/>
      <c r="J96" s="1160"/>
      <c r="K96" s="1160"/>
      <c r="L96" s="1160"/>
      <c r="M96" s="1160"/>
      <c r="N96" s="1160"/>
      <c r="O96" s="1160"/>
    </row>
  </sheetData>
  <sheetProtection sheet="1" objects="1" scenarios="1"/>
  <customSheetViews>
    <customSheetView guid="{FC3B3501-CA52-40D7-B049-0E027A15B235}">
      <pageMargins left="0.7" right="0.7" top="0.75" bottom="0.75" header="0.3" footer="0.3"/>
    </customSheetView>
  </customSheetView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63</vt:i4>
      </vt:variant>
    </vt:vector>
  </HeadingPairs>
  <TitlesOfParts>
    <vt:vector size="160" baseType="lpstr">
      <vt:lpstr>Instructions</vt:lpstr>
      <vt:lpstr>COVER PAGE</vt:lpstr>
      <vt:lpstr>FILING FEE FORM</vt:lpstr>
      <vt:lpstr>TABLE OF CONTENTS</vt:lpstr>
      <vt:lpstr>INTROD. SECT. COVER</vt:lpstr>
      <vt:lpstr>LTR. OF TRANSMITTAL</vt:lpstr>
      <vt:lpstr>ELECTED OFFICIALS-SIGNATURE PG</vt:lpstr>
      <vt:lpstr>FIN. SECTION COVER</vt:lpstr>
      <vt:lpstr>MD&amp;A COVER</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(33)</vt:lpstr>
      <vt:lpstr>NOTES TO FIN ST (34)</vt:lpstr>
      <vt:lpstr>NOTES TO FIN ST (35A)</vt:lpstr>
      <vt:lpstr>NOTES TO FIN ST (35B)</vt:lpstr>
      <vt:lpstr>NOTES TO FIN ST (35C)</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 0PEB (60)</vt:lpstr>
      <vt:lpstr>RSI-PERS (61-A)</vt:lpstr>
      <vt:lpstr>RSI-FURS (61-B)</vt:lpstr>
      <vt:lpstr>RSI-MPORS (61-C)</vt:lpstr>
      <vt:lpstr>RSI-SRS (61-D)</vt:lpstr>
      <vt:lpstr>RSI-TRS (61-E)</vt:lpstr>
      <vt:lpstr>RSI-FDRA&amp;GASB78 (62)</vt:lpstr>
      <vt:lpstr>OTHER SUPP. INFO. COVER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SCHEDULE OF REC. &amp; DISB.</vt:lpstr>
      <vt:lpstr>CASH RECONCILIATION(89)</vt:lpstr>
      <vt:lpstr>GEN. INFO.  SECT. COVER</vt:lpstr>
      <vt:lpstr>GENERAL INFORMATION(90)</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LedgerLoad Assist</vt:lpstr>
      <vt:lpstr>Ledger Load Template LGSvcs TEM</vt:lpstr>
      <vt:lpstr>DLL Balance Check</vt:lpstr>
      <vt:lpstr>Update Log</vt:lpstr>
      <vt:lpstr>Sheet3</vt:lpstr>
      <vt:lpstr>countycodetable</vt:lpstr>
      <vt:lpstr>'NOTES TO FIN ST (36)'!Eligibility_for_benefit</vt:lpstr>
      <vt:lpstr>entityname</vt:lpstr>
      <vt:lpstr>entitynumber</vt:lpstr>
      <vt:lpstr>majorfunds</vt:lpstr>
      <vt:lpstr>majorfundstable</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(33)'!Print_Area</vt:lpstr>
      <vt:lpstr>'NOTES TO FIN ST (34)'!Print_Area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'SCHEDULE OF REC. &amp; DISB.'!Print_Titles</vt:lpstr>
      <vt:lpstr>Print_Titles_MI</vt:lpstr>
      <vt:lpstr>Year</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Peggy</cp:lastModifiedBy>
  <cp:lastPrinted>2018-01-25T18:08:14Z</cp:lastPrinted>
  <dcterms:created xsi:type="dcterms:W3CDTF">2003-02-26T15:58:31Z</dcterms:created>
  <dcterms:modified xsi:type="dcterms:W3CDTF">2019-02-26T23:06:15Z</dcterms:modified>
</cp:coreProperties>
</file>